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mc:AlternateContent xmlns:mc="http://schemas.openxmlformats.org/markup-compatibility/2006">
    <mc:Choice Requires="x15">
      <x15ac:absPath xmlns:x15ac="http://schemas.microsoft.com/office/spreadsheetml/2010/11/ac" url="C:\Users\stocjoh\Desktop\"/>
    </mc:Choice>
  </mc:AlternateContent>
  <bookViews>
    <workbookView xWindow="15810" yWindow="0" windowWidth="26610" windowHeight="2715" tabRatio="828" firstSheet="1" activeTab="1"/>
  </bookViews>
  <sheets>
    <sheet name="Info" sheetId="2" state="hidden" r:id="rId1"/>
    <sheet name="Betrieb" sheetId="3" r:id="rId2"/>
    <sheet name="Tiere" sheetId="4" r:id="rId3"/>
    <sheet name="Hofdung" sheetId="7" r:id="rId4"/>
    <sheet name="Tabelle1" sheetId="5" state="hidden" r:id="rId5"/>
    <sheet name="Mineral_Dü" sheetId="8" r:id="rId6"/>
    <sheet name="Organ__Dü" sheetId="6" r:id="rId7"/>
    <sheet name="meine Dünger" sheetId="15" r:id="rId8"/>
    <sheet name="Acker" sheetId="61" r:id="rId9"/>
    <sheet name="Grünland" sheetId="16" r:id="rId10"/>
    <sheet name="Futterbilanzierung" sheetId="64" state="hidden" r:id="rId11"/>
    <sheet name="Planung" sheetId="63" r:id="rId12"/>
    <sheet name="Summen_Acker" sheetId="17" state="hidden" r:id="rId13"/>
    <sheet name="Summen_GL" sheetId="62" state="hidden" r:id="rId14"/>
    <sheet name="Ergebnis" sheetId="101" r:id="rId15"/>
    <sheet name="S_1" sheetId="18" r:id="rId16"/>
    <sheet name="S_2" sheetId="66" r:id="rId17"/>
    <sheet name="S_3" sheetId="67" r:id="rId18"/>
    <sheet name="S_4" sheetId="68" r:id="rId19"/>
    <sheet name="S_5" sheetId="69" r:id="rId20"/>
    <sheet name="S_6" sheetId="70" r:id="rId21"/>
    <sheet name="S_7" sheetId="71" r:id="rId22"/>
    <sheet name="S_8" sheetId="72" r:id="rId23"/>
    <sheet name="S_9" sheetId="73" r:id="rId24"/>
    <sheet name="S_10" sheetId="74" r:id="rId25"/>
    <sheet name="S_11" sheetId="81" r:id="rId26"/>
    <sheet name="S_12" sheetId="82" r:id="rId27"/>
    <sheet name="S_13" sheetId="83" r:id="rId28"/>
    <sheet name="S_14" sheetId="84" r:id="rId29"/>
    <sheet name="S_15" sheetId="85" r:id="rId30"/>
    <sheet name="S_16" sheetId="86" r:id="rId31"/>
    <sheet name="S_17" sheetId="87" r:id="rId32"/>
    <sheet name="S_18" sheetId="88" r:id="rId33"/>
    <sheet name="S_19" sheetId="89" r:id="rId34"/>
    <sheet name="S_20" sheetId="90" r:id="rId35"/>
    <sheet name="S_21" sheetId="91" r:id="rId36"/>
    <sheet name="S_22" sheetId="92" r:id="rId37"/>
    <sheet name="S_23" sheetId="93" r:id="rId38"/>
    <sheet name="S_24" sheetId="94" r:id="rId39"/>
    <sheet name="S_25" sheetId="95" r:id="rId40"/>
    <sheet name="S_26" sheetId="96" r:id="rId41"/>
    <sheet name="S_27" sheetId="97" r:id="rId42"/>
    <sheet name="S_28" sheetId="98" r:id="rId43"/>
    <sheet name="S_29" sheetId="99" r:id="rId44"/>
    <sheet name="S_30" sheetId="100" r:id="rId45"/>
    <sheet name="Ergebnis genau" sheetId="102" state="hidden" r:id="rId46"/>
    <sheet name="Info1" sheetId="76" r:id="rId47"/>
    <sheet name="Info2" sheetId="78" r:id="rId48"/>
    <sheet name="Info3" sheetId="79" r:id="rId49"/>
    <sheet name="Info4" sheetId="80" r:id="rId50"/>
    <sheet name="S_Test" sheetId="19" state="hidden" r:id="rId51"/>
    <sheet name="Tabelle2" sheetId="77" state="hidden" r:id="rId52"/>
  </sheets>
  <externalReferences>
    <externalReference r:id="rId53"/>
    <externalReference r:id="rId54"/>
  </externalReferences>
  <definedNames>
    <definedName name="__xlnm.Print_Area" localSheetId="1">Betrieb!$B$1:$E$12</definedName>
    <definedName name="__xlnm.Print_Area" localSheetId="9">Grünland!$B$1:$M$34</definedName>
    <definedName name="__xlnm.Print_Area" localSheetId="3">Hofdung!$B$1:$Q$31</definedName>
    <definedName name="__xlnm.Print_Area" localSheetId="0">Info!$A$1:$C$38</definedName>
    <definedName name="__xlnm.Print_Area" localSheetId="7">'meine Dünger'!$C$1:$O$28</definedName>
    <definedName name="__xlnm.Print_Area" localSheetId="5">Mineral_Dü!$B$1:$J$29</definedName>
    <definedName name="__xlnm.Print_Area" localSheetId="6">Organ__Dü!$B$1:$N$24</definedName>
    <definedName name="__xlnm.Print_Area" localSheetId="15">S_1!$A$1:$I$49</definedName>
    <definedName name="__xlnm.Print_Area" localSheetId="24">S_10!$A$1:$I$49</definedName>
    <definedName name="__xlnm.Print_Area" localSheetId="25">S_11!$A$1:$I$49</definedName>
    <definedName name="__xlnm.Print_Area" localSheetId="26">S_12!$A$1:$I$49</definedName>
    <definedName name="__xlnm.Print_Area" localSheetId="27">S_13!$A$1:$I$49</definedName>
    <definedName name="__xlnm.Print_Area" localSheetId="28">S_14!$A$1:$I$49</definedName>
    <definedName name="__xlnm.Print_Area" localSheetId="29">S_15!$A$1:$I$49</definedName>
    <definedName name="__xlnm.Print_Area" localSheetId="30">S_16!$A$1:$I$49</definedName>
    <definedName name="__xlnm.Print_Area" localSheetId="31">S_17!$A$1:$I$49</definedName>
    <definedName name="__xlnm.Print_Area" localSheetId="32">S_18!$A$1:$I$49</definedName>
    <definedName name="__xlnm.Print_Area" localSheetId="33">S_19!$A$1:$I$49</definedName>
    <definedName name="__xlnm.Print_Area" localSheetId="16">S_2!$A$1:$I$49</definedName>
    <definedName name="__xlnm.Print_Area" localSheetId="34">S_20!$A$1:$I$49</definedName>
    <definedName name="__xlnm.Print_Area" localSheetId="35">S_21!$A$1:$I$49</definedName>
    <definedName name="__xlnm.Print_Area" localSheetId="36">S_22!$A$1:$I$49</definedName>
    <definedName name="__xlnm.Print_Area" localSheetId="37">S_23!$A$1:$I$49</definedName>
    <definedName name="__xlnm.Print_Area" localSheetId="38">S_24!$A$1:$I$49</definedName>
    <definedName name="__xlnm.Print_Area" localSheetId="39">S_25!$A$1:$I$49</definedName>
    <definedName name="__xlnm.Print_Area" localSheetId="40">S_26!$A$1:$I$49</definedName>
    <definedName name="__xlnm.Print_Area" localSheetId="41">S_27!$A$1:$I$49</definedName>
    <definedName name="__xlnm.Print_Area" localSheetId="42">S_28!$A$1:$I$49</definedName>
    <definedName name="__xlnm.Print_Area" localSheetId="43">S_29!$A$1:$I$49</definedName>
    <definedName name="__xlnm.Print_Area" localSheetId="17">S_3!$A$1:$I$49</definedName>
    <definedName name="__xlnm.Print_Area" localSheetId="44">S_30!$A$1:$I$49</definedName>
    <definedName name="__xlnm.Print_Area" localSheetId="18">S_4!$A$1:$I$49</definedName>
    <definedName name="__xlnm.Print_Area" localSheetId="19">S_5!$A$1:$I$49</definedName>
    <definedName name="__xlnm.Print_Area" localSheetId="20">S_6!$A$1:$I$49</definedName>
    <definedName name="__xlnm.Print_Area" localSheetId="21">S_7!$A$1:$I$49</definedName>
    <definedName name="__xlnm.Print_Area" localSheetId="22">S_8!$A$1:$I$49</definedName>
    <definedName name="__xlnm.Print_Area" localSheetId="23">S_9!$A$1:$I$49</definedName>
    <definedName name="__xlnm.Print_Area" localSheetId="50">S_Test!$A$1:$H$41</definedName>
    <definedName name="__xlnm.Print_Area" localSheetId="2">Tiere!$B$1:$Y$36</definedName>
    <definedName name="__xlnm.Print_Area">Betrieb!$B$1:$E$19</definedName>
    <definedName name="__xlnm.Print_Area_1" localSheetId="47">#REF!</definedName>
    <definedName name="__xlnm.Print_Area_1" localSheetId="48">#REF!</definedName>
    <definedName name="__xlnm.Print_Area_1" localSheetId="49">#REF!</definedName>
    <definedName name="__xlnm.Print_Area_1" localSheetId="24">#REF!</definedName>
    <definedName name="__xlnm.Print_Area_1" localSheetId="25">#REF!</definedName>
    <definedName name="__xlnm.Print_Area_1" localSheetId="26">#REF!</definedName>
    <definedName name="__xlnm.Print_Area_1" localSheetId="28">#REF!</definedName>
    <definedName name="__xlnm.Print_Area_1" localSheetId="29">#REF!</definedName>
    <definedName name="__xlnm.Print_Area_1" localSheetId="30">#REF!</definedName>
    <definedName name="__xlnm.Print_Area_1" localSheetId="31">#REF!</definedName>
    <definedName name="__xlnm.Print_Area_1" localSheetId="32">#REF!</definedName>
    <definedName name="__xlnm.Print_Area_1" localSheetId="33">#REF!</definedName>
    <definedName name="__xlnm.Print_Area_1" localSheetId="16">#REF!</definedName>
    <definedName name="__xlnm.Print_Area_1" localSheetId="34">#REF!</definedName>
    <definedName name="__xlnm.Print_Area_1" localSheetId="35">#REF!</definedName>
    <definedName name="__xlnm.Print_Area_1" localSheetId="36">#REF!</definedName>
    <definedName name="__xlnm.Print_Area_1" localSheetId="37">#REF!</definedName>
    <definedName name="__xlnm.Print_Area_1" localSheetId="38">#REF!</definedName>
    <definedName name="__xlnm.Print_Area_1" localSheetId="39">#REF!</definedName>
    <definedName name="__xlnm.Print_Area_1" localSheetId="40">#REF!</definedName>
    <definedName name="__xlnm.Print_Area_1" localSheetId="41">#REF!</definedName>
    <definedName name="__xlnm.Print_Area_1" localSheetId="42">#REF!</definedName>
    <definedName name="__xlnm.Print_Area_1" localSheetId="43">#REF!</definedName>
    <definedName name="__xlnm.Print_Area_1" localSheetId="17">#REF!</definedName>
    <definedName name="__xlnm.Print_Area_1" localSheetId="44">#REF!</definedName>
    <definedName name="__xlnm.Print_Area_1" localSheetId="18">#REF!</definedName>
    <definedName name="__xlnm.Print_Area_1" localSheetId="19">#REF!</definedName>
    <definedName name="__xlnm.Print_Area_1" localSheetId="20">#REF!</definedName>
    <definedName name="__xlnm.Print_Area_1" localSheetId="21">#REF!</definedName>
    <definedName name="__xlnm.Print_Area_1" localSheetId="22">#REF!</definedName>
    <definedName name="__xlnm.Print_Area_1" localSheetId="23">#REF!</definedName>
    <definedName name="__xlnm.Print_Area_1">#REF!</definedName>
    <definedName name="__xlnm.Print_Area_10">Organ__Dü!$B$1:$N$24</definedName>
    <definedName name="__xlnm.Print_Area_11" localSheetId="47">#REF!</definedName>
    <definedName name="__xlnm.Print_Area_11" localSheetId="48">#REF!</definedName>
    <definedName name="__xlnm.Print_Area_11" localSheetId="49">#REF!</definedName>
    <definedName name="__xlnm.Print_Area_11" localSheetId="24">#REF!</definedName>
    <definedName name="__xlnm.Print_Area_11" localSheetId="25">#REF!</definedName>
    <definedName name="__xlnm.Print_Area_11" localSheetId="26">#REF!</definedName>
    <definedName name="__xlnm.Print_Area_11" localSheetId="28">#REF!</definedName>
    <definedName name="__xlnm.Print_Area_11" localSheetId="29">#REF!</definedName>
    <definedName name="__xlnm.Print_Area_11" localSheetId="30">#REF!</definedName>
    <definedName name="__xlnm.Print_Area_11" localSheetId="31">#REF!</definedName>
    <definedName name="__xlnm.Print_Area_11" localSheetId="32">#REF!</definedName>
    <definedName name="__xlnm.Print_Area_11" localSheetId="33">#REF!</definedName>
    <definedName name="__xlnm.Print_Area_11" localSheetId="16">#REF!</definedName>
    <definedName name="__xlnm.Print_Area_11" localSheetId="34">#REF!</definedName>
    <definedName name="__xlnm.Print_Area_11" localSheetId="35">#REF!</definedName>
    <definedName name="__xlnm.Print_Area_11" localSheetId="36">#REF!</definedName>
    <definedName name="__xlnm.Print_Area_11" localSheetId="37">#REF!</definedName>
    <definedName name="__xlnm.Print_Area_11" localSheetId="38">#REF!</definedName>
    <definedName name="__xlnm.Print_Area_11" localSheetId="39">#REF!</definedName>
    <definedName name="__xlnm.Print_Area_11" localSheetId="40">#REF!</definedName>
    <definedName name="__xlnm.Print_Area_11" localSheetId="41">#REF!</definedName>
    <definedName name="__xlnm.Print_Area_11" localSheetId="42">#REF!</definedName>
    <definedName name="__xlnm.Print_Area_11" localSheetId="43">#REF!</definedName>
    <definedName name="__xlnm.Print_Area_11" localSheetId="17">#REF!</definedName>
    <definedName name="__xlnm.Print_Area_11" localSheetId="44">#REF!</definedName>
    <definedName name="__xlnm.Print_Area_11" localSheetId="18">#REF!</definedName>
    <definedName name="__xlnm.Print_Area_11" localSheetId="19">#REF!</definedName>
    <definedName name="__xlnm.Print_Area_11" localSheetId="20">#REF!</definedName>
    <definedName name="__xlnm.Print_Area_11" localSheetId="21">#REF!</definedName>
    <definedName name="__xlnm.Print_Area_11" localSheetId="22">#REF!</definedName>
    <definedName name="__xlnm.Print_Area_11" localSheetId="23">#REF!</definedName>
    <definedName name="__xlnm.Print_Area_11">#REF!</definedName>
    <definedName name="__xlnm.Print_Area_12" localSheetId="10">#REF!</definedName>
    <definedName name="__xlnm.Print_Area_12" localSheetId="24">S_10!$A$1:$I$49</definedName>
    <definedName name="__xlnm.Print_Area_12" localSheetId="25">S_11!$A$1:$I$49</definedName>
    <definedName name="__xlnm.Print_Area_12" localSheetId="26">S_12!$A$1:$I$49</definedName>
    <definedName name="__xlnm.Print_Area_12" localSheetId="28">S_14!$A$1:$I$49</definedName>
    <definedName name="__xlnm.Print_Area_12" localSheetId="29">S_15!$A$1:$I$49</definedName>
    <definedName name="__xlnm.Print_Area_12" localSheetId="30">S_16!$A$1:$I$49</definedName>
    <definedName name="__xlnm.Print_Area_12" localSheetId="31">S_17!$A$1:$I$49</definedName>
    <definedName name="__xlnm.Print_Area_12" localSheetId="32">S_18!$A$1:$I$49</definedName>
    <definedName name="__xlnm.Print_Area_12" localSheetId="33">S_19!$A$1:$I$49</definedName>
    <definedName name="__xlnm.Print_Area_12" localSheetId="16">S_2!$A$1:$I$49</definedName>
    <definedName name="__xlnm.Print_Area_12" localSheetId="34">S_20!$A$1:$I$49</definedName>
    <definedName name="__xlnm.Print_Area_12" localSheetId="35">S_21!$A$1:$I$49</definedName>
    <definedName name="__xlnm.Print_Area_12" localSheetId="36">S_22!$A$1:$I$49</definedName>
    <definedName name="__xlnm.Print_Area_12" localSheetId="37">S_23!$A$1:$I$49</definedName>
    <definedName name="__xlnm.Print_Area_12" localSheetId="38">S_24!$A$1:$I$49</definedName>
    <definedName name="__xlnm.Print_Area_12" localSheetId="39">S_25!$A$1:$I$49</definedName>
    <definedName name="__xlnm.Print_Area_12" localSheetId="40">S_26!$A$1:$I$49</definedName>
    <definedName name="__xlnm.Print_Area_12" localSheetId="41">S_27!$A$1:$I$49</definedName>
    <definedName name="__xlnm.Print_Area_12" localSheetId="42">S_28!$A$1:$I$49</definedName>
    <definedName name="__xlnm.Print_Area_12" localSheetId="43">S_29!$A$1:$I$49</definedName>
    <definedName name="__xlnm.Print_Area_12" localSheetId="17">S_3!$A$1:$I$49</definedName>
    <definedName name="__xlnm.Print_Area_12" localSheetId="44">S_30!$A$1:$I$49</definedName>
    <definedName name="__xlnm.Print_Area_12" localSheetId="18">S_4!$A$1:$I$49</definedName>
    <definedName name="__xlnm.Print_Area_12" localSheetId="19">S_5!$A$1:$I$49</definedName>
    <definedName name="__xlnm.Print_Area_12" localSheetId="20">S_6!$A$1:$I$49</definedName>
    <definedName name="__xlnm.Print_Area_12" localSheetId="21">S_7!$A$1:$I$49</definedName>
    <definedName name="__xlnm.Print_Area_12" localSheetId="22">S_8!$A$1:$I$49</definedName>
    <definedName name="__xlnm.Print_Area_12" localSheetId="23">S_9!$A$1:$I$49</definedName>
    <definedName name="__xlnm.Print_Area_12">S_1!$A$1:$I$49</definedName>
    <definedName name="__xlnm.Print_Area_13" localSheetId="10">#REF!</definedName>
    <definedName name="__xlnm.Print_Area_13" localSheetId="47">#REF!</definedName>
    <definedName name="__xlnm.Print_Area_13" localSheetId="48">#REF!</definedName>
    <definedName name="__xlnm.Print_Area_13" localSheetId="49">#REF!</definedName>
    <definedName name="__xlnm.Print_Area_13" localSheetId="24">#REF!</definedName>
    <definedName name="__xlnm.Print_Area_13" localSheetId="25">#REF!</definedName>
    <definedName name="__xlnm.Print_Area_13" localSheetId="26">#REF!</definedName>
    <definedName name="__xlnm.Print_Area_13" localSheetId="34">#REF!</definedName>
    <definedName name="__xlnm.Print_Area_13" localSheetId="35">#REF!</definedName>
    <definedName name="__xlnm.Print_Area_13" localSheetId="36">#REF!</definedName>
    <definedName name="__xlnm.Print_Area_13" localSheetId="37">#REF!</definedName>
    <definedName name="__xlnm.Print_Area_13" localSheetId="38">#REF!</definedName>
    <definedName name="__xlnm.Print_Area_13" localSheetId="39">#REF!</definedName>
    <definedName name="__xlnm.Print_Area_13" localSheetId="40">#REF!</definedName>
    <definedName name="__xlnm.Print_Area_13" localSheetId="41">#REF!</definedName>
    <definedName name="__xlnm.Print_Area_13" localSheetId="42">#REF!</definedName>
    <definedName name="__xlnm.Print_Area_13" localSheetId="43">#REF!</definedName>
    <definedName name="__xlnm.Print_Area_13" localSheetId="44">#REF!</definedName>
    <definedName name="__xlnm.Print_Area_13" localSheetId="22">#REF!</definedName>
    <definedName name="__xlnm.Print_Area_13" localSheetId="23">#REF!</definedName>
    <definedName name="__xlnm.Print_Area_13">#REF!</definedName>
    <definedName name="__xlnm.Print_Area_14" localSheetId="10">#REF!</definedName>
    <definedName name="__xlnm.Print_Area_14" localSheetId="47">#REF!</definedName>
    <definedName name="__xlnm.Print_Area_14" localSheetId="48">#REF!</definedName>
    <definedName name="__xlnm.Print_Area_14" localSheetId="49">#REF!</definedName>
    <definedName name="__xlnm.Print_Area_14" localSheetId="24">#REF!</definedName>
    <definedName name="__xlnm.Print_Area_14" localSheetId="25">#REF!</definedName>
    <definedName name="__xlnm.Print_Area_14" localSheetId="26">#REF!</definedName>
    <definedName name="__xlnm.Print_Area_14" localSheetId="34">#REF!</definedName>
    <definedName name="__xlnm.Print_Area_14" localSheetId="35">#REF!</definedName>
    <definedName name="__xlnm.Print_Area_14" localSheetId="36">#REF!</definedName>
    <definedName name="__xlnm.Print_Area_14" localSheetId="37">#REF!</definedName>
    <definedName name="__xlnm.Print_Area_14" localSheetId="38">#REF!</definedName>
    <definedName name="__xlnm.Print_Area_14" localSheetId="39">#REF!</definedName>
    <definedName name="__xlnm.Print_Area_14" localSheetId="40">#REF!</definedName>
    <definedName name="__xlnm.Print_Area_14" localSheetId="41">#REF!</definedName>
    <definedName name="__xlnm.Print_Area_14" localSheetId="42">#REF!</definedName>
    <definedName name="__xlnm.Print_Area_14" localSheetId="43">#REF!</definedName>
    <definedName name="__xlnm.Print_Area_14" localSheetId="44">#REF!</definedName>
    <definedName name="__xlnm.Print_Area_14" localSheetId="22">#REF!</definedName>
    <definedName name="__xlnm.Print_Area_14" localSheetId="23">#REF!</definedName>
    <definedName name="__xlnm.Print_Area_14">#REF!</definedName>
    <definedName name="__xlnm.Print_Area_15" localSheetId="10">#REF!</definedName>
    <definedName name="__xlnm.Print_Area_15" localSheetId="47">#REF!</definedName>
    <definedName name="__xlnm.Print_Area_15" localSheetId="48">#REF!</definedName>
    <definedName name="__xlnm.Print_Area_15" localSheetId="49">#REF!</definedName>
    <definedName name="__xlnm.Print_Area_15" localSheetId="24">#REF!</definedName>
    <definedName name="__xlnm.Print_Area_15" localSheetId="25">#REF!</definedName>
    <definedName name="__xlnm.Print_Area_15" localSheetId="26">#REF!</definedName>
    <definedName name="__xlnm.Print_Area_15" localSheetId="34">#REF!</definedName>
    <definedName name="__xlnm.Print_Area_15" localSheetId="35">#REF!</definedName>
    <definedName name="__xlnm.Print_Area_15" localSheetId="36">#REF!</definedName>
    <definedName name="__xlnm.Print_Area_15" localSheetId="37">#REF!</definedName>
    <definedName name="__xlnm.Print_Area_15" localSheetId="38">#REF!</definedName>
    <definedName name="__xlnm.Print_Area_15" localSheetId="39">#REF!</definedName>
    <definedName name="__xlnm.Print_Area_15" localSheetId="40">#REF!</definedName>
    <definedName name="__xlnm.Print_Area_15" localSheetId="41">#REF!</definedName>
    <definedName name="__xlnm.Print_Area_15" localSheetId="42">#REF!</definedName>
    <definedName name="__xlnm.Print_Area_15" localSheetId="43">#REF!</definedName>
    <definedName name="__xlnm.Print_Area_15" localSheetId="44">#REF!</definedName>
    <definedName name="__xlnm.Print_Area_15" localSheetId="22">#REF!</definedName>
    <definedName name="__xlnm.Print_Area_15" localSheetId="23">#REF!</definedName>
    <definedName name="__xlnm.Print_Area_15">#REF!</definedName>
    <definedName name="__xlnm.Print_Area_16" localSheetId="10">#REF!</definedName>
    <definedName name="__xlnm.Print_Area_16" localSheetId="47">#REF!</definedName>
    <definedName name="__xlnm.Print_Area_16" localSheetId="48">#REF!</definedName>
    <definedName name="__xlnm.Print_Area_16" localSheetId="49">#REF!</definedName>
    <definedName name="__xlnm.Print_Area_16" localSheetId="24">#REF!</definedName>
    <definedName name="__xlnm.Print_Area_16" localSheetId="25">#REF!</definedName>
    <definedName name="__xlnm.Print_Area_16" localSheetId="26">#REF!</definedName>
    <definedName name="__xlnm.Print_Area_16" localSheetId="34">#REF!</definedName>
    <definedName name="__xlnm.Print_Area_16" localSheetId="35">#REF!</definedName>
    <definedName name="__xlnm.Print_Area_16" localSheetId="36">#REF!</definedName>
    <definedName name="__xlnm.Print_Area_16" localSheetId="37">#REF!</definedName>
    <definedName name="__xlnm.Print_Area_16" localSheetId="38">#REF!</definedName>
    <definedName name="__xlnm.Print_Area_16" localSheetId="39">#REF!</definedName>
    <definedName name="__xlnm.Print_Area_16" localSheetId="40">#REF!</definedName>
    <definedName name="__xlnm.Print_Area_16" localSheetId="41">#REF!</definedName>
    <definedName name="__xlnm.Print_Area_16" localSheetId="42">#REF!</definedName>
    <definedName name="__xlnm.Print_Area_16" localSheetId="43">#REF!</definedName>
    <definedName name="__xlnm.Print_Area_16" localSheetId="44">#REF!</definedName>
    <definedName name="__xlnm.Print_Area_16" localSheetId="22">#REF!</definedName>
    <definedName name="__xlnm.Print_Area_16" localSheetId="23">#REF!</definedName>
    <definedName name="__xlnm.Print_Area_16">#REF!</definedName>
    <definedName name="__xlnm.Print_Area_17" localSheetId="10">#REF!</definedName>
    <definedName name="__xlnm.Print_Area_17" localSheetId="47">#REF!</definedName>
    <definedName name="__xlnm.Print_Area_17" localSheetId="48">#REF!</definedName>
    <definedName name="__xlnm.Print_Area_17" localSheetId="49">#REF!</definedName>
    <definedName name="__xlnm.Print_Area_17" localSheetId="24">#REF!</definedName>
    <definedName name="__xlnm.Print_Area_17" localSheetId="25">#REF!</definedName>
    <definedName name="__xlnm.Print_Area_17" localSheetId="26">#REF!</definedName>
    <definedName name="__xlnm.Print_Area_17" localSheetId="34">#REF!</definedName>
    <definedName name="__xlnm.Print_Area_17" localSheetId="35">#REF!</definedName>
    <definedName name="__xlnm.Print_Area_17" localSheetId="36">#REF!</definedName>
    <definedName name="__xlnm.Print_Area_17" localSheetId="37">#REF!</definedName>
    <definedName name="__xlnm.Print_Area_17" localSheetId="38">#REF!</definedName>
    <definedName name="__xlnm.Print_Area_17" localSheetId="39">#REF!</definedName>
    <definedName name="__xlnm.Print_Area_17" localSheetId="40">#REF!</definedName>
    <definedName name="__xlnm.Print_Area_17" localSheetId="41">#REF!</definedName>
    <definedName name="__xlnm.Print_Area_17" localSheetId="42">#REF!</definedName>
    <definedName name="__xlnm.Print_Area_17" localSheetId="43">#REF!</definedName>
    <definedName name="__xlnm.Print_Area_17" localSheetId="44">#REF!</definedName>
    <definedName name="__xlnm.Print_Area_17" localSheetId="22">#REF!</definedName>
    <definedName name="__xlnm.Print_Area_17" localSheetId="23">#REF!</definedName>
    <definedName name="__xlnm.Print_Area_17">#REF!</definedName>
    <definedName name="__xlnm.Print_Area_18" localSheetId="10">#REF!</definedName>
    <definedName name="__xlnm.Print_Area_18" localSheetId="47">#REF!</definedName>
    <definedName name="__xlnm.Print_Area_18" localSheetId="48">#REF!</definedName>
    <definedName name="__xlnm.Print_Area_18" localSheetId="49">#REF!</definedName>
    <definedName name="__xlnm.Print_Area_18" localSheetId="24">#REF!</definedName>
    <definedName name="__xlnm.Print_Area_18" localSheetId="25">#REF!</definedName>
    <definedName name="__xlnm.Print_Area_18" localSheetId="26">#REF!</definedName>
    <definedName name="__xlnm.Print_Area_18" localSheetId="34">#REF!</definedName>
    <definedName name="__xlnm.Print_Area_18" localSheetId="35">#REF!</definedName>
    <definedName name="__xlnm.Print_Area_18" localSheetId="36">#REF!</definedName>
    <definedName name="__xlnm.Print_Area_18" localSheetId="37">#REF!</definedName>
    <definedName name="__xlnm.Print_Area_18" localSheetId="38">#REF!</definedName>
    <definedName name="__xlnm.Print_Area_18" localSheetId="39">#REF!</definedName>
    <definedName name="__xlnm.Print_Area_18" localSheetId="40">#REF!</definedName>
    <definedName name="__xlnm.Print_Area_18" localSheetId="41">#REF!</definedName>
    <definedName name="__xlnm.Print_Area_18" localSheetId="42">#REF!</definedName>
    <definedName name="__xlnm.Print_Area_18" localSheetId="43">#REF!</definedName>
    <definedName name="__xlnm.Print_Area_18" localSheetId="44">#REF!</definedName>
    <definedName name="__xlnm.Print_Area_18" localSheetId="22">#REF!</definedName>
    <definedName name="__xlnm.Print_Area_18" localSheetId="23">#REF!</definedName>
    <definedName name="__xlnm.Print_Area_18">#REF!</definedName>
    <definedName name="__xlnm.Print_Area_19" localSheetId="10">#REF!</definedName>
    <definedName name="__xlnm.Print_Area_19" localSheetId="47">#REF!</definedName>
    <definedName name="__xlnm.Print_Area_19" localSheetId="48">#REF!</definedName>
    <definedName name="__xlnm.Print_Area_19" localSheetId="49">#REF!</definedName>
    <definedName name="__xlnm.Print_Area_19" localSheetId="24">#REF!</definedName>
    <definedName name="__xlnm.Print_Area_19" localSheetId="25">#REF!</definedName>
    <definedName name="__xlnm.Print_Area_19" localSheetId="26">#REF!</definedName>
    <definedName name="__xlnm.Print_Area_19" localSheetId="34">#REF!</definedName>
    <definedName name="__xlnm.Print_Area_19" localSheetId="35">#REF!</definedName>
    <definedName name="__xlnm.Print_Area_19" localSheetId="36">#REF!</definedName>
    <definedName name="__xlnm.Print_Area_19" localSheetId="37">#REF!</definedName>
    <definedName name="__xlnm.Print_Area_19" localSheetId="38">#REF!</definedName>
    <definedName name="__xlnm.Print_Area_19" localSheetId="39">#REF!</definedName>
    <definedName name="__xlnm.Print_Area_19" localSheetId="40">#REF!</definedName>
    <definedName name="__xlnm.Print_Area_19" localSheetId="41">#REF!</definedName>
    <definedName name="__xlnm.Print_Area_19" localSheetId="42">#REF!</definedName>
    <definedName name="__xlnm.Print_Area_19" localSheetId="43">#REF!</definedName>
    <definedName name="__xlnm.Print_Area_19" localSheetId="44">#REF!</definedName>
    <definedName name="__xlnm.Print_Area_19" localSheetId="22">#REF!</definedName>
    <definedName name="__xlnm.Print_Area_19" localSheetId="23">#REF!</definedName>
    <definedName name="__xlnm.Print_Area_19">#REF!</definedName>
    <definedName name="__xlnm.Print_Area_2" localSheetId="10">#REF!</definedName>
    <definedName name="__xlnm.Print_Area_2">'meine Dünger'!$C$1:$O$28</definedName>
    <definedName name="__xlnm.Print_Area_20" localSheetId="10">#REF!</definedName>
    <definedName name="__xlnm.Print_Area_20" localSheetId="47">#REF!</definedName>
    <definedName name="__xlnm.Print_Area_20" localSheetId="48">#REF!</definedName>
    <definedName name="__xlnm.Print_Area_20" localSheetId="49">#REF!</definedName>
    <definedName name="__xlnm.Print_Area_20" localSheetId="24">#REF!</definedName>
    <definedName name="__xlnm.Print_Area_20" localSheetId="25">#REF!</definedName>
    <definedName name="__xlnm.Print_Area_20" localSheetId="26">#REF!</definedName>
    <definedName name="__xlnm.Print_Area_20" localSheetId="34">#REF!</definedName>
    <definedName name="__xlnm.Print_Area_20" localSheetId="35">#REF!</definedName>
    <definedName name="__xlnm.Print_Area_20" localSheetId="36">#REF!</definedName>
    <definedName name="__xlnm.Print_Area_20" localSheetId="37">#REF!</definedName>
    <definedName name="__xlnm.Print_Area_20" localSheetId="38">#REF!</definedName>
    <definedName name="__xlnm.Print_Area_20" localSheetId="39">#REF!</definedName>
    <definedName name="__xlnm.Print_Area_20" localSheetId="40">#REF!</definedName>
    <definedName name="__xlnm.Print_Area_20" localSheetId="41">#REF!</definedName>
    <definedName name="__xlnm.Print_Area_20" localSheetId="42">#REF!</definedName>
    <definedName name="__xlnm.Print_Area_20" localSheetId="43">#REF!</definedName>
    <definedName name="__xlnm.Print_Area_20" localSheetId="44">#REF!</definedName>
    <definedName name="__xlnm.Print_Area_20" localSheetId="22">#REF!</definedName>
    <definedName name="__xlnm.Print_Area_20" localSheetId="23">#REF!</definedName>
    <definedName name="__xlnm.Print_Area_20">#REF!</definedName>
    <definedName name="__xlnm.Print_Area_21" localSheetId="10">#REF!</definedName>
    <definedName name="__xlnm.Print_Area_21" localSheetId="47">#REF!</definedName>
    <definedName name="__xlnm.Print_Area_21" localSheetId="48">#REF!</definedName>
    <definedName name="__xlnm.Print_Area_21" localSheetId="49">#REF!</definedName>
    <definedName name="__xlnm.Print_Area_21" localSheetId="24">#REF!</definedName>
    <definedName name="__xlnm.Print_Area_21" localSheetId="25">#REF!</definedName>
    <definedName name="__xlnm.Print_Area_21" localSheetId="26">#REF!</definedName>
    <definedName name="__xlnm.Print_Area_21" localSheetId="34">#REF!</definedName>
    <definedName name="__xlnm.Print_Area_21" localSheetId="35">#REF!</definedName>
    <definedName name="__xlnm.Print_Area_21" localSheetId="36">#REF!</definedName>
    <definedName name="__xlnm.Print_Area_21" localSheetId="37">#REF!</definedName>
    <definedName name="__xlnm.Print_Area_21" localSheetId="38">#REF!</definedName>
    <definedName name="__xlnm.Print_Area_21" localSheetId="39">#REF!</definedName>
    <definedName name="__xlnm.Print_Area_21" localSheetId="40">#REF!</definedName>
    <definedName name="__xlnm.Print_Area_21" localSheetId="41">#REF!</definedName>
    <definedName name="__xlnm.Print_Area_21" localSheetId="42">#REF!</definedName>
    <definedName name="__xlnm.Print_Area_21" localSheetId="43">#REF!</definedName>
    <definedName name="__xlnm.Print_Area_21" localSheetId="44">#REF!</definedName>
    <definedName name="__xlnm.Print_Area_21" localSheetId="22">#REF!</definedName>
    <definedName name="__xlnm.Print_Area_21" localSheetId="23">#REF!</definedName>
    <definedName name="__xlnm.Print_Area_21">#REF!</definedName>
    <definedName name="__xlnm.Print_Area_22" localSheetId="10">#REF!</definedName>
    <definedName name="__xlnm.Print_Area_22" localSheetId="47">#REF!</definedName>
    <definedName name="__xlnm.Print_Area_22" localSheetId="48">#REF!</definedName>
    <definedName name="__xlnm.Print_Area_22" localSheetId="49">#REF!</definedName>
    <definedName name="__xlnm.Print_Area_22" localSheetId="24">#REF!</definedName>
    <definedName name="__xlnm.Print_Area_22" localSheetId="25">#REF!</definedName>
    <definedName name="__xlnm.Print_Area_22" localSheetId="26">#REF!</definedName>
    <definedName name="__xlnm.Print_Area_22" localSheetId="34">#REF!</definedName>
    <definedName name="__xlnm.Print_Area_22" localSheetId="35">#REF!</definedName>
    <definedName name="__xlnm.Print_Area_22" localSheetId="36">#REF!</definedName>
    <definedName name="__xlnm.Print_Area_22" localSheetId="37">#REF!</definedName>
    <definedName name="__xlnm.Print_Area_22" localSheetId="38">#REF!</definedName>
    <definedName name="__xlnm.Print_Area_22" localSheetId="39">#REF!</definedName>
    <definedName name="__xlnm.Print_Area_22" localSheetId="40">#REF!</definedName>
    <definedName name="__xlnm.Print_Area_22" localSheetId="41">#REF!</definedName>
    <definedName name="__xlnm.Print_Area_22" localSheetId="42">#REF!</definedName>
    <definedName name="__xlnm.Print_Area_22" localSheetId="43">#REF!</definedName>
    <definedName name="__xlnm.Print_Area_22" localSheetId="44">#REF!</definedName>
    <definedName name="__xlnm.Print_Area_22" localSheetId="22">#REF!</definedName>
    <definedName name="__xlnm.Print_Area_22" localSheetId="23">#REF!</definedName>
    <definedName name="__xlnm.Print_Area_22">#REF!</definedName>
    <definedName name="__xlnm.Print_Area_23" localSheetId="10">#REF!</definedName>
    <definedName name="__xlnm.Print_Area_23">S_Test!$A$1:$H$40</definedName>
    <definedName name="__xlnm.Print_Area_24" localSheetId="10">#REF!</definedName>
    <definedName name="__xlnm.Print_Area_24" localSheetId="47">#REF!</definedName>
    <definedName name="__xlnm.Print_Area_24" localSheetId="48">#REF!</definedName>
    <definedName name="__xlnm.Print_Area_24" localSheetId="49">#REF!</definedName>
    <definedName name="__xlnm.Print_Area_24" localSheetId="24">#REF!</definedName>
    <definedName name="__xlnm.Print_Area_24" localSheetId="25">#REF!</definedName>
    <definedName name="__xlnm.Print_Area_24" localSheetId="26">#REF!</definedName>
    <definedName name="__xlnm.Print_Area_24" localSheetId="34">#REF!</definedName>
    <definedName name="__xlnm.Print_Area_24" localSheetId="35">#REF!</definedName>
    <definedName name="__xlnm.Print_Area_24" localSheetId="36">#REF!</definedName>
    <definedName name="__xlnm.Print_Area_24" localSheetId="37">#REF!</definedName>
    <definedName name="__xlnm.Print_Area_24" localSheetId="38">#REF!</definedName>
    <definedName name="__xlnm.Print_Area_24" localSheetId="39">#REF!</definedName>
    <definedName name="__xlnm.Print_Area_24" localSheetId="40">#REF!</definedName>
    <definedName name="__xlnm.Print_Area_24" localSheetId="41">#REF!</definedName>
    <definedName name="__xlnm.Print_Area_24" localSheetId="42">#REF!</definedName>
    <definedName name="__xlnm.Print_Area_24" localSheetId="43">#REF!</definedName>
    <definedName name="__xlnm.Print_Area_24" localSheetId="44">#REF!</definedName>
    <definedName name="__xlnm.Print_Area_24" localSheetId="22">#REF!</definedName>
    <definedName name="__xlnm.Print_Area_24" localSheetId="23">#REF!</definedName>
    <definedName name="__xlnm.Print_Area_24">#REF!</definedName>
    <definedName name="__xlnm.Print_Area_25" localSheetId="10">#REF!</definedName>
    <definedName name="__xlnm.Print_Area_25" localSheetId="47">#REF!</definedName>
    <definedName name="__xlnm.Print_Area_25" localSheetId="48">#REF!</definedName>
    <definedName name="__xlnm.Print_Area_25" localSheetId="49">#REF!</definedName>
    <definedName name="__xlnm.Print_Area_25" localSheetId="24">#REF!</definedName>
    <definedName name="__xlnm.Print_Area_25" localSheetId="25">#REF!</definedName>
    <definedName name="__xlnm.Print_Area_25" localSheetId="26">#REF!</definedName>
    <definedName name="__xlnm.Print_Area_25" localSheetId="34">#REF!</definedName>
    <definedName name="__xlnm.Print_Area_25" localSheetId="35">#REF!</definedName>
    <definedName name="__xlnm.Print_Area_25" localSheetId="36">#REF!</definedName>
    <definedName name="__xlnm.Print_Area_25" localSheetId="37">#REF!</definedName>
    <definedName name="__xlnm.Print_Area_25" localSheetId="38">#REF!</definedName>
    <definedName name="__xlnm.Print_Area_25" localSheetId="39">#REF!</definedName>
    <definedName name="__xlnm.Print_Area_25" localSheetId="40">#REF!</definedName>
    <definedName name="__xlnm.Print_Area_25" localSheetId="41">#REF!</definedName>
    <definedName name="__xlnm.Print_Area_25" localSheetId="42">#REF!</definedName>
    <definedName name="__xlnm.Print_Area_25" localSheetId="43">#REF!</definedName>
    <definedName name="__xlnm.Print_Area_25" localSheetId="44">#REF!</definedName>
    <definedName name="__xlnm.Print_Area_25" localSheetId="22">#REF!</definedName>
    <definedName name="__xlnm.Print_Area_25" localSheetId="23">#REF!</definedName>
    <definedName name="__xlnm.Print_Area_25">#REF!</definedName>
    <definedName name="__xlnm.Print_Area_26" localSheetId="10">#REF!</definedName>
    <definedName name="__xlnm.Print_Area_26" localSheetId="47">#REF!</definedName>
    <definedName name="__xlnm.Print_Area_26" localSheetId="48">#REF!</definedName>
    <definedName name="__xlnm.Print_Area_26" localSheetId="49">#REF!</definedName>
    <definedName name="__xlnm.Print_Area_26" localSheetId="24">#REF!</definedName>
    <definedName name="__xlnm.Print_Area_26" localSheetId="25">#REF!</definedName>
    <definedName name="__xlnm.Print_Area_26" localSheetId="26">#REF!</definedName>
    <definedName name="__xlnm.Print_Area_26" localSheetId="34">#REF!</definedName>
    <definedName name="__xlnm.Print_Area_26" localSheetId="35">#REF!</definedName>
    <definedName name="__xlnm.Print_Area_26" localSheetId="36">#REF!</definedName>
    <definedName name="__xlnm.Print_Area_26" localSheetId="37">#REF!</definedName>
    <definedName name="__xlnm.Print_Area_26" localSheetId="38">#REF!</definedName>
    <definedName name="__xlnm.Print_Area_26" localSheetId="39">#REF!</definedName>
    <definedName name="__xlnm.Print_Area_26" localSheetId="40">#REF!</definedName>
    <definedName name="__xlnm.Print_Area_26" localSheetId="41">#REF!</definedName>
    <definedName name="__xlnm.Print_Area_26" localSheetId="42">#REF!</definedName>
    <definedName name="__xlnm.Print_Area_26" localSheetId="43">#REF!</definedName>
    <definedName name="__xlnm.Print_Area_26" localSheetId="44">#REF!</definedName>
    <definedName name="__xlnm.Print_Area_26" localSheetId="22">#REF!</definedName>
    <definedName name="__xlnm.Print_Area_26" localSheetId="23">#REF!</definedName>
    <definedName name="__xlnm.Print_Area_26">#REF!</definedName>
    <definedName name="__xlnm.Print_Area_27" localSheetId="10">#REF!</definedName>
    <definedName name="__xlnm.Print_Area_27" localSheetId="47">#REF!</definedName>
    <definedName name="__xlnm.Print_Area_27" localSheetId="48">#REF!</definedName>
    <definedName name="__xlnm.Print_Area_27" localSheetId="49">#REF!</definedName>
    <definedName name="__xlnm.Print_Area_27" localSheetId="24">#REF!</definedName>
    <definedName name="__xlnm.Print_Area_27" localSheetId="25">#REF!</definedName>
    <definedName name="__xlnm.Print_Area_27" localSheetId="26">#REF!</definedName>
    <definedName name="__xlnm.Print_Area_27" localSheetId="34">#REF!</definedName>
    <definedName name="__xlnm.Print_Area_27" localSheetId="35">#REF!</definedName>
    <definedName name="__xlnm.Print_Area_27" localSheetId="36">#REF!</definedName>
    <definedName name="__xlnm.Print_Area_27" localSheetId="37">#REF!</definedName>
    <definedName name="__xlnm.Print_Area_27" localSheetId="38">#REF!</definedName>
    <definedName name="__xlnm.Print_Area_27" localSheetId="39">#REF!</definedName>
    <definedName name="__xlnm.Print_Area_27" localSheetId="40">#REF!</definedName>
    <definedName name="__xlnm.Print_Area_27" localSheetId="41">#REF!</definedName>
    <definedName name="__xlnm.Print_Area_27" localSheetId="42">#REF!</definedName>
    <definedName name="__xlnm.Print_Area_27" localSheetId="43">#REF!</definedName>
    <definedName name="__xlnm.Print_Area_27" localSheetId="44">#REF!</definedName>
    <definedName name="__xlnm.Print_Area_27" localSheetId="22">#REF!</definedName>
    <definedName name="__xlnm.Print_Area_27" localSheetId="23">#REF!</definedName>
    <definedName name="__xlnm.Print_Area_27">#REF!</definedName>
    <definedName name="__xlnm.Print_Area_28" localSheetId="10">#REF!</definedName>
    <definedName name="__xlnm.Print_Area_28" localSheetId="47">#REF!</definedName>
    <definedName name="__xlnm.Print_Area_28" localSheetId="48">#REF!</definedName>
    <definedName name="__xlnm.Print_Area_28" localSheetId="49">#REF!</definedName>
    <definedName name="__xlnm.Print_Area_28" localSheetId="24">#REF!</definedName>
    <definedName name="__xlnm.Print_Area_28" localSheetId="25">#REF!</definedName>
    <definedName name="__xlnm.Print_Area_28" localSheetId="26">#REF!</definedName>
    <definedName name="__xlnm.Print_Area_28" localSheetId="34">#REF!</definedName>
    <definedName name="__xlnm.Print_Area_28" localSheetId="35">#REF!</definedName>
    <definedName name="__xlnm.Print_Area_28" localSheetId="36">#REF!</definedName>
    <definedName name="__xlnm.Print_Area_28" localSheetId="37">#REF!</definedName>
    <definedName name="__xlnm.Print_Area_28" localSheetId="38">#REF!</definedName>
    <definedName name="__xlnm.Print_Area_28" localSheetId="39">#REF!</definedName>
    <definedName name="__xlnm.Print_Area_28" localSheetId="40">#REF!</definedName>
    <definedName name="__xlnm.Print_Area_28" localSheetId="41">#REF!</definedName>
    <definedName name="__xlnm.Print_Area_28" localSheetId="42">#REF!</definedName>
    <definedName name="__xlnm.Print_Area_28" localSheetId="43">#REF!</definedName>
    <definedName name="__xlnm.Print_Area_28" localSheetId="44">#REF!</definedName>
    <definedName name="__xlnm.Print_Area_28" localSheetId="22">#REF!</definedName>
    <definedName name="__xlnm.Print_Area_28" localSheetId="23">#REF!</definedName>
    <definedName name="__xlnm.Print_Area_28">#REF!</definedName>
    <definedName name="__xlnm.Print_Area_29" localSheetId="10">#REF!</definedName>
    <definedName name="__xlnm.Print_Area_29" localSheetId="47">#REF!</definedName>
    <definedName name="__xlnm.Print_Area_29" localSheetId="48">#REF!</definedName>
    <definedName name="__xlnm.Print_Area_29" localSheetId="49">#REF!</definedName>
    <definedName name="__xlnm.Print_Area_29" localSheetId="24">#REF!</definedName>
    <definedName name="__xlnm.Print_Area_29" localSheetId="25">#REF!</definedName>
    <definedName name="__xlnm.Print_Area_29" localSheetId="26">#REF!</definedName>
    <definedName name="__xlnm.Print_Area_29" localSheetId="34">#REF!</definedName>
    <definedName name="__xlnm.Print_Area_29" localSheetId="35">#REF!</definedName>
    <definedName name="__xlnm.Print_Area_29" localSheetId="36">#REF!</definedName>
    <definedName name="__xlnm.Print_Area_29" localSheetId="37">#REF!</definedName>
    <definedName name="__xlnm.Print_Area_29" localSheetId="38">#REF!</definedName>
    <definedName name="__xlnm.Print_Area_29" localSheetId="39">#REF!</definedName>
    <definedName name="__xlnm.Print_Area_29" localSheetId="40">#REF!</definedName>
    <definedName name="__xlnm.Print_Area_29" localSheetId="41">#REF!</definedName>
    <definedName name="__xlnm.Print_Area_29" localSheetId="42">#REF!</definedName>
    <definedName name="__xlnm.Print_Area_29" localSheetId="43">#REF!</definedName>
    <definedName name="__xlnm.Print_Area_29" localSheetId="44">#REF!</definedName>
    <definedName name="__xlnm.Print_Area_29" localSheetId="22">#REF!</definedName>
    <definedName name="__xlnm.Print_Area_29" localSheetId="23">#REF!</definedName>
    <definedName name="__xlnm.Print_Area_29">#REF!</definedName>
    <definedName name="__xlnm.Print_Area_30" localSheetId="10">#REF!</definedName>
    <definedName name="__xlnm.Print_Area_30" localSheetId="47">#REF!</definedName>
    <definedName name="__xlnm.Print_Area_30" localSheetId="48">#REF!</definedName>
    <definedName name="__xlnm.Print_Area_30" localSheetId="49">#REF!</definedName>
    <definedName name="__xlnm.Print_Area_30" localSheetId="24">#REF!</definedName>
    <definedName name="__xlnm.Print_Area_30" localSheetId="25">#REF!</definedName>
    <definedName name="__xlnm.Print_Area_30" localSheetId="26">#REF!</definedName>
    <definedName name="__xlnm.Print_Area_30" localSheetId="34">#REF!</definedName>
    <definedName name="__xlnm.Print_Area_30" localSheetId="35">#REF!</definedName>
    <definedName name="__xlnm.Print_Area_30" localSheetId="36">#REF!</definedName>
    <definedName name="__xlnm.Print_Area_30" localSheetId="37">#REF!</definedName>
    <definedName name="__xlnm.Print_Area_30" localSheetId="38">#REF!</definedName>
    <definedName name="__xlnm.Print_Area_30" localSheetId="39">#REF!</definedName>
    <definedName name="__xlnm.Print_Area_30" localSheetId="40">#REF!</definedName>
    <definedName name="__xlnm.Print_Area_30" localSheetId="41">#REF!</definedName>
    <definedName name="__xlnm.Print_Area_30" localSheetId="42">#REF!</definedName>
    <definedName name="__xlnm.Print_Area_30" localSheetId="43">#REF!</definedName>
    <definedName name="__xlnm.Print_Area_30" localSheetId="44">#REF!</definedName>
    <definedName name="__xlnm.Print_Area_30" localSheetId="22">#REF!</definedName>
    <definedName name="__xlnm.Print_Area_30" localSheetId="23">#REF!</definedName>
    <definedName name="__xlnm.Print_Area_30">#REF!</definedName>
    <definedName name="__xlnm.Print_Area_31" localSheetId="10">#REF!</definedName>
    <definedName name="__xlnm.Print_Area_31" localSheetId="47">#REF!</definedName>
    <definedName name="__xlnm.Print_Area_31" localSheetId="48">#REF!</definedName>
    <definedName name="__xlnm.Print_Area_31" localSheetId="49">#REF!</definedName>
    <definedName name="__xlnm.Print_Area_31" localSheetId="24">#REF!</definedName>
    <definedName name="__xlnm.Print_Area_31" localSheetId="25">#REF!</definedName>
    <definedName name="__xlnm.Print_Area_31" localSheetId="26">#REF!</definedName>
    <definedName name="__xlnm.Print_Area_31" localSheetId="34">#REF!</definedName>
    <definedName name="__xlnm.Print_Area_31" localSheetId="35">#REF!</definedName>
    <definedName name="__xlnm.Print_Area_31" localSheetId="36">#REF!</definedName>
    <definedName name="__xlnm.Print_Area_31" localSheetId="37">#REF!</definedName>
    <definedName name="__xlnm.Print_Area_31" localSheetId="38">#REF!</definedName>
    <definedName name="__xlnm.Print_Area_31" localSheetId="39">#REF!</definedName>
    <definedName name="__xlnm.Print_Area_31" localSheetId="40">#REF!</definedName>
    <definedName name="__xlnm.Print_Area_31" localSheetId="41">#REF!</definedName>
    <definedName name="__xlnm.Print_Area_31" localSheetId="42">#REF!</definedName>
    <definedName name="__xlnm.Print_Area_31" localSheetId="43">#REF!</definedName>
    <definedName name="__xlnm.Print_Area_31" localSheetId="44">#REF!</definedName>
    <definedName name="__xlnm.Print_Area_31" localSheetId="22">#REF!</definedName>
    <definedName name="__xlnm.Print_Area_31" localSheetId="23">#REF!</definedName>
    <definedName name="__xlnm.Print_Area_31">#REF!</definedName>
    <definedName name="__xlnm.Print_Area_32" localSheetId="10">#REF!</definedName>
    <definedName name="__xlnm.Print_Area_32" localSheetId="47">#REF!</definedName>
    <definedName name="__xlnm.Print_Area_32" localSheetId="48">#REF!</definedName>
    <definedName name="__xlnm.Print_Area_32" localSheetId="49">#REF!</definedName>
    <definedName name="__xlnm.Print_Area_32" localSheetId="24">#REF!</definedName>
    <definedName name="__xlnm.Print_Area_32" localSheetId="25">#REF!</definedName>
    <definedName name="__xlnm.Print_Area_32" localSheetId="26">#REF!</definedName>
    <definedName name="__xlnm.Print_Area_32" localSheetId="34">#REF!</definedName>
    <definedName name="__xlnm.Print_Area_32" localSheetId="35">#REF!</definedName>
    <definedName name="__xlnm.Print_Area_32" localSheetId="36">#REF!</definedName>
    <definedName name="__xlnm.Print_Area_32" localSheetId="37">#REF!</definedName>
    <definedName name="__xlnm.Print_Area_32" localSheetId="38">#REF!</definedName>
    <definedName name="__xlnm.Print_Area_32" localSheetId="39">#REF!</definedName>
    <definedName name="__xlnm.Print_Area_32" localSheetId="40">#REF!</definedName>
    <definedName name="__xlnm.Print_Area_32" localSheetId="41">#REF!</definedName>
    <definedName name="__xlnm.Print_Area_32" localSheetId="42">#REF!</definedName>
    <definedName name="__xlnm.Print_Area_32" localSheetId="43">#REF!</definedName>
    <definedName name="__xlnm.Print_Area_32" localSheetId="44">#REF!</definedName>
    <definedName name="__xlnm.Print_Area_32" localSheetId="22">#REF!</definedName>
    <definedName name="__xlnm.Print_Area_32" localSheetId="23">#REF!</definedName>
    <definedName name="__xlnm.Print_Area_32">#REF!</definedName>
    <definedName name="__xlnm.Print_Area_33" localSheetId="10">#REF!</definedName>
    <definedName name="__xlnm.Print_Area_33" localSheetId="47">#REF!</definedName>
    <definedName name="__xlnm.Print_Area_33" localSheetId="48">#REF!</definedName>
    <definedName name="__xlnm.Print_Area_33" localSheetId="49">#REF!</definedName>
    <definedName name="__xlnm.Print_Area_33" localSheetId="24">#REF!</definedName>
    <definedName name="__xlnm.Print_Area_33" localSheetId="25">#REF!</definedName>
    <definedName name="__xlnm.Print_Area_33" localSheetId="26">#REF!</definedName>
    <definedName name="__xlnm.Print_Area_33" localSheetId="34">#REF!</definedName>
    <definedName name="__xlnm.Print_Area_33" localSheetId="35">#REF!</definedName>
    <definedName name="__xlnm.Print_Area_33" localSheetId="36">#REF!</definedName>
    <definedName name="__xlnm.Print_Area_33" localSheetId="37">#REF!</definedName>
    <definedName name="__xlnm.Print_Area_33" localSheetId="38">#REF!</definedName>
    <definedName name="__xlnm.Print_Area_33" localSheetId="39">#REF!</definedName>
    <definedName name="__xlnm.Print_Area_33" localSheetId="40">#REF!</definedName>
    <definedName name="__xlnm.Print_Area_33" localSheetId="41">#REF!</definedName>
    <definedName name="__xlnm.Print_Area_33" localSheetId="42">#REF!</definedName>
    <definedName name="__xlnm.Print_Area_33" localSheetId="43">#REF!</definedName>
    <definedName name="__xlnm.Print_Area_33" localSheetId="44">#REF!</definedName>
    <definedName name="__xlnm.Print_Area_33" localSheetId="22">#REF!</definedName>
    <definedName name="__xlnm.Print_Area_33" localSheetId="23">#REF!</definedName>
    <definedName name="__xlnm.Print_Area_33">#REF!</definedName>
    <definedName name="__xlnm.Print_Area_34" localSheetId="10">#REF!</definedName>
    <definedName name="__xlnm.Print_Area_34" localSheetId="47">#REF!</definedName>
    <definedName name="__xlnm.Print_Area_34" localSheetId="48">#REF!</definedName>
    <definedName name="__xlnm.Print_Area_34" localSheetId="49">#REF!</definedName>
    <definedName name="__xlnm.Print_Area_34" localSheetId="24">#REF!</definedName>
    <definedName name="__xlnm.Print_Area_34" localSheetId="25">#REF!</definedName>
    <definedName name="__xlnm.Print_Area_34" localSheetId="26">#REF!</definedName>
    <definedName name="__xlnm.Print_Area_34" localSheetId="34">#REF!</definedName>
    <definedName name="__xlnm.Print_Area_34" localSheetId="35">#REF!</definedName>
    <definedName name="__xlnm.Print_Area_34" localSheetId="36">#REF!</definedName>
    <definedName name="__xlnm.Print_Area_34" localSheetId="37">#REF!</definedName>
    <definedName name="__xlnm.Print_Area_34" localSheetId="38">#REF!</definedName>
    <definedName name="__xlnm.Print_Area_34" localSheetId="39">#REF!</definedName>
    <definedName name="__xlnm.Print_Area_34" localSheetId="40">#REF!</definedName>
    <definedName name="__xlnm.Print_Area_34" localSheetId="41">#REF!</definedName>
    <definedName name="__xlnm.Print_Area_34" localSheetId="42">#REF!</definedName>
    <definedName name="__xlnm.Print_Area_34" localSheetId="43">#REF!</definedName>
    <definedName name="__xlnm.Print_Area_34" localSheetId="44">#REF!</definedName>
    <definedName name="__xlnm.Print_Area_34" localSheetId="22">#REF!</definedName>
    <definedName name="__xlnm.Print_Area_34" localSheetId="23">#REF!</definedName>
    <definedName name="__xlnm.Print_Area_34">#REF!</definedName>
    <definedName name="__xlnm.Print_Area_35" localSheetId="10">#REF!</definedName>
    <definedName name="__xlnm.Print_Area_35" localSheetId="47">#REF!</definedName>
    <definedName name="__xlnm.Print_Area_35" localSheetId="48">#REF!</definedName>
    <definedName name="__xlnm.Print_Area_35" localSheetId="49">#REF!</definedName>
    <definedName name="__xlnm.Print_Area_35" localSheetId="24">#REF!</definedName>
    <definedName name="__xlnm.Print_Area_35" localSheetId="25">#REF!</definedName>
    <definedName name="__xlnm.Print_Area_35" localSheetId="26">#REF!</definedName>
    <definedName name="__xlnm.Print_Area_35" localSheetId="34">#REF!</definedName>
    <definedName name="__xlnm.Print_Area_35" localSheetId="35">#REF!</definedName>
    <definedName name="__xlnm.Print_Area_35" localSheetId="36">#REF!</definedName>
    <definedName name="__xlnm.Print_Area_35" localSheetId="37">#REF!</definedName>
    <definedName name="__xlnm.Print_Area_35" localSheetId="38">#REF!</definedName>
    <definedName name="__xlnm.Print_Area_35" localSheetId="39">#REF!</definedName>
    <definedName name="__xlnm.Print_Area_35" localSheetId="40">#REF!</definedName>
    <definedName name="__xlnm.Print_Area_35" localSheetId="41">#REF!</definedName>
    <definedName name="__xlnm.Print_Area_35" localSheetId="42">#REF!</definedName>
    <definedName name="__xlnm.Print_Area_35" localSheetId="43">#REF!</definedName>
    <definedName name="__xlnm.Print_Area_35" localSheetId="44">#REF!</definedName>
    <definedName name="__xlnm.Print_Area_35" localSheetId="22">#REF!</definedName>
    <definedName name="__xlnm.Print_Area_35" localSheetId="23">#REF!</definedName>
    <definedName name="__xlnm.Print_Area_35">#REF!</definedName>
    <definedName name="__xlnm.Print_Area_36" localSheetId="47">#REF!</definedName>
    <definedName name="__xlnm.Print_Area_36" localSheetId="48">#REF!</definedName>
    <definedName name="__xlnm.Print_Area_36" localSheetId="49">#REF!</definedName>
    <definedName name="__xlnm.Print_Area_36" localSheetId="24">#REF!</definedName>
    <definedName name="__xlnm.Print_Area_36" localSheetId="25">#REF!</definedName>
    <definedName name="__xlnm.Print_Area_36" localSheetId="26">#REF!</definedName>
    <definedName name="__xlnm.Print_Area_36" localSheetId="28">#REF!</definedName>
    <definedName name="__xlnm.Print_Area_36" localSheetId="29">#REF!</definedName>
    <definedName name="__xlnm.Print_Area_36" localSheetId="30">#REF!</definedName>
    <definedName name="__xlnm.Print_Area_36" localSheetId="31">#REF!</definedName>
    <definedName name="__xlnm.Print_Area_36" localSheetId="32">#REF!</definedName>
    <definedName name="__xlnm.Print_Area_36" localSheetId="33">#REF!</definedName>
    <definedName name="__xlnm.Print_Area_36" localSheetId="16">#REF!</definedName>
    <definedName name="__xlnm.Print_Area_36" localSheetId="34">#REF!</definedName>
    <definedName name="__xlnm.Print_Area_36" localSheetId="35">#REF!</definedName>
    <definedName name="__xlnm.Print_Area_36" localSheetId="36">#REF!</definedName>
    <definedName name="__xlnm.Print_Area_36" localSheetId="37">#REF!</definedName>
    <definedName name="__xlnm.Print_Area_36" localSheetId="38">#REF!</definedName>
    <definedName name="__xlnm.Print_Area_36" localSheetId="39">#REF!</definedName>
    <definedName name="__xlnm.Print_Area_36" localSheetId="40">#REF!</definedName>
    <definedName name="__xlnm.Print_Area_36" localSheetId="41">#REF!</definedName>
    <definedName name="__xlnm.Print_Area_36" localSheetId="42">#REF!</definedName>
    <definedName name="__xlnm.Print_Area_36" localSheetId="43">#REF!</definedName>
    <definedName name="__xlnm.Print_Area_36" localSheetId="17">#REF!</definedName>
    <definedName name="__xlnm.Print_Area_36" localSheetId="44">#REF!</definedName>
    <definedName name="__xlnm.Print_Area_36" localSheetId="18">#REF!</definedName>
    <definedName name="__xlnm.Print_Area_36" localSheetId="19">#REF!</definedName>
    <definedName name="__xlnm.Print_Area_36" localSheetId="20">#REF!</definedName>
    <definedName name="__xlnm.Print_Area_36" localSheetId="21">#REF!</definedName>
    <definedName name="__xlnm.Print_Area_36" localSheetId="22">#REF!</definedName>
    <definedName name="__xlnm.Print_Area_36" localSheetId="23">#REF!</definedName>
    <definedName name="__xlnm.Print_Area_36">#REF!</definedName>
    <definedName name="__xlnm.Print_Area_37" localSheetId="47">#REF!</definedName>
    <definedName name="__xlnm.Print_Area_37" localSheetId="48">#REF!</definedName>
    <definedName name="__xlnm.Print_Area_37" localSheetId="49">#REF!</definedName>
    <definedName name="__xlnm.Print_Area_37" localSheetId="24">#REF!</definedName>
    <definedName name="__xlnm.Print_Area_37" localSheetId="25">#REF!</definedName>
    <definedName name="__xlnm.Print_Area_37" localSheetId="26">#REF!</definedName>
    <definedName name="__xlnm.Print_Area_37" localSheetId="28">#REF!</definedName>
    <definedName name="__xlnm.Print_Area_37" localSheetId="29">#REF!</definedName>
    <definedName name="__xlnm.Print_Area_37" localSheetId="30">#REF!</definedName>
    <definedName name="__xlnm.Print_Area_37" localSheetId="31">#REF!</definedName>
    <definedName name="__xlnm.Print_Area_37" localSheetId="32">#REF!</definedName>
    <definedName name="__xlnm.Print_Area_37" localSheetId="33">#REF!</definedName>
    <definedName name="__xlnm.Print_Area_37" localSheetId="16">#REF!</definedName>
    <definedName name="__xlnm.Print_Area_37" localSheetId="34">#REF!</definedName>
    <definedName name="__xlnm.Print_Area_37" localSheetId="35">#REF!</definedName>
    <definedName name="__xlnm.Print_Area_37" localSheetId="36">#REF!</definedName>
    <definedName name="__xlnm.Print_Area_37" localSheetId="37">#REF!</definedName>
    <definedName name="__xlnm.Print_Area_37" localSheetId="38">#REF!</definedName>
    <definedName name="__xlnm.Print_Area_37" localSheetId="39">#REF!</definedName>
    <definedName name="__xlnm.Print_Area_37" localSheetId="40">#REF!</definedName>
    <definedName name="__xlnm.Print_Area_37" localSheetId="41">#REF!</definedName>
    <definedName name="__xlnm.Print_Area_37" localSheetId="42">#REF!</definedName>
    <definedName name="__xlnm.Print_Area_37" localSheetId="43">#REF!</definedName>
    <definedName name="__xlnm.Print_Area_37" localSheetId="17">#REF!</definedName>
    <definedName name="__xlnm.Print_Area_37" localSheetId="44">#REF!</definedName>
    <definedName name="__xlnm.Print_Area_37" localSheetId="18">#REF!</definedName>
    <definedName name="__xlnm.Print_Area_37" localSheetId="19">#REF!</definedName>
    <definedName name="__xlnm.Print_Area_37" localSheetId="20">#REF!</definedName>
    <definedName name="__xlnm.Print_Area_37" localSheetId="21">#REF!</definedName>
    <definedName name="__xlnm.Print_Area_37" localSheetId="22">#REF!</definedName>
    <definedName name="__xlnm.Print_Area_37" localSheetId="23">#REF!</definedName>
    <definedName name="__xlnm.Print_Area_37">#REF!</definedName>
    <definedName name="__xlnm.Print_Area_38" localSheetId="47">#REF!</definedName>
    <definedName name="__xlnm.Print_Area_38" localSheetId="48">#REF!</definedName>
    <definedName name="__xlnm.Print_Area_38" localSheetId="49">#REF!</definedName>
    <definedName name="__xlnm.Print_Area_38" localSheetId="24">#REF!</definedName>
    <definedName name="__xlnm.Print_Area_38" localSheetId="25">#REF!</definedName>
    <definedName name="__xlnm.Print_Area_38" localSheetId="26">#REF!</definedName>
    <definedName name="__xlnm.Print_Area_38" localSheetId="28">#REF!</definedName>
    <definedName name="__xlnm.Print_Area_38" localSheetId="29">#REF!</definedName>
    <definedName name="__xlnm.Print_Area_38" localSheetId="30">#REF!</definedName>
    <definedName name="__xlnm.Print_Area_38" localSheetId="31">#REF!</definedName>
    <definedName name="__xlnm.Print_Area_38" localSheetId="32">#REF!</definedName>
    <definedName name="__xlnm.Print_Area_38" localSheetId="33">#REF!</definedName>
    <definedName name="__xlnm.Print_Area_38" localSheetId="16">#REF!</definedName>
    <definedName name="__xlnm.Print_Area_38" localSheetId="34">#REF!</definedName>
    <definedName name="__xlnm.Print_Area_38" localSheetId="35">#REF!</definedName>
    <definedName name="__xlnm.Print_Area_38" localSheetId="36">#REF!</definedName>
    <definedName name="__xlnm.Print_Area_38" localSheetId="37">#REF!</definedName>
    <definedName name="__xlnm.Print_Area_38" localSheetId="38">#REF!</definedName>
    <definedName name="__xlnm.Print_Area_38" localSheetId="39">#REF!</definedName>
    <definedName name="__xlnm.Print_Area_38" localSheetId="40">#REF!</definedName>
    <definedName name="__xlnm.Print_Area_38" localSheetId="41">#REF!</definedName>
    <definedName name="__xlnm.Print_Area_38" localSheetId="42">#REF!</definedName>
    <definedName name="__xlnm.Print_Area_38" localSheetId="43">#REF!</definedName>
    <definedName name="__xlnm.Print_Area_38" localSheetId="17">#REF!</definedName>
    <definedName name="__xlnm.Print_Area_38" localSheetId="44">#REF!</definedName>
    <definedName name="__xlnm.Print_Area_38" localSheetId="18">#REF!</definedName>
    <definedName name="__xlnm.Print_Area_38" localSheetId="19">#REF!</definedName>
    <definedName name="__xlnm.Print_Area_38" localSheetId="20">#REF!</definedName>
    <definedName name="__xlnm.Print_Area_38" localSheetId="21">#REF!</definedName>
    <definedName name="__xlnm.Print_Area_38" localSheetId="22">#REF!</definedName>
    <definedName name="__xlnm.Print_Area_38" localSheetId="23">#REF!</definedName>
    <definedName name="__xlnm.Print_Area_38">#REF!</definedName>
    <definedName name="__xlnm.Print_Area_39" localSheetId="47">#REF!</definedName>
    <definedName name="__xlnm.Print_Area_39" localSheetId="48">#REF!</definedName>
    <definedName name="__xlnm.Print_Area_39" localSheetId="49">#REF!</definedName>
    <definedName name="__xlnm.Print_Area_39" localSheetId="24">#REF!</definedName>
    <definedName name="__xlnm.Print_Area_39" localSheetId="25">#REF!</definedName>
    <definedName name="__xlnm.Print_Area_39" localSheetId="26">#REF!</definedName>
    <definedName name="__xlnm.Print_Area_39" localSheetId="28">#REF!</definedName>
    <definedName name="__xlnm.Print_Area_39" localSheetId="29">#REF!</definedName>
    <definedName name="__xlnm.Print_Area_39" localSheetId="30">#REF!</definedName>
    <definedName name="__xlnm.Print_Area_39" localSheetId="31">#REF!</definedName>
    <definedName name="__xlnm.Print_Area_39" localSheetId="32">#REF!</definedName>
    <definedName name="__xlnm.Print_Area_39" localSheetId="33">#REF!</definedName>
    <definedName name="__xlnm.Print_Area_39" localSheetId="16">#REF!</definedName>
    <definedName name="__xlnm.Print_Area_39" localSheetId="34">#REF!</definedName>
    <definedName name="__xlnm.Print_Area_39" localSheetId="35">#REF!</definedName>
    <definedName name="__xlnm.Print_Area_39" localSheetId="36">#REF!</definedName>
    <definedName name="__xlnm.Print_Area_39" localSheetId="37">#REF!</definedName>
    <definedName name="__xlnm.Print_Area_39" localSheetId="38">#REF!</definedName>
    <definedName name="__xlnm.Print_Area_39" localSheetId="39">#REF!</definedName>
    <definedName name="__xlnm.Print_Area_39" localSheetId="40">#REF!</definedName>
    <definedName name="__xlnm.Print_Area_39" localSheetId="41">#REF!</definedName>
    <definedName name="__xlnm.Print_Area_39" localSheetId="42">#REF!</definedName>
    <definedName name="__xlnm.Print_Area_39" localSheetId="43">#REF!</definedName>
    <definedName name="__xlnm.Print_Area_39" localSheetId="17">#REF!</definedName>
    <definedName name="__xlnm.Print_Area_39" localSheetId="44">#REF!</definedName>
    <definedName name="__xlnm.Print_Area_39" localSheetId="18">#REF!</definedName>
    <definedName name="__xlnm.Print_Area_39" localSheetId="19">#REF!</definedName>
    <definedName name="__xlnm.Print_Area_39" localSheetId="20">#REF!</definedName>
    <definedName name="__xlnm.Print_Area_39" localSheetId="21">#REF!</definedName>
    <definedName name="__xlnm.Print_Area_39" localSheetId="22">#REF!</definedName>
    <definedName name="__xlnm.Print_Area_39" localSheetId="23">#REF!</definedName>
    <definedName name="__xlnm.Print_Area_39">#REF!</definedName>
    <definedName name="__xlnm.Print_Area_4" localSheetId="47">#REF!</definedName>
    <definedName name="__xlnm.Print_Area_4" localSheetId="48">#REF!</definedName>
    <definedName name="__xlnm.Print_Area_4" localSheetId="49">#REF!</definedName>
    <definedName name="__xlnm.Print_Area_4" localSheetId="24">#REF!</definedName>
    <definedName name="__xlnm.Print_Area_4" localSheetId="25">#REF!</definedName>
    <definedName name="__xlnm.Print_Area_4" localSheetId="26">#REF!</definedName>
    <definedName name="__xlnm.Print_Area_4" localSheetId="28">#REF!</definedName>
    <definedName name="__xlnm.Print_Area_4" localSheetId="29">#REF!</definedName>
    <definedName name="__xlnm.Print_Area_4" localSheetId="30">#REF!</definedName>
    <definedName name="__xlnm.Print_Area_4" localSheetId="31">#REF!</definedName>
    <definedName name="__xlnm.Print_Area_4" localSheetId="32">#REF!</definedName>
    <definedName name="__xlnm.Print_Area_4" localSheetId="33">#REF!</definedName>
    <definedName name="__xlnm.Print_Area_4" localSheetId="16">#REF!</definedName>
    <definedName name="__xlnm.Print_Area_4" localSheetId="34">#REF!</definedName>
    <definedName name="__xlnm.Print_Area_4" localSheetId="35">#REF!</definedName>
    <definedName name="__xlnm.Print_Area_4" localSheetId="36">#REF!</definedName>
    <definedName name="__xlnm.Print_Area_4" localSheetId="37">#REF!</definedName>
    <definedName name="__xlnm.Print_Area_4" localSheetId="38">#REF!</definedName>
    <definedName name="__xlnm.Print_Area_4" localSheetId="39">#REF!</definedName>
    <definedName name="__xlnm.Print_Area_4" localSheetId="40">#REF!</definedName>
    <definedName name="__xlnm.Print_Area_4" localSheetId="41">#REF!</definedName>
    <definedName name="__xlnm.Print_Area_4" localSheetId="42">#REF!</definedName>
    <definedName name="__xlnm.Print_Area_4" localSheetId="43">#REF!</definedName>
    <definedName name="__xlnm.Print_Area_4" localSheetId="17">#REF!</definedName>
    <definedName name="__xlnm.Print_Area_4" localSheetId="44">#REF!</definedName>
    <definedName name="__xlnm.Print_Area_4" localSheetId="18">#REF!</definedName>
    <definedName name="__xlnm.Print_Area_4" localSheetId="19">#REF!</definedName>
    <definedName name="__xlnm.Print_Area_4" localSheetId="20">#REF!</definedName>
    <definedName name="__xlnm.Print_Area_4" localSheetId="21">#REF!</definedName>
    <definedName name="__xlnm.Print_Area_4" localSheetId="22">#REF!</definedName>
    <definedName name="__xlnm.Print_Area_4" localSheetId="23">#REF!</definedName>
    <definedName name="__xlnm.Print_Area_4">#REF!</definedName>
    <definedName name="__xlnm.Print_Area_40" localSheetId="47">#REF!</definedName>
    <definedName name="__xlnm.Print_Area_40" localSheetId="48">#REF!</definedName>
    <definedName name="__xlnm.Print_Area_40" localSheetId="49">#REF!</definedName>
    <definedName name="__xlnm.Print_Area_40" localSheetId="24">#REF!</definedName>
    <definedName name="__xlnm.Print_Area_40" localSheetId="25">#REF!</definedName>
    <definedName name="__xlnm.Print_Area_40" localSheetId="26">#REF!</definedName>
    <definedName name="__xlnm.Print_Area_40" localSheetId="28">#REF!</definedName>
    <definedName name="__xlnm.Print_Area_40" localSheetId="29">#REF!</definedName>
    <definedName name="__xlnm.Print_Area_40" localSheetId="30">#REF!</definedName>
    <definedName name="__xlnm.Print_Area_40" localSheetId="31">#REF!</definedName>
    <definedName name="__xlnm.Print_Area_40" localSheetId="32">#REF!</definedName>
    <definedName name="__xlnm.Print_Area_40" localSheetId="33">#REF!</definedName>
    <definedName name="__xlnm.Print_Area_40" localSheetId="16">#REF!</definedName>
    <definedName name="__xlnm.Print_Area_40" localSheetId="34">#REF!</definedName>
    <definedName name="__xlnm.Print_Area_40" localSheetId="35">#REF!</definedName>
    <definedName name="__xlnm.Print_Area_40" localSheetId="36">#REF!</definedName>
    <definedName name="__xlnm.Print_Area_40" localSheetId="37">#REF!</definedName>
    <definedName name="__xlnm.Print_Area_40" localSheetId="38">#REF!</definedName>
    <definedName name="__xlnm.Print_Area_40" localSheetId="39">#REF!</definedName>
    <definedName name="__xlnm.Print_Area_40" localSheetId="40">#REF!</definedName>
    <definedName name="__xlnm.Print_Area_40" localSheetId="41">#REF!</definedName>
    <definedName name="__xlnm.Print_Area_40" localSheetId="42">#REF!</definedName>
    <definedName name="__xlnm.Print_Area_40" localSheetId="43">#REF!</definedName>
    <definedName name="__xlnm.Print_Area_40" localSheetId="17">#REF!</definedName>
    <definedName name="__xlnm.Print_Area_40" localSheetId="44">#REF!</definedName>
    <definedName name="__xlnm.Print_Area_40" localSheetId="18">#REF!</definedName>
    <definedName name="__xlnm.Print_Area_40" localSheetId="19">#REF!</definedName>
    <definedName name="__xlnm.Print_Area_40" localSheetId="20">#REF!</definedName>
    <definedName name="__xlnm.Print_Area_40" localSheetId="21">#REF!</definedName>
    <definedName name="__xlnm.Print_Area_40" localSheetId="22">#REF!</definedName>
    <definedName name="__xlnm.Print_Area_40" localSheetId="23">#REF!</definedName>
    <definedName name="__xlnm.Print_Area_40">#REF!</definedName>
    <definedName name="__xlnm.Print_Area_41" localSheetId="47">#REF!</definedName>
    <definedName name="__xlnm.Print_Area_41" localSheetId="48">#REF!</definedName>
    <definedName name="__xlnm.Print_Area_41" localSheetId="49">#REF!</definedName>
    <definedName name="__xlnm.Print_Area_41" localSheetId="24">#REF!</definedName>
    <definedName name="__xlnm.Print_Area_41" localSheetId="25">#REF!</definedName>
    <definedName name="__xlnm.Print_Area_41" localSheetId="26">#REF!</definedName>
    <definedName name="__xlnm.Print_Area_41" localSheetId="28">#REF!</definedName>
    <definedName name="__xlnm.Print_Area_41" localSheetId="29">#REF!</definedName>
    <definedName name="__xlnm.Print_Area_41" localSheetId="30">#REF!</definedName>
    <definedName name="__xlnm.Print_Area_41" localSheetId="31">#REF!</definedName>
    <definedName name="__xlnm.Print_Area_41" localSheetId="32">#REF!</definedName>
    <definedName name="__xlnm.Print_Area_41" localSheetId="33">#REF!</definedName>
    <definedName name="__xlnm.Print_Area_41" localSheetId="16">#REF!</definedName>
    <definedName name="__xlnm.Print_Area_41" localSheetId="34">#REF!</definedName>
    <definedName name="__xlnm.Print_Area_41" localSheetId="35">#REF!</definedName>
    <definedName name="__xlnm.Print_Area_41" localSheetId="36">#REF!</definedName>
    <definedName name="__xlnm.Print_Area_41" localSheetId="37">#REF!</definedName>
    <definedName name="__xlnm.Print_Area_41" localSheetId="38">#REF!</definedName>
    <definedName name="__xlnm.Print_Area_41" localSheetId="39">#REF!</definedName>
    <definedName name="__xlnm.Print_Area_41" localSheetId="40">#REF!</definedName>
    <definedName name="__xlnm.Print_Area_41" localSheetId="41">#REF!</definedName>
    <definedName name="__xlnm.Print_Area_41" localSheetId="42">#REF!</definedName>
    <definedName name="__xlnm.Print_Area_41" localSheetId="43">#REF!</definedName>
    <definedName name="__xlnm.Print_Area_41" localSheetId="17">#REF!</definedName>
    <definedName name="__xlnm.Print_Area_41" localSheetId="44">#REF!</definedName>
    <definedName name="__xlnm.Print_Area_41" localSheetId="18">#REF!</definedName>
    <definedName name="__xlnm.Print_Area_41" localSheetId="19">#REF!</definedName>
    <definedName name="__xlnm.Print_Area_41" localSheetId="20">#REF!</definedName>
    <definedName name="__xlnm.Print_Area_41" localSheetId="21">#REF!</definedName>
    <definedName name="__xlnm.Print_Area_41" localSheetId="22">#REF!</definedName>
    <definedName name="__xlnm.Print_Area_41" localSheetId="23">#REF!</definedName>
    <definedName name="__xlnm.Print_Area_41">#REF!</definedName>
    <definedName name="__xlnm.Print_Area_42" localSheetId="47">#REF!</definedName>
    <definedName name="__xlnm.Print_Area_42" localSheetId="48">#REF!</definedName>
    <definedName name="__xlnm.Print_Area_42" localSheetId="49">#REF!</definedName>
    <definedName name="__xlnm.Print_Area_42" localSheetId="24">#REF!</definedName>
    <definedName name="__xlnm.Print_Area_42" localSheetId="25">#REF!</definedName>
    <definedName name="__xlnm.Print_Area_42" localSheetId="26">#REF!</definedName>
    <definedName name="__xlnm.Print_Area_42" localSheetId="28">#REF!</definedName>
    <definedName name="__xlnm.Print_Area_42" localSheetId="29">#REF!</definedName>
    <definedName name="__xlnm.Print_Area_42" localSheetId="30">#REF!</definedName>
    <definedName name="__xlnm.Print_Area_42" localSheetId="31">#REF!</definedName>
    <definedName name="__xlnm.Print_Area_42" localSheetId="32">#REF!</definedName>
    <definedName name="__xlnm.Print_Area_42" localSheetId="33">#REF!</definedName>
    <definedName name="__xlnm.Print_Area_42" localSheetId="16">#REF!</definedName>
    <definedName name="__xlnm.Print_Area_42" localSheetId="34">#REF!</definedName>
    <definedName name="__xlnm.Print_Area_42" localSheetId="35">#REF!</definedName>
    <definedName name="__xlnm.Print_Area_42" localSheetId="36">#REF!</definedName>
    <definedName name="__xlnm.Print_Area_42" localSheetId="37">#REF!</definedName>
    <definedName name="__xlnm.Print_Area_42" localSheetId="38">#REF!</definedName>
    <definedName name="__xlnm.Print_Area_42" localSheetId="39">#REF!</definedName>
    <definedName name="__xlnm.Print_Area_42" localSheetId="40">#REF!</definedName>
    <definedName name="__xlnm.Print_Area_42" localSheetId="41">#REF!</definedName>
    <definedName name="__xlnm.Print_Area_42" localSheetId="42">#REF!</definedName>
    <definedName name="__xlnm.Print_Area_42" localSheetId="43">#REF!</definedName>
    <definedName name="__xlnm.Print_Area_42" localSheetId="17">#REF!</definedName>
    <definedName name="__xlnm.Print_Area_42" localSheetId="44">#REF!</definedName>
    <definedName name="__xlnm.Print_Area_42" localSheetId="18">#REF!</definedName>
    <definedName name="__xlnm.Print_Area_42" localSheetId="19">#REF!</definedName>
    <definedName name="__xlnm.Print_Area_42" localSheetId="20">#REF!</definedName>
    <definedName name="__xlnm.Print_Area_42" localSheetId="21">#REF!</definedName>
    <definedName name="__xlnm.Print_Area_42" localSheetId="22">#REF!</definedName>
    <definedName name="__xlnm.Print_Area_42" localSheetId="23">#REF!</definedName>
    <definedName name="__xlnm.Print_Area_42">#REF!</definedName>
    <definedName name="__xlnm.Print_Area_43" localSheetId="47">#REF!</definedName>
    <definedName name="__xlnm.Print_Area_43" localSheetId="48">#REF!</definedName>
    <definedName name="__xlnm.Print_Area_43" localSheetId="49">#REF!</definedName>
    <definedName name="__xlnm.Print_Area_43" localSheetId="24">#REF!</definedName>
    <definedName name="__xlnm.Print_Area_43" localSheetId="25">#REF!</definedName>
    <definedName name="__xlnm.Print_Area_43" localSheetId="26">#REF!</definedName>
    <definedName name="__xlnm.Print_Area_43" localSheetId="28">#REF!</definedName>
    <definedName name="__xlnm.Print_Area_43" localSheetId="29">#REF!</definedName>
    <definedName name="__xlnm.Print_Area_43" localSheetId="30">#REF!</definedName>
    <definedName name="__xlnm.Print_Area_43" localSheetId="31">#REF!</definedName>
    <definedName name="__xlnm.Print_Area_43" localSheetId="32">#REF!</definedName>
    <definedName name="__xlnm.Print_Area_43" localSheetId="33">#REF!</definedName>
    <definedName name="__xlnm.Print_Area_43" localSheetId="16">#REF!</definedName>
    <definedName name="__xlnm.Print_Area_43" localSheetId="34">#REF!</definedName>
    <definedName name="__xlnm.Print_Area_43" localSheetId="35">#REF!</definedName>
    <definedName name="__xlnm.Print_Area_43" localSheetId="36">#REF!</definedName>
    <definedName name="__xlnm.Print_Area_43" localSheetId="37">#REF!</definedName>
    <definedName name="__xlnm.Print_Area_43" localSheetId="38">#REF!</definedName>
    <definedName name="__xlnm.Print_Area_43" localSheetId="39">#REF!</definedName>
    <definedName name="__xlnm.Print_Area_43" localSheetId="40">#REF!</definedName>
    <definedName name="__xlnm.Print_Area_43" localSheetId="41">#REF!</definedName>
    <definedName name="__xlnm.Print_Area_43" localSheetId="42">#REF!</definedName>
    <definedName name="__xlnm.Print_Area_43" localSheetId="43">#REF!</definedName>
    <definedName name="__xlnm.Print_Area_43" localSheetId="17">#REF!</definedName>
    <definedName name="__xlnm.Print_Area_43" localSheetId="44">#REF!</definedName>
    <definedName name="__xlnm.Print_Area_43" localSheetId="18">#REF!</definedName>
    <definedName name="__xlnm.Print_Area_43" localSheetId="19">#REF!</definedName>
    <definedName name="__xlnm.Print_Area_43" localSheetId="20">#REF!</definedName>
    <definedName name="__xlnm.Print_Area_43" localSheetId="21">#REF!</definedName>
    <definedName name="__xlnm.Print_Area_43" localSheetId="22">#REF!</definedName>
    <definedName name="__xlnm.Print_Area_43" localSheetId="23">#REF!</definedName>
    <definedName name="__xlnm.Print_Area_43">#REF!</definedName>
    <definedName name="__xlnm.Print_Area_44" localSheetId="47">#REF!</definedName>
    <definedName name="__xlnm.Print_Area_44" localSheetId="48">#REF!</definedName>
    <definedName name="__xlnm.Print_Area_44" localSheetId="49">#REF!</definedName>
    <definedName name="__xlnm.Print_Area_44" localSheetId="24">#REF!</definedName>
    <definedName name="__xlnm.Print_Area_44" localSheetId="25">#REF!</definedName>
    <definedName name="__xlnm.Print_Area_44" localSheetId="26">#REF!</definedName>
    <definedName name="__xlnm.Print_Area_44" localSheetId="28">#REF!</definedName>
    <definedName name="__xlnm.Print_Area_44" localSheetId="29">#REF!</definedName>
    <definedName name="__xlnm.Print_Area_44" localSheetId="30">#REF!</definedName>
    <definedName name="__xlnm.Print_Area_44" localSheetId="31">#REF!</definedName>
    <definedName name="__xlnm.Print_Area_44" localSheetId="32">#REF!</definedName>
    <definedName name="__xlnm.Print_Area_44" localSheetId="33">#REF!</definedName>
    <definedName name="__xlnm.Print_Area_44" localSheetId="16">#REF!</definedName>
    <definedName name="__xlnm.Print_Area_44" localSheetId="34">#REF!</definedName>
    <definedName name="__xlnm.Print_Area_44" localSheetId="35">#REF!</definedName>
    <definedName name="__xlnm.Print_Area_44" localSheetId="36">#REF!</definedName>
    <definedName name="__xlnm.Print_Area_44" localSheetId="37">#REF!</definedName>
    <definedName name="__xlnm.Print_Area_44" localSheetId="38">#REF!</definedName>
    <definedName name="__xlnm.Print_Area_44" localSheetId="39">#REF!</definedName>
    <definedName name="__xlnm.Print_Area_44" localSheetId="40">#REF!</definedName>
    <definedName name="__xlnm.Print_Area_44" localSheetId="41">#REF!</definedName>
    <definedName name="__xlnm.Print_Area_44" localSheetId="42">#REF!</definedName>
    <definedName name="__xlnm.Print_Area_44" localSheetId="43">#REF!</definedName>
    <definedName name="__xlnm.Print_Area_44" localSheetId="17">#REF!</definedName>
    <definedName name="__xlnm.Print_Area_44" localSheetId="44">#REF!</definedName>
    <definedName name="__xlnm.Print_Area_44" localSheetId="18">#REF!</definedName>
    <definedName name="__xlnm.Print_Area_44" localSheetId="19">#REF!</definedName>
    <definedName name="__xlnm.Print_Area_44" localSheetId="20">#REF!</definedName>
    <definedName name="__xlnm.Print_Area_44" localSheetId="21">#REF!</definedName>
    <definedName name="__xlnm.Print_Area_44" localSheetId="22">#REF!</definedName>
    <definedName name="__xlnm.Print_Area_44" localSheetId="23">#REF!</definedName>
    <definedName name="__xlnm.Print_Area_44">#REF!</definedName>
    <definedName name="__xlnm.Print_Area_45" localSheetId="10">#REF!</definedName>
    <definedName name="__xlnm.Print_Area_45" localSheetId="47">#REF!</definedName>
    <definedName name="__xlnm.Print_Area_45" localSheetId="48">#REF!</definedName>
    <definedName name="__xlnm.Print_Area_45" localSheetId="49">#REF!</definedName>
    <definedName name="__xlnm.Print_Area_45" localSheetId="24">#REF!</definedName>
    <definedName name="__xlnm.Print_Area_45" localSheetId="25">#REF!</definedName>
    <definedName name="__xlnm.Print_Area_45" localSheetId="26">#REF!</definedName>
    <definedName name="__xlnm.Print_Area_45" localSheetId="34">#REF!</definedName>
    <definedName name="__xlnm.Print_Area_45" localSheetId="35">#REF!</definedName>
    <definedName name="__xlnm.Print_Area_45" localSheetId="36">#REF!</definedName>
    <definedName name="__xlnm.Print_Area_45" localSheetId="37">#REF!</definedName>
    <definedName name="__xlnm.Print_Area_45" localSheetId="38">#REF!</definedName>
    <definedName name="__xlnm.Print_Area_45" localSheetId="39">#REF!</definedName>
    <definedName name="__xlnm.Print_Area_45" localSheetId="40">#REF!</definedName>
    <definedName name="__xlnm.Print_Area_45" localSheetId="41">#REF!</definedName>
    <definedName name="__xlnm.Print_Area_45" localSheetId="42">#REF!</definedName>
    <definedName name="__xlnm.Print_Area_45" localSheetId="43">#REF!</definedName>
    <definedName name="__xlnm.Print_Area_45" localSheetId="44">#REF!</definedName>
    <definedName name="__xlnm.Print_Area_45" localSheetId="22">#REF!</definedName>
    <definedName name="__xlnm.Print_Area_45" localSheetId="23">#REF!</definedName>
    <definedName name="__xlnm.Print_Area_45">#REF!</definedName>
    <definedName name="__xlnm.Print_Area_46" localSheetId="47">#REF!</definedName>
    <definedName name="__xlnm.Print_Area_46" localSheetId="48">#REF!</definedName>
    <definedName name="__xlnm.Print_Area_46" localSheetId="49">#REF!</definedName>
    <definedName name="__xlnm.Print_Area_46" localSheetId="24">#REF!</definedName>
    <definedName name="__xlnm.Print_Area_46" localSheetId="25">#REF!</definedName>
    <definedName name="__xlnm.Print_Area_46" localSheetId="26">#REF!</definedName>
    <definedName name="__xlnm.Print_Area_46" localSheetId="28">#REF!</definedName>
    <definedName name="__xlnm.Print_Area_46" localSheetId="29">#REF!</definedName>
    <definedName name="__xlnm.Print_Area_46" localSheetId="30">#REF!</definedName>
    <definedName name="__xlnm.Print_Area_46" localSheetId="31">#REF!</definedName>
    <definedName name="__xlnm.Print_Area_46" localSheetId="32">#REF!</definedName>
    <definedName name="__xlnm.Print_Area_46" localSheetId="33">#REF!</definedName>
    <definedName name="__xlnm.Print_Area_46" localSheetId="16">#REF!</definedName>
    <definedName name="__xlnm.Print_Area_46" localSheetId="34">#REF!</definedName>
    <definedName name="__xlnm.Print_Area_46" localSheetId="35">#REF!</definedName>
    <definedName name="__xlnm.Print_Area_46" localSheetId="36">#REF!</definedName>
    <definedName name="__xlnm.Print_Area_46" localSheetId="37">#REF!</definedName>
    <definedName name="__xlnm.Print_Area_46" localSheetId="38">#REF!</definedName>
    <definedName name="__xlnm.Print_Area_46" localSheetId="39">#REF!</definedName>
    <definedName name="__xlnm.Print_Area_46" localSheetId="40">#REF!</definedName>
    <definedName name="__xlnm.Print_Area_46" localSheetId="41">#REF!</definedName>
    <definedName name="__xlnm.Print_Area_46" localSheetId="42">#REF!</definedName>
    <definedName name="__xlnm.Print_Area_46" localSheetId="43">#REF!</definedName>
    <definedName name="__xlnm.Print_Area_46" localSheetId="17">#REF!</definedName>
    <definedName name="__xlnm.Print_Area_46" localSheetId="44">#REF!</definedName>
    <definedName name="__xlnm.Print_Area_46" localSheetId="18">#REF!</definedName>
    <definedName name="__xlnm.Print_Area_46" localSheetId="19">#REF!</definedName>
    <definedName name="__xlnm.Print_Area_46" localSheetId="20">#REF!</definedName>
    <definedName name="__xlnm.Print_Area_46" localSheetId="21">#REF!</definedName>
    <definedName name="__xlnm.Print_Area_46" localSheetId="22">#REF!</definedName>
    <definedName name="__xlnm.Print_Area_46" localSheetId="23">#REF!</definedName>
    <definedName name="__xlnm.Print_Area_46">#REF!</definedName>
    <definedName name="__xlnm.Print_Area_47" localSheetId="10">#REF!</definedName>
    <definedName name="__xlnm.Print_Area_47" localSheetId="47">#REF!</definedName>
    <definedName name="__xlnm.Print_Area_47" localSheetId="48">#REF!</definedName>
    <definedName name="__xlnm.Print_Area_47" localSheetId="49">#REF!</definedName>
    <definedName name="__xlnm.Print_Area_47" localSheetId="24">#REF!</definedName>
    <definedName name="__xlnm.Print_Area_47" localSheetId="25">#REF!</definedName>
    <definedName name="__xlnm.Print_Area_47" localSheetId="26">#REF!</definedName>
    <definedName name="__xlnm.Print_Area_47" localSheetId="34">#REF!</definedName>
    <definedName name="__xlnm.Print_Area_47" localSheetId="35">#REF!</definedName>
    <definedName name="__xlnm.Print_Area_47" localSheetId="36">#REF!</definedName>
    <definedName name="__xlnm.Print_Area_47" localSheetId="37">#REF!</definedName>
    <definedName name="__xlnm.Print_Area_47" localSheetId="38">#REF!</definedName>
    <definedName name="__xlnm.Print_Area_47" localSheetId="39">#REF!</definedName>
    <definedName name="__xlnm.Print_Area_47" localSheetId="40">#REF!</definedName>
    <definedName name="__xlnm.Print_Area_47" localSheetId="41">#REF!</definedName>
    <definedName name="__xlnm.Print_Area_47" localSheetId="42">#REF!</definedName>
    <definedName name="__xlnm.Print_Area_47" localSheetId="43">#REF!</definedName>
    <definedName name="__xlnm.Print_Area_47" localSheetId="44">#REF!</definedName>
    <definedName name="__xlnm.Print_Area_47" localSheetId="22">#REF!</definedName>
    <definedName name="__xlnm.Print_Area_47" localSheetId="23">#REF!</definedName>
    <definedName name="__xlnm.Print_Area_47">#REF!</definedName>
    <definedName name="__xlnm.Print_Area_48" localSheetId="10">#REF!</definedName>
    <definedName name="__xlnm.Print_Area_48" localSheetId="47">#REF!</definedName>
    <definedName name="__xlnm.Print_Area_48" localSheetId="48">#REF!</definedName>
    <definedName name="__xlnm.Print_Area_48" localSheetId="49">#REF!</definedName>
    <definedName name="__xlnm.Print_Area_48" localSheetId="24">#REF!</definedName>
    <definedName name="__xlnm.Print_Area_48" localSheetId="25">#REF!</definedName>
    <definedName name="__xlnm.Print_Area_48" localSheetId="26">#REF!</definedName>
    <definedName name="__xlnm.Print_Area_48" localSheetId="34">#REF!</definedName>
    <definedName name="__xlnm.Print_Area_48" localSheetId="35">#REF!</definedName>
    <definedName name="__xlnm.Print_Area_48" localSheetId="36">#REF!</definedName>
    <definedName name="__xlnm.Print_Area_48" localSheetId="37">#REF!</definedName>
    <definedName name="__xlnm.Print_Area_48" localSheetId="38">#REF!</definedName>
    <definedName name="__xlnm.Print_Area_48" localSheetId="39">#REF!</definedName>
    <definedName name="__xlnm.Print_Area_48" localSheetId="40">#REF!</definedName>
    <definedName name="__xlnm.Print_Area_48" localSheetId="41">#REF!</definedName>
    <definedName name="__xlnm.Print_Area_48" localSheetId="42">#REF!</definedName>
    <definedName name="__xlnm.Print_Area_48" localSheetId="43">#REF!</definedName>
    <definedName name="__xlnm.Print_Area_48" localSheetId="44">#REF!</definedName>
    <definedName name="__xlnm.Print_Area_48" localSheetId="22">#REF!</definedName>
    <definedName name="__xlnm.Print_Area_48" localSheetId="23">#REF!</definedName>
    <definedName name="__xlnm.Print_Area_48">#REF!</definedName>
    <definedName name="__xlnm.Print_Area_49" localSheetId="10">#REF!</definedName>
    <definedName name="__xlnm.Print_Area_49" localSheetId="47">#REF!</definedName>
    <definedName name="__xlnm.Print_Area_49" localSheetId="48">#REF!</definedName>
    <definedName name="__xlnm.Print_Area_49" localSheetId="49">#REF!</definedName>
    <definedName name="__xlnm.Print_Area_49" localSheetId="24">#REF!</definedName>
    <definedName name="__xlnm.Print_Area_49" localSheetId="25">#REF!</definedName>
    <definedName name="__xlnm.Print_Area_49" localSheetId="26">#REF!</definedName>
    <definedName name="__xlnm.Print_Area_49" localSheetId="34">#REF!</definedName>
    <definedName name="__xlnm.Print_Area_49" localSheetId="35">#REF!</definedName>
    <definedName name="__xlnm.Print_Area_49" localSheetId="36">#REF!</definedName>
    <definedName name="__xlnm.Print_Area_49" localSheetId="37">#REF!</definedName>
    <definedName name="__xlnm.Print_Area_49" localSheetId="38">#REF!</definedName>
    <definedName name="__xlnm.Print_Area_49" localSheetId="39">#REF!</definedName>
    <definedName name="__xlnm.Print_Area_49" localSheetId="40">#REF!</definedName>
    <definedName name="__xlnm.Print_Area_49" localSheetId="41">#REF!</definedName>
    <definedName name="__xlnm.Print_Area_49" localSheetId="42">#REF!</definedName>
    <definedName name="__xlnm.Print_Area_49" localSheetId="43">#REF!</definedName>
    <definedName name="__xlnm.Print_Area_49" localSheetId="44">#REF!</definedName>
    <definedName name="__xlnm.Print_Area_49" localSheetId="22">#REF!</definedName>
    <definedName name="__xlnm.Print_Area_49" localSheetId="23">#REF!</definedName>
    <definedName name="__xlnm.Print_Area_49">#REF!</definedName>
    <definedName name="__xlnm.Print_Area_5">Hofdung!$B$1:$Q$31</definedName>
    <definedName name="__xlnm.Print_Area_50" localSheetId="10">#REF!</definedName>
    <definedName name="__xlnm.Print_Area_50" localSheetId="47">#REF!</definedName>
    <definedName name="__xlnm.Print_Area_50" localSheetId="48">#REF!</definedName>
    <definedName name="__xlnm.Print_Area_50" localSheetId="49">#REF!</definedName>
    <definedName name="__xlnm.Print_Area_50" localSheetId="24">#REF!</definedName>
    <definedName name="__xlnm.Print_Area_50" localSheetId="25">#REF!</definedName>
    <definedName name="__xlnm.Print_Area_50" localSheetId="26">#REF!</definedName>
    <definedName name="__xlnm.Print_Area_50" localSheetId="34">#REF!</definedName>
    <definedName name="__xlnm.Print_Area_50" localSheetId="35">#REF!</definedName>
    <definedName name="__xlnm.Print_Area_50" localSheetId="36">#REF!</definedName>
    <definedName name="__xlnm.Print_Area_50" localSheetId="37">#REF!</definedName>
    <definedName name="__xlnm.Print_Area_50" localSheetId="38">#REF!</definedName>
    <definedName name="__xlnm.Print_Area_50" localSheetId="39">#REF!</definedName>
    <definedName name="__xlnm.Print_Area_50" localSheetId="40">#REF!</definedName>
    <definedName name="__xlnm.Print_Area_50" localSheetId="41">#REF!</definedName>
    <definedName name="__xlnm.Print_Area_50" localSheetId="42">#REF!</definedName>
    <definedName name="__xlnm.Print_Area_50" localSheetId="43">#REF!</definedName>
    <definedName name="__xlnm.Print_Area_50" localSheetId="44">#REF!</definedName>
    <definedName name="__xlnm.Print_Area_50" localSheetId="22">#REF!</definedName>
    <definedName name="__xlnm.Print_Area_50" localSheetId="23">#REF!</definedName>
    <definedName name="__xlnm.Print_Area_50">#REF!</definedName>
    <definedName name="__xlnm.Print_Area_51" localSheetId="10">#REF!</definedName>
    <definedName name="__xlnm.Print_Area_51" localSheetId="47">#REF!</definedName>
    <definedName name="__xlnm.Print_Area_51" localSheetId="48">#REF!</definedName>
    <definedName name="__xlnm.Print_Area_51" localSheetId="49">#REF!</definedName>
    <definedName name="__xlnm.Print_Area_51" localSheetId="24">#REF!</definedName>
    <definedName name="__xlnm.Print_Area_51" localSheetId="25">#REF!</definedName>
    <definedName name="__xlnm.Print_Area_51" localSheetId="26">#REF!</definedName>
    <definedName name="__xlnm.Print_Area_51" localSheetId="34">#REF!</definedName>
    <definedName name="__xlnm.Print_Area_51" localSheetId="35">#REF!</definedName>
    <definedName name="__xlnm.Print_Area_51" localSheetId="36">#REF!</definedName>
    <definedName name="__xlnm.Print_Area_51" localSheetId="37">#REF!</definedName>
    <definedName name="__xlnm.Print_Area_51" localSheetId="38">#REF!</definedName>
    <definedName name="__xlnm.Print_Area_51" localSheetId="39">#REF!</definedName>
    <definedName name="__xlnm.Print_Area_51" localSheetId="40">#REF!</definedName>
    <definedName name="__xlnm.Print_Area_51" localSheetId="41">#REF!</definedName>
    <definedName name="__xlnm.Print_Area_51" localSheetId="42">#REF!</definedName>
    <definedName name="__xlnm.Print_Area_51" localSheetId="43">#REF!</definedName>
    <definedName name="__xlnm.Print_Area_51" localSheetId="44">#REF!</definedName>
    <definedName name="__xlnm.Print_Area_51" localSheetId="22">#REF!</definedName>
    <definedName name="__xlnm.Print_Area_51" localSheetId="23">#REF!</definedName>
    <definedName name="__xlnm.Print_Area_51">#REF!</definedName>
    <definedName name="__xlnm.Print_Area_52" localSheetId="47">#REF!</definedName>
    <definedName name="__xlnm.Print_Area_52" localSheetId="48">#REF!</definedName>
    <definedName name="__xlnm.Print_Area_52" localSheetId="49">#REF!</definedName>
    <definedName name="__xlnm.Print_Area_52" localSheetId="24">#REF!</definedName>
    <definedName name="__xlnm.Print_Area_52" localSheetId="25">#REF!</definedName>
    <definedName name="__xlnm.Print_Area_52" localSheetId="26">#REF!</definedName>
    <definedName name="__xlnm.Print_Area_52" localSheetId="28">#REF!</definedName>
    <definedName name="__xlnm.Print_Area_52" localSheetId="29">#REF!</definedName>
    <definedName name="__xlnm.Print_Area_52" localSheetId="30">#REF!</definedName>
    <definedName name="__xlnm.Print_Area_52" localSheetId="31">#REF!</definedName>
    <definedName name="__xlnm.Print_Area_52" localSheetId="32">#REF!</definedName>
    <definedName name="__xlnm.Print_Area_52" localSheetId="33">#REF!</definedName>
    <definedName name="__xlnm.Print_Area_52" localSheetId="16">#REF!</definedName>
    <definedName name="__xlnm.Print_Area_52" localSheetId="34">#REF!</definedName>
    <definedName name="__xlnm.Print_Area_52" localSheetId="35">#REF!</definedName>
    <definedName name="__xlnm.Print_Area_52" localSheetId="36">#REF!</definedName>
    <definedName name="__xlnm.Print_Area_52" localSheetId="37">#REF!</definedName>
    <definedName name="__xlnm.Print_Area_52" localSheetId="38">#REF!</definedName>
    <definedName name="__xlnm.Print_Area_52" localSheetId="39">#REF!</definedName>
    <definedName name="__xlnm.Print_Area_52" localSheetId="40">#REF!</definedName>
    <definedName name="__xlnm.Print_Area_52" localSheetId="41">#REF!</definedName>
    <definedName name="__xlnm.Print_Area_52" localSheetId="42">#REF!</definedName>
    <definedName name="__xlnm.Print_Area_52" localSheetId="43">#REF!</definedName>
    <definedName name="__xlnm.Print_Area_52" localSheetId="17">#REF!</definedName>
    <definedName name="__xlnm.Print_Area_52" localSheetId="44">#REF!</definedName>
    <definedName name="__xlnm.Print_Area_52" localSheetId="18">#REF!</definedName>
    <definedName name="__xlnm.Print_Area_52" localSheetId="19">#REF!</definedName>
    <definedName name="__xlnm.Print_Area_52" localSheetId="20">#REF!</definedName>
    <definedName name="__xlnm.Print_Area_52" localSheetId="21">#REF!</definedName>
    <definedName name="__xlnm.Print_Area_52" localSheetId="22">#REF!</definedName>
    <definedName name="__xlnm.Print_Area_52" localSheetId="23">#REF!</definedName>
    <definedName name="__xlnm.Print_Area_52">#REF!</definedName>
    <definedName name="__xlnm.Print_Area_53" localSheetId="47">#REF!</definedName>
    <definedName name="__xlnm.Print_Area_53" localSheetId="48">#REF!</definedName>
    <definedName name="__xlnm.Print_Area_53" localSheetId="49">#REF!</definedName>
    <definedName name="__xlnm.Print_Area_53" localSheetId="24">#REF!</definedName>
    <definedName name="__xlnm.Print_Area_53" localSheetId="25">#REF!</definedName>
    <definedName name="__xlnm.Print_Area_53" localSheetId="26">#REF!</definedName>
    <definedName name="__xlnm.Print_Area_53" localSheetId="28">#REF!</definedName>
    <definedName name="__xlnm.Print_Area_53" localSheetId="29">#REF!</definedName>
    <definedName name="__xlnm.Print_Area_53" localSheetId="30">#REF!</definedName>
    <definedName name="__xlnm.Print_Area_53" localSheetId="31">#REF!</definedName>
    <definedName name="__xlnm.Print_Area_53" localSheetId="32">#REF!</definedName>
    <definedName name="__xlnm.Print_Area_53" localSheetId="33">#REF!</definedName>
    <definedName name="__xlnm.Print_Area_53" localSheetId="16">#REF!</definedName>
    <definedName name="__xlnm.Print_Area_53" localSheetId="34">#REF!</definedName>
    <definedName name="__xlnm.Print_Area_53" localSheetId="35">#REF!</definedName>
    <definedName name="__xlnm.Print_Area_53" localSheetId="36">#REF!</definedName>
    <definedName name="__xlnm.Print_Area_53" localSheetId="37">#REF!</definedName>
    <definedName name="__xlnm.Print_Area_53" localSheetId="38">#REF!</definedName>
    <definedName name="__xlnm.Print_Area_53" localSheetId="39">#REF!</definedName>
    <definedName name="__xlnm.Print_Area_53" localSheetId="40">#REF!</definedName>
    <definedName name="__xlnm.Print_Area_53" localSheetId="41">#REF!</definedName>
    <definedName name="__xlnm.Print_Area_53" localSheetId="42">#REF!</definedName>
    <definedName name="__xlnm.Print_Area_53" localSheetId="43">#REF!</definedName>
    <definedName name="__xlnm.Print_Area_53" localSheetId="17">#REF!</definedName>
    <definedName name="__xlnm.Print_Area_53" localSheetId="44">#REF!</definedName>
    <definedName name="__xlnm.Print_Area_53" localSheetId="18">#REF!</definedName>
    <definedName name="__xlnm.Print_Area_53" localSheetId="19">#REF!</definedName>
    <definedName name="__xlnm.Print_Area_53" localSheetId="20">#REF!</definedName>
    <definedName name="__xlnm.Print_Area_53" localSheetId="21">#REF!</definedName>
    <definedName name="__xlnm.Print_Area_53" localSheetId="22">#REF!</definedName>
    <definedName name="__xlnm.Print_Area_53" localSheetId="23">#REF!</definedName>
    <definedName name="__xlnm.Print_Area_53">#REF!</definedName>
    <definedName name="__xlnm.Print_Area_54">Tiere!$B$1:$Y$35</definedName>
    <definedName name="__xlnm.Print_Area_6" localSheetId="10">#REF!</definedName>
    <definedName name="__xlnm.Print_Area_6">Info!$A$1:$C$38</definedName>
    <definedName name="__xlnm.Print_Area_7" localSheetId="47">#REF!</definedName>
    <definedName name="__xlnm.Print_Area_7" localSheetId="48">#REF!</definedName>
    <definedName name="__xlnm.Print_Area_7" localSheetId="49">#REF!</definedName>
    <definedName name="__xlnm.Print_Area_7" localSheetId="24">#REF!</definedName>
    <definedName name="__xlnm.Print_Area_7" localSheetId="25">#REF!</definedName>
    <definedName name="__xlnm.Print_Area_7" localSheetId="26">#REF!</definedName>
    <definedName name="__xlnm.Print_Area_7" localSheetId="28">#REF!</definedName>
    <definedName name="__xlnm.Print_Area_7" localSheetId="29">#REF!</definedName>
    <definedName name="__xlnm.Print_Area_7" localSheetId="30">#REF!</definedName>
    <definedName name="__xlnm.Print_Area_7" localSheetId="31">#REF!</definedName>
    <definedName name="__xlnm.Print_Area_7" localSheetId="32">#REF!</definedName>
    <definedName name="__xlnm.Print_Area_7" localSheetId="33">#REF!</definedName>
    <definedName name="__xlnm.Print_Area_7" localSheetId="16">#REF!</definedName>
    <definedName name="__xlnm.Print_Area_7" localSheetId="34">#REF!</definedName>
    <definedName name="__xlnm.Print_Area_7" localSheetId="35">#REF!</definedName>
    <definedName name="__xlnm.Print_Area_7" localSheetId="36">#REF!</definedName>
    <definedName name="__xlnm.Print_Area_7" localSheetId="37">#REF!</definedName>
    <definedName name="__xlnm.Print_Area_7" localSheetId="38">#REF!</definedName>
    <definedName name="__xlnm.Print_Area_7" localSheetId="39">#REF!</definedName>
    <definedName name="__xlnm.Print_Area_7" localSheetId="40">#REF!</definedName>
    <definedName name="__xlnm.Print_Area_7" localSheetId="41">#REF!</definedName>
    <definedName name="__xlnm.Print_Area_7" localSheetId="42">#REF!</definedName>
    <definedName name="__xlnm.Print_Area_7" localSheetId="43">#REF!</definedName>
    <definedName name="__xlnm.Print_Area_7" localSheetId="17">#REF!</definedName>
    <definedName name="__xlnm.Print_Area_7" localSheetId="44">#REF!</definedName>
    <definedName name="__xlnm.Print_Area_7" localSheetId="18">#REF!</definedName>
    <definedName name="__xlnm.Print_Area_7" localSheetId="19">#REF!</definedName>
    <definedName name="__xlnm.Print_Area_7" localSheetId="20">#REF!</definedName>
    <definedName name="__xlnm.Print_Area_7" localSheetId="21">#REF!</definedName>
    <definedName name="__xlnm.Print_Area_7" localSheetId="22">#REF!</definedName>
    <definedName name="__xlnm.Print_Area_7" localSheetId="23">#REF!</definedName>
    <definedName name="__xlnm.Print_Area_7">#REF!</definedName>
    <definedName name="__xlnm.Print_Area_8">Mineral_Dü!$B$1:$J$29</definedName>
    <definedName name="__xlnm.Print_Area_9">Acker!$B$3:$T$34</definedName>
    <definedName name="_xlnm._FilterDatabase" localSheetId="14" hidden="1">Ergebnis!$AB$9:$AB$13</definedName>
    <definedName name="a" localSheetId="47">#REF!</definedName>
    <definedName name="a" localSheetId="48">#REF!</definedName>
    <definedName name="a" localSheetId="49">#REF!</definedName>
    <definedName name="a" localSheetId="24">#REF!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16">#REF!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17">#REF!</definedName>
    <definedName name="a" localSheetId="44">#REF!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#REF!</definedName>
    <definedName name="b" localSheetId="47">#REF!</definedName>
    <definedName name="b" localSheetId="48">#REF!</definedName>
    <definedName name="b" localSheetId="49">#REF!</definedName>
    <definedName name="b" localSheetId="24">#REF!</definedName>
    <definedName name="b" localSheetId="25">#REF!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16">#REF!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17">#REF!</definedName>
    <definedName name="b" localSheetId="44">#REF!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#REF!</definedName>
    <definedName name="Betriebskulturen" localSheetId="47">#REF!</definedName>
    <definedName name="Betriebskulturen" localSheetId="48">#REF!</definedName>
    <definedName name="Betriebskulturen" localSheetId="49">#REF!</definedName>
    <definedName name="Betriebskulturen" localSheetId="24">#REF!</definedName>
    <definedName name="Betriebskulturen" localSheetId="25">#REF!</definedName>
    <definedName name="Betriebskulturen" localSheetId="26">#REF!</definedName>
    <definedName name="Betriebskulturen" localSheetId="28">#REF!</definedName>
    <definedName name="Betriebskulturen" localSheetId="29">#REF!</definedName>
    <definedName name="Betriebskulturen" localSheetId="30">#REF!</definedName>
    <definedName name="Betriebskulturen" localSheetId="31">#REF!</definedName>
    <definedName name="Betriebskulturen" localSheetId="32">#REF!</definedName>
    <definedName name="Betriebskulturen" localSheetId="33">#REF!</definedName>
    <definedName name="Betriebskulturen" localSheetId="16">#REF!</definedName>
    <definedName name="Betriebskulturen" localSheetId="34">#REF!</definedName>
    <definedName name="Betriebskulturen" localSheetId="35">#REF!</definedName>
    <definedName name="Betriebskulturen" localSheetId="36">#REF!</definedName>
    <definedName name="Betriebskulturen" localSheetId="37">#REF!</definedName>
    <definedName name="Betriebskulturen" localSheetId="38">#REF!</definedName>
    <definedName name="Betriebskulturen" localSheetId="39">#REF!</definedName>
    <definedName name="Betriebskulturen" localSheetId="40">#REF!</definedName>
    <definedName name="Betriebskulturen" localSheetId="41">#REF!</definedName>
    <definedName name="Betriebskulturen" localSheetId="42">#REF!</definedName>
    <definedName name="Betriebskulturen" localSheetId="43">#REF!</definedName>
    <definedName name="Betriebskulturen" localSheetId="17">#REF!</definedName>
    <definedName name="Betriebskulturen" localSheetId="44">#REF!</definedName>
    <definedName name="Betriebskulturen" localSheetId="18">#REF!</definedName>
    <definedName name="Betriebskulturen" localSheetId="19">#REF!</definedName>
    <definedName name="Betriebskulturen" localSheetId="20">#REF!</definedName>
    <definedName name="Betriebskulturen" localSheetId="21">#REF!</definedName>
    <definedName name="Betriebskulturen" localSheetId="22">#REF!</definedName>
    <definedName name="Betriebskulturen" localSheetId="23">#REF!</definedName>
    <definedName name="Betriebskulturen">#REF!</definedName>
    <definedName name="Betriebsmittel" localSheetId="10">#REF!</definedName>
    <definedName name="Betriebsmittel">'meine Dünger'!$B$5:$B$30</definedName>
    <definedName name="_xlnm.Print_Area" localSheetId="8">Acker!$B$1:$S$14</definedName>
    <definedName name="_xlnm.Print_Area" localSheetId="1">Betrieb!$B$1:$E$18</definedName>
    <definedName name="_xlnm.Print_Area" localSheetId="3">Hofdung!$B$1:$Q$31</definedName>
    <definedName name="_xlnm.Print_Area" localSheetId="0">Info!$A$1:$C$38</definedName>
    <definedName name="_xlnm.Print_Area" localSheetId="7">'meine Dünger'!$C$1:$O$28</definedName>
    <definedName name="_xlnm.Print_Area" localSheetId="5">Mineral_Dü!$B$1:$J$29</definedName>
    <definedName name="_xlnm.Print_Area" localSheetId="6">Organ__Dü!$B$1:$N$24</definedName>
    <definedName name="_xlnm.Print_Area" localSheetId="50">S_Test!$A$1:$H$41</definedName>
    <definedName name="_xlnm.Print_Area" localSheetId="2">Tiere!$B$1:$Y$35</definedName>
    <definedName name="Dünger" localSheetId="47">#REF!</definedName>
    <definedName name="Dünger" localSheetId="48">#REF!</definedName>
    <definedName name="Dünger" localSheetId="49">#REF!</definedName>
    <definedName name="Dünger" localSheetId="24">#REF!</definedName>
    <definedName name="Dünger" localSheetId="25">#REF!</definedName>
    <definedName name="Dünger" localSheetId="26">#REF!</definedName>
    <definedName name="Dünger" localSheetId="28">#REF!</definedName>
    <definedName name="Dünger" localSheetId="29">#REF!</definedName>
    <definedName name="Dünger" localSheetId="30">#REF!</definedName>
    <definedName name="Dünger" localSheetId="31">#REF!</definedName>
    <definedName name="Dünger" localSheetId="32">#REF!</definedName>
    <definedName name="Dünger" localSheetId="33">#REF!</definedName>
    <definedName name="Dünger" localSheetId="16">#REF!</definedName>
    <definedName name="Dünger" localSheetId="34">#REF!</definedName>
    <definedName name="Dünger" localSheetId="35">#REF!</definedName>
    <definedName name="Dünger" localSheetId="36">#REF!</definedName>
    <definedName name="Dünger" localSheetId="37">#REF!</definedName>
    <definedName name="Dünger" localSheetId="38">#REF!</definedName>
    <definedName name="Dünger" localSheetId="39">#REF!</definedName>
    <definedName name="Dünger" localSheetId="40">#REF!</definedName>
    <definedName name="Dünger" localSheetId="41">#REF!</definedName>
    <definedName name="Dünger" localSheetId="42">#REF!</definedName>
    <definedName name="Dünger" localSheetId="43">#REF!</definedName>
    <definedName name="Dünger" localSheetId="17">#REF!</definedName>
    <definedName name="Dünger" localSheetId="44">#REF!</definedName>
    <definedName name="Dünger" localSheetId="18">#REF!</definedName>
    <definedName name="Dünger" localSheetId="19">#REF!</definedName>
    <definedName name="Dünger" localSheetId="20">#REF!</definedName>
    <definedName name="Dünger" localSheetId="21">#REF!</definedName>
    <definedName name="Dünger" localSheetId="22">#REF!</definedName>
    <definedName name="Dünger" localSheetId="23">#REF!</definedName>
    <definedName name="Dünger">#REF!</definedName>
    <definedName name="Düngertabelle" localSheetId="10">#REF!</definedName>
    <definedName name="Düngertabelle">'meine Dünger'!$B$4:$M$30</definedName>
    <definedName name="j" localSheetId="37">#REF!</definedName>
    <definedName name="j" localSheetId="38">#REF!</definedName>
    <definedName name="j" localSheetId="39">#REF!</definedName>
    <definedName name="j" localSheetId="40">#REF!</definedName>
    <definedName name="j" localSheetId="41">#REF!</definedName>
    <definedName name="j" localSheetId="42">#REF!</definedName>
    <definedName name="j" localSheetId="43">#REF!</definedName>
    <definedName name="j" localSheetId="44">#REF!</definedName>
    <definedName name="j">#REF!</definedName>
    <definedName name="Liste_2007">'[1]AMA 2007'!$A$6:$T$326</definedName>
    <definedName name="Liste_Ertrag" localSheetId="10">[2]N_Bedarf!$AB$29:$AB$35</definedName>
    <definedName name="Liste_Ertrag">Acker!$AF$5:$AF$9</definedName>
    <definedName name="Liste_GL_Kulturen">Acker!$AI$89:$AL$101</definedName>
    <definedName name="Liste_GL_von">Acker!$AI$68:$AL$80</definedName>
    <definedName name="Liste_Grünland" localSheetId="10">[2]N_Bedarf!$AC$29:$AC$32</definedName>
    <definedName name="Liste_Grünland">Acker!$AH$67:$AH$69</definedName>
    <definedName name="Liste_ja" localSheetId="10">[2]Tabelle1!$AK$5:$AK$6</definedName>
    <definedName name="Liste_ja">Tabelle1!$AN$6:$AN$7</definedName>
    <definedName name="Liste_K_Bedarf" localSheetId="10">[2]N_Bedarf!$AZ$5:$BF$67</definedName>
    <definedName name="Liste_K_Bedarf" localSheetId="47">#REF!</definedName>
    <definedName name="Liste_K_Bedarf" localSheetId="48">#REF!</definedName>
    <definedName name="Liste_K_Bedarf" localSheetId="49">#REF!</definedName>
    <definedName name="Liste_K_Bedarf" localSheetId="24">#REF!</definedName>
    <definedName name="Liste_K_Bedarf" localSheetId="25">#REF!</definedName>
    <definedName name="Liste_K_Bedarf" localSheetId="26">#REF!</definedName>
    <definedName name="Liste_K_Bedarf" localSheetId="28">#REF!</definedName>
    <definedName name="Liste_K_Bedarf" localSheetId="29">#REF!</definedName>
    <definedName name="Liste_K_Bedarf" localSheetId="30">#REF!</definedName>
    <definedName name="Liste_K_Bedarf" localSheetId="31">#REF!</definedName>
    <definedName name="Liste_K_Bedarf" localSheetId="32">#REF!</definedName>
    <definedName name="Liste_K_Bedarf" localSheetId="33">#REF!</definedName>
    <definedName name="Liste_K_Bedarf" localSheetId="16">#REF!</definedName>
    <definedName name="Liste_K_Bedarf" localSheetId="34">#REF!</definedName>
    <definedName name="Liste_K_Bedarf" localSheetId="35">#REF!</definedName>
    <definedName name="Liste_K_Bedarf" localSheetId="36">#REF!</definedName>
    <definedName name="Liste_K_Bedarf" localSheetId="37">#REF!</definedName>
    <definedName name="Liste_K_Bedarf" localSheetId="38">#REF!</definedName>
    <definedName name="Liste_K_Bedarf" localSheetId="39">#REF!</definedName>
    <definedName name="Liste_K_Bedarf" localSheetId="40">#REF!</definedName>
    <definedName name="Liste_K_Bedarf" localSheetId="41">#REF!</definedName>
    <definedName name="Liste_K_Bedarf" localSheetId="42">#REF!</definedName>
    <definedName name="Liste_K_Bedarf" localSheetId="43">#REF!</definedName>
    <definedName name="Liste_K_Bedarf" localSheetId="17">#REF!</definedName>
    <definedName name="Liste_K_Bedarf" localSheetId="44">#REF!</definedName>
    <definedName name="Liste_K_Bedarf" localSheetId="18">#REF!</definedName>
    <definedName name="Liste_K_Bedarf" localSheetId="19">#REF!</definedName>
    <definedName name="Liste_K_Bedarf" localSheetId="20">#REF!</definedName>
    <definedName name="Liste_K_Bedarf" localSheetId="21">#REF!</definedName>
    <definedName name="Liste_K_Bedarf" localSheetId="22">#REF!</definedName>
    <definedName name="Liste_K_Bedarf" localSheetId="23">#REF!</definedName>
    <definedName name="Liste_K_Bedarf">#REF!</definedName>
    <definedName name="Liste_Kulturen" localSheetId="10">[2]N_Bedarf!$AD$4:$AD$48</definedName>
    <definedName name="Liste_Kulturen">Acker!$AI$4:$AI$64</definedName>
    <definedName name="Liste_MD">Tabelle1!$C$175:$C$220</definedName>
    <definedName name="Liste_N_Bedarf" localSheetId="10">[2]N_Bedarf!$AD$5:$AL$62</definedName>
    <definedName name="Liste_N_Bedarf">Acker!$AI$5:$AN$65</definedName>
    <definedName name="Liste_Nutzung">Grünland!$E$39:$E$45</definedName>
    <definedName name="Liste_OD">Tabelle1!$C$165:$C$174</definedName>
    <definedName name="Liste_P_Bedarf" localSheetId="10">[2]N_Bedarf!$AO$5:$AT$67</definedName>
    <definedName name="Liste_P_Bedarf">Acker!$AP$5:$AU$80</definedName>
    <definedName name="Liste_WD">Tabelle1!$C$159:$C$164</definedName>
    <definedName name="Liste_Zeitpunkt">Grünland!$F$39:$F$47</definedName>
    <definedName name="meine_Dünger">'meine Dünger'!$C$4:$C$17</definedName>
    <definedName name="Tierliste_neu" localSheetId="10">[2]Tabelle1!$B$5:$B$152</definedName>
    <definedName name="Tierliste_neu">Tabelle1!$B$5:$B$153</definedName>
  </definedNames>
  <calcPr calcId="162913"/>
</workbook>
</file>

<file path=xl/calcChain.xml><?xml version="1.0" encoding="utf-8"?>
<calcChain xmlns="http://schemas.openxmlformats.org/spreadsheetml/2006/main">
  <c r="Z21" i="63" l="1"/>
  <c r="Y20" i="63"/>
  <c r="Y17" i="63"/>
  <c r="AA19" i="63"/>
  <c r="Z18" i="63"/>
  <c r="Q22" i="63" s="1"/>
  <c r="O6" i="16" l="1"/>
  <c r="BJ11" i="101"/>
  <c r="BJ12" i="101"/>
  <c r="BJ13" i="101"/>
  <c r="BJ27" i="101"/>
  <c r="BJ28" i="101"/>
  <c r="BJ29" i="101"/>
  <c r="BJ30" i="101"/>
  <c r="BJ51" i="101"/>
  <c r="BJ52" i="101"/>
  <c r="BJ53" i="101"/>
  <c r="BJ54" i="101"/>
  <c r="BJ55" i="101"/>
  <c r="BJ56" i="101"/>
  <c r="BJ57" i="101"/>
  <c r="BJ58" i="101"/>
  <c r="BJ59" i="101"/>
  <c r="BJ60" i="101"/>
  <c r="BJ61" i="101"/>
  <c r="BJ62" i="101"/>
  <c r="AZ11" i="101"/>
  <c r="AZ12" i="101"/>
  <c r="AZ13" i="101"/>
  <c r="AZ24" i="101"/>
  <c r="AZ25" i="101"/>
  <c r="AZ26" i="101"/>
  <c r="AZ27" i="101"/>
  <c r="AZ28" i="101"/>
  <c r="AZ29" i="101"/>
  <c r="AZ30" i="101"/>
  <c r="AZ31" i="101"/>
  <c r="AZ33" i="101"/>
  <c r="AZ51" i="101"/>
  <c r="AZ52" i="101"/>
  <c r="AZ53" i="101"/>
  <c r="AZ54" i="101"/>
  <c r="AZ55" i="101"/>
  <c r="AZ56" i="101"/>
  <c r="AZ57" i="101"/>
  <c r="AZ58" i="101"/>
  <c r="AZ59" i="101"/>
  <c r="AZ60" i="101"/>
  <c r="AZ61" i="101"/>
  <c r="AZ62" i="101"/>
  <c r="BU11" i="101"/>
  <c r="BU12" i="101"/>
  <c r="BU13" i="101"/>
  <c r="BU27" i="101"/>
  <c r="BU28" i="101"/>
  <c r="BU29" i="101"/>
  <c r="BU30" i="101"/>
  <c r="BU31" i="101"/>
  <c r="BU32" i="101"/>
  <c r="BU51" i="101"/>
  <c r="BU52" i="101"/>
  <c r="BU53" i="101"/>
  <c r="BU54" i="101"/>
  <c r="BU55" i="101"/>
  <c r="BU56" i="101"/>
  <c r="BU57" i="101"/>
  <c r="BU58" i="101"/>
  <c r="BU59" i="101"/>
  <c r="BU60" i="101"/>
  <c r="BU61" i="101"/>
  <c r="BU62" i="101"/>
  <c r="BT11" i="101"/>
  <c r="BT12" i="101"/>
  <c r="BT13" i="101"/>
  <c r="BT26" i="101"/>
  <c r="BT27" i="101"/>
  <c r="BT28" i="101"/>
  <c r="BT29" i="101"/>
  <c r="BT30" i="101"/>
  <c r="BT31" i="101"/>
  <c r="BT32" i="101"/>
  <c r="BT33" i="101"/>
  <c r="BT51" i="101"/>
  <c r="BT52" i="101"/>
  <c r="BT53" i="101"/>
  <c r="BT54" i="101"/>
  <c r="BT55" i="101"/>
  <c r="BT56" i="101"/>
  <c r="BT57" i="101"/>
  <c r="BT58" i="101"/>
  <c r="BT59" i="101"/>
  <c r="BT60" i="101"/>
  <c r="BT61" i="101"/>
  <c r="BT62" i="101"/>
  <c r="BL11" i="101"/>
  <c r="BL12" i="101"/>
  <c r="BL13" i="101"/>
  <c r="BL27" i="101"/>
  <c r="BL28" i="101"/>
  <c r="BL29" i="101"/>
  <c r="BL30" i="101"/>
  <c r="BL31" i="101"/>
  <c r="BL32" i="101"/>
  <c r="BL51" i="101"/>
  <c r="BL52" i="101"/>
  <c r="BL53" i="101"/>
  <c r="BL54" i="101"/>
  <c r="BL55" i="101"/>
  <c r="BL56" i="101"/>
  <c r="BL57" i="101"/>
  <c r="BL58" i="101"/>
  <c r="BL59" i="101"/>
  <c r="BL60" i="101"/>
  <c r="BL61" i="101"/>
  <c r="BL62" i="101"/>
  <c r="BK11" i="101"/>
  <c r="BK12" i="101"/>
  <c r="BK13" i="101"/>
  <c r="BK27" i="101"/>
  <c r="BK28" i="101"/>
  <c r="BK29" i="101"/>
  <c r="BK30" i="101"/>
  <c r="BK31" i="101"/>
  <c r="BK32" i="101"/>
  <c r="BK51" i="101"/>
  <c r="BK52" i="101"/>
  <c r="BK53" i="101"/>
  <c r="BK54" i="101"/>
  <c r="BK55" i="101"/>
  <c r="BK56" i="101"/>
  <c r="BK57" i="101"/>
  <c r="BK58" i="101"/>
  <c r="BK59" i="101"/>
  <c r="BK60" i="101"/>
  <c r="BK61" i="101"/>
  <c r="BK62" i="101"/>
  <c r="BJ63" i="101"/>
  <c r="BJ64" i="101"/>
  <c r="BJ65" i="101"/>
  <c r="BJ66" i="101"/>
  <c r="BJ67" i="101"/>
  <c r="BJ68" i="101"/>
  <c r="BJ69" i="101"/>
  <c r="BJ70" i="101"/>
  <c r="BJ71" i="101"/>
  <c r="BJ72" i="101"/>
  <c r="BJ73" i="101"/>
  <c r="BJ74" i="101"/>
  <c r="BJ75" i="101"/>
  <c r="BJ76" i="101"/>
  <c r="BJ77" i="101"/>
  <c r="BJ78" i="101"/>
  <c r="BJ79" i="101"/>
  <c r="BJ80" i="101"/>
  <c r="BJ81" i="101"/>
  <c r="BJ82" i="101"/>
  <c r="BJ83" i="101"/>
  <c r="BJ84" i="101"/>
  <c r="BJ85" i="101"/>
  <c r="BJ86" i="101"/>
  <c r="BJ87" i="101"/>
  <c r="BJ88" i="101"/>
  <c r="BJ89" i="101"/>
  <c r="BJ90" i="101"/>
  <c r="BJ91" i="101"/>
  <c r="BJ92" i="101"/>
  <c r="BJ93" i="101"/>
  <c r="BJ94" i="101"/>
  <c r="BJ95" i="101"/>
  <c r="BJ96" i="101"/>
  <c r="BJ97" i="101"/>
  <c r="AX11" i="101"/>
  <c r="AX12" i="101"/>
  <c r="AX13" i="101"/>
  <c r="AX51" i="101"/>
  <c r="AX52" i="101"/>
  <c r="AX53" i="101"/>
  <c r="AX54" i="101"/>
  <c r="AX55" i="101"/>
  <c r="AX56" i="101"/>
  <c r="AX57" i="101"/>
  <c r="AX58" i="101"/>
  <c r="AX59" i="101"/>
  <c r="AX60" i="101"/>
  <c r="AX61" i="101"/>
  <c r="AX62" i="101"/>
  <c r="AY11" i="101"/>
  <c r="BA11" i="101" s="1"/>
  <c r="AY12" i="101"/>
  <c r="BA12" i="101" s="1"/>
  <c r="AY13" i="101"/>
  <c r="BA13" i="101" s="1"/>
  <c r="AY14" i="101"/>
  <c r="BA14" i="101" s="1"/>
  <c r="AY15" i="101"/>
  <c r="BA15" i="101" s="1"/>
  <c r="AY16" i="101"/>
  <c r="BA16" i="101" s="1"/>
  <c r="AY17" i="101"/>
  <c r="BA17" i="101" s="1"/>
  <c r="AY18" i="101"/>
  <c r="BA18" i="101" s="1"/>
  <c r="AY19" i="101"/>
  <c r="AY20" i="101"/>
  <c r="AY21" i="101"/>
  <c r="AY22" i="101"/>
  <c r="AY23" i="101"/>
  <c r="AY24" i="101"/>
  <c r="AY25" i="101"/>
  <c r="AY26" i="101"/>
  <c r="AY27" i="101"/>
  <c r="BA27" i="101" s="1"/>
  <c r="AY28" i="101"/>
  <c r="BB28" i="101" s="1"/>
  <c r="AY29" i="101"/>
  <c r="AY30" i="101"/>
  <c r="AY31" i="101"/>
  <c r="BJ31" i="101" s="1"/>
  <c r="AY32" i="101"/>
  <c r="AZ32" i="101" s="1"/>
  <c r="AY33" i="101"/>
  <c r="BA33" i="101" s="1"/>
  <c r="AY51" i="101"/>
  <c r="BA51" i="101" s="1"/>
  <c r="AY52" i="101"/>
  <c r="BB52" i="101" s="1"/>
  <c r="AY53" i="101"/>
  <c r="AY54" i="101"/>
  <c r="AY55" i="101"/>
  <c r="AY56" i="101"/>
  <c r="AY57" i="101"/>
  <c r="BA57" i="101" s="1"/>
  <c r="AY58" i="101"/>
  <c r="BA58" i="101" s="1"/>
  <c r="AY59" i="101"/>
  <c r="BA59" i="101" s="1"/>
  <c r="AY60" i="101"/>
  <c r="BA60" i="101" s="1"/>
  <c r="AY61" i="101"/>
  <c r="BA61" i="101" s="1"/>
  <c r="AY62" i="101"/>
  <c r="BA62" i="101" s="1"/>
  <c r="BA29" i="101"/>
  <c r="BA30" i="101"/>
  <c r="BA31" i="101"/>
  <c r="BA32" i="101"/>
  <c r="BA53" i="101"/>
  <c r="BA54" i="101"/>
  <c r="BA55" i="101"/>
  <c r="BA56" i="101"/>
  <c r="BB29" i="101"/>
  <c r="BB30" i="101"/>
  <c r="BB31" i="101"/>
  <c r="BB32" i="101"/>
  <c r="BB53" i="101"/>
  <c r="BB54" i="101"/>
  <c r="BB55" i="101"/>
  <c r="BB56" i="101"/>
  <c r="BB57" i="101"/>
  <c r="BB58" i="101"/>
  <c r="BB59" i="101"/>
  <c r="BB60" i="101"/>
  <c r="BB61" i="101"/>
  <c r="BB62" i="101"/>
  <c r="BB33" i="101" l="1"/>
  <c r="BK33" i="101"/>
  <c r="BJ33" i="101"/>
  <c r="BU33" i="101"/>
  <c r="BL33" i="101"/>
  <c r="BB26" i="101"/>
  <c r="BK26" i="101"/>
  <c r="BL26" i="101"/>
  <c r="BA25" i="101"/>
  <c r="BK25" i="101"/>
  <c r="BL25" i="101"/>
  <c r="BT25" i="101"/>
  <c r="BB24" i="101"/>
  <c r="BK24" i="101"/>
  <c r="BL24" i="101"/>
  <c r="BT24" i="101"/>
  <c r="BU24" i="101"/>
  <c r="BB23" i="101"/>
  <c r="BK23" i="101"/>
  <c r="BL23" i="101"/>
  <c r="BT23" i="101"/>
  <c r="BU23" i="101"/>
  <c r="AZ23" i="101"/>
  <c r="BJ26" i="101"/>
  <c r="BA22" i="101"/>
  <c r="BK22" i="101"/>
  <c r="BL22" i="101"/>
  <c r="BT22" i="101"/>
  <c r="BU22" i="101"/>
  <c r="AZ22" i="101"/>
  <c r="BJ22" i="101"/>
  <c r="BJ25" i="101"/>
  <c r="BK21" i="101"/>
  <c r="BL21" i="101"/>
  <c r="BT21" i="101"/>
  <c r="BU21" i="101"/>
  <c r="AZ21" i="101"/>
  <c r="BJ21" i="101"/>
  <c r="BB21" i="101"/>
  <c r="BU26" i="101"/>
  <c r="BJ24" i="101"/>
  <c r="BK20" i="101"/>
  <c r="BL20" i="101"/>
  <c r="BT20" i="101"/>
  <c r="BU20" i="101"/>
  <c r="AZ20" i="101"/>
  <c r="BJ20" i="101"/>
  <c r="BB20" i="101"/>
  <c r="BU25" i="101"/>
  <c r="BJ23" i="101"/>
  <c r="BK19" i="101"/>
  <c r="BL19" i="101"/>
  <c r="BT19" i="101"/>
  <c r="BU19" i="101"/>
  <c r="AZ19" i="101"/>
  <c r="BJ19" i="101"/>
  <c r="BB19" i="101"/>
  <c r="BB22" i="101"/>
  <c r="BJ18" i="101"/>
  <c r="AZ18" i="101"/>
  <c r="BJ17" i="101"/>
  <c r="BU18" i="101"/>
  <c r="AZ17" i="101"/>
  <c r="BJ16" i="101"/>
  <c r="BT18" i="101"/>
  <c r="BU17" i="101"/>
  <c r="AZ16" i="101"/>
  <c r="BJ15" i="101"/>
  <c r="BL18" i="101"/>
  <c r="BT17" i="101"/>
  <c r="BU16" i="101"/>
  <c r="AZ15" i="101"/>
  <c r="BJ14" i="101"/>
  <c r="BK18" i="101"/>
  <c r="BL17" i="101"/>
  <c r="BT16" i="101"/>
  <c r="BU15" i="101"/>
  <c r="AZ14" i="101"/>
  <c r="BK17" i="101"/>
  <c r="BL16" i="101"/>
  <c r="BT15" i="101"/>
  <c r="BU14" i="101"/>
  <c r="BK16" i="101"/>
  <c r="BL15" i="101"/>
  <c r="BT14" i="101"/>
  <c r="BK15" i="101"/>
  <c r="BL14" i="101"/>
  <c r="BK14" i="101"/>
  <c r="BJ32" i="101"/>
  <c r="BB16" i="101"/>
  <c r="BB13" i="101"/>
  <c r="BB17" i="101"/>
  <c r="BB14" i="101"/>
  <c r="BB11" i="101"/>
  <c r="BB15" i="101"/>
  <c r="BB18" i="101"/>
  <c r="BB12" i="101"/>
  <c r="BA52" i="101"/>
  <c r="BA26" i="101"/>
  <c r="BA24" i="101"/>
  <c r="BA23" i="101"/>
  <c r="BA21" i="101"/>
  <c r="BB27" i="101"/>
  <c r="BB51" i="101"/>
  <c r="BB25" i="101"/>
  <c r="BA28" i="101"/>
  <c r="BA20" i="101"/>
  <c r="BA19" i="101"/>
  <c r="B13" i="67" l="1"/>
  <c r="B13" i="71"/>
  <c r="H3" i="70" l="1"/>
  <c r="P15" i="16"/>
  <c r="J15" i="16" s="1"/>
  <c r="O15" i="16"/>
  <c r="H15" i="16" s="1"/>
  <c r="I15" i="16" l="1"/>
  <c r="AM138" i="62"/>
  <c r="AL138" i="62"/>
  <c r="AK138" i="62"/>
  <c r="AJ138" i="62"/>
  <c r="AI138" i="62"/>
  <c r="AH138" i="62"/>
  <c r="AG138" i="62"/>
  <c r="AF138" i="62"/>
  <c r="AE138" i="62"/>
  <c r="AD138" i="62"/>
  <c r="AL137" i="62"/>
  <c r="AK137" i="62"/>
  <c r="AJ137" i="62"/>
  <c r="AI137" i="62"/>
  <c r="AH137" i="62"/>
  <c r="AG137" i="62"/>
  <c r="AF137" i="62"/>
  <c r="AE137" i="62"/>
  <c r="AD137" i="62"/>
  <c r="AM136" i="62"/>
  <c r="AM137" i="62"/>
  <c r="AL136" i="62"/>
  <c r="AK136" i="62"/>
  <c r="AJ136" i="62"/>
  <c r="AI136" i="62"/>
  <c r="AH136" i="62"/>
  <c r="AG136" i="62"/>
  <c r="AF136" i="62"/>
  <c r="AE136" i="62"/>
  <c r="AD136" i="62"/>
  <c r="AM135" i="62"/>
  <c r="AL135" i="62"/>
  <c r="AK135" i="62"/>
  <c r="AJ135" i="62"/>
  <c r="AI135" i="62"/>
  <c r="AH135" i="62"/>
  <c r="AG135" i="62"/>
  <c r="AF135" i="62"/>
  <c r="AE135" i="62"/>
  <c r="AD135" i="62"/>
  <c r="AM134" i="62"/>
  <c r="AL134" i="62"/>
  <c r="AK134" i="62"/>
  <c r="AJ134" i="62"/>
  <c r="AI134" i="62"/>
  <c r="AH134" i="62"/>
  <c r="AG134" i="62"/>
  <c r="AF134" i="62"/>
  <c r="AE134" i="62"/>
  <c r="AD134" i="62"/>
  <c r="AM133" i="62"/>
  <c r="AL133" i="62"/>
  <c r="AK133" i="62"/>
  <c r="AJ133" i="62"/>
  <c r="AI133" i="62"/>
  <c r="AH133" i="62"/>
  <c r="AG133" i="62"/>
  <c r="AF133" i="62"/>
  <c r="AE133" i="62"/>
  <c r="AD133" i="62"/>
  <c r="AM132" i="62"/>
  <c r="AL132" i="62"/>
  <c r="AK132" i="62"/>
  <c r="AJ132" i="62"/>
  <c r="AI132" i="62"/>
  <c r="AH132" i="62"/>
  <c r="AG132" i="62"/>
  <c r="AF132" i="62"/>
  <c r="AE132" i="62"/>
  <c r="AD132" i="62"/>
  <c r="AL131" i="62"/>
  <c r="AK131" i="62"/>
  <c r="AJ131" i="62"/>
  <c r="AI131" i="62"/>
  <c r="AH131" i="62"/>
  <c r="AG131" i="62"/>
  <c r="AF131" i="62"/>
  <c r="AE131" i="62"/>
  <c r="AD131" i="62"/>
  <c r="AM130" i="62"/>
  <c r="AM131" i="62"/>
  <c r="AL130" i="62"/>
  <c r="AK130" i="62"/>
  <c r="AJ130" i="62"/>
  <c r="AI130" i="62"/>
  <c r="AH130" i="62"/>
  <c r="AG130" i="62"/>
  <c r="AF130" i="62"/>
  <c r="AE130" i="62"/>
  <c r="AD130" i="62"/>
  <c r="AM129" i="62"/>
  <c r="AL129" i="62"/>
  <c r="AK129" i="62"/>
  <c r="AJ129" i="62"/>
  <c r="AI129" i="62"/>
  <c r="AH129" i="62"/>
  <c r="AG129" i="62"/>
  <c r="AF129" i="62"/>
  <c r="AE129" i="62"/>
  <c r="AD129" i="62"/>
  <c r="AM128" i="62"/>
  <c r="AL128" i="62"/>
  <c r="AK128" i="62"/>
  <c r="AJ128" i="62"/>
  <c r="AI128" i="62"/>
  <c r="AH128" i="62"/>
  <c r="AG128" i="62"/>
  <c r="AF128" i="62"/>
  <c r="AE128" i="62"/>
  <c r="AD128" i="62"/>
  <c r="AM127" i="62"/>
  <c r="AL127" i="62"/>
  <c r="AK127" i="62"/>
  <c r="AJ127" i="62"/>
  <c r="AI127" i="62"/>
  <c r="AH127" i="62"/>
  <c r="AG127" i="62"/>
  <c r="AF127" i="62"/>
  <c r="AE127" i="62"/>
  <c r="AD127" i="62"/>
  <c r="AM126" i="62"/>
  <c r="AL126" i="62"/>
  <c r="AK126" i="62"/>
  <c r="AJ126" i="62"/>
  <c r="AI126" i="62"/>
  <c r="AH126" i="62"/>
  <c r="AG126" i="62"/>
  <c r="AF126" i="62"/>
  <c r="AE126" i="62"/>
  <c r="AD126" i="62"/>
  <c r="AM125" i="62"/>
  <c r="AL125" i="62"/>
  <c r="AK125" i="62"/>
  <c r="AJ125" i="62"/>
  <c r="AI125" i="62"/>
  <c r="AH125" i="62"/>
  <c r="AG125" i="62"/>
  <c r="AF125" i="62"/>
  <c r="AE125" i="62"/>
  <c r="AD125" i="62"/>
  <c r="AM124" i="62"/>
  <c r="AL124" i="62"/>
  <c r="AK124" i="62"/>
  <c r="AJ124" i="62"/>
  <c r="AI124" i="62"/>
  <c r="AH124" i="62"/>
  <c r="AG124" i="62"/>
  <c r="AF124" i="62"/>
  <c r="AE124" i="62"/>
  <c r="AD124" i="62"/>
  <c r="AM123" i="62"/>
  <c r="AL123" i="62"/>
  <c r="AK123" i="62"/>
  <c r="AJ123" i="62"/>
  <c r="AI123" i="62"/>
  <c r="AH123" i="62"/>
  <c r="AG123" i="62"/>
  <c r="AF123" i="62"/>
  <c r="AE123" i="62"/>
  <c r="AD123" i="62"/>
  <c r="AL121" i="62"/>
  <c r="AK121" i="62"/>
  <c r="AJ121" i="62"/>
  <c r="AI121" i="62"/>
  <c r="AH121" i="62"/>
  <c r="AM122" i="62"/>
  <c r="AG122" i="62"/>
  <c r="AF122" i="62"/>
  <c r="AE122" i="62"/>
  <c r="AD122" i="62"/>
  <c r="AM121" i="62"/>
  <c r="AL122" i="62"/>
  <c r="AK122" i="62"/>
  <c r="AJ122" i="62"/>
  <c r="AI122" i="62"/>
  <c r="AH122" i="62"/>
  <c r="AG121" i="62"/>
  <c r="AF121" i="62"/>
  <c r="AE121" i="62"/>
  <c r="AD121" i="62"/>
  <c r="AM117" i="62"/>
  <c r="AL117" i="62"/>
  <c r="AK117" i="62"/>
  <c r="AJ117" i="62"/>
  <c r="AI117" i="62"/>
  <c r="AH117" i="62"/>
  <c r="AG117" i="62"/>
  <c r="AF117" i="62"/>
  <c r="AE117" i="62"/>
  <c r="AD117" i="62"/>
  <c r="AD110" i="62"/>
  <c r="B13" i="73" l="1"/>
  <c r="B13" i="68"/>
  <c r="I16" i="7"/>
  <c r="S3" i="100" l="1"/>
  <c r="R3" i="100"/>
  <c r="S3" i="99"/>
  <c r="R3" i="99"/>
  <c r="S3" i="98"/>
  <c r="R3" i="98"/>
  <c r="S3" i="97"/>
  <c r="R3" i="97"/>
  <c r="S3" i="96"/>
  <c r="R3" i="96"/>
  <c r="S3" i="95"/>
  <c r="R3" i="95"/>
  <c r="S3" i="94"/>
  <c r="R3" i="94"/>
  <c r="S3" i="93"/>
  <c r="R3" i="93"/>
  <c r="S3" i="92"/>
  <c r="R3" i="92"/>
  <c r="S3" i="91"/>
  <c r="R3" i="91"/>
  <c r="S3" i="90"/>
  <c r="R3" i="90"/>
  <c r="S3" i="89"/>
  <c r="R3" i="89"/>
  <c r="S3" i="88"/>
  <c r="R3" i="88"/>
  <c r="S3" i="87"/>
  <c r="R3" i="87"/>
  <c r="S3" i="86"/>
  <c r="R3" i="86"/>
  <c r="S3" i="85"/>
  <c r="R3" i="85"/>
  <c r="S3" i="84"/>
  <c r="R3" i="84"/>
  <c r="S3" i="83"/>
  <c r="R3" i="83"/>
  <c r="S3" i="82"/>
  <c r="R3" i="82"/>
  <c r="S3" i="81"/>
  <c r="R3" i="81"/>
  <c r="S3" i="74"/>
  <c r="R3" i="74"/>
  <c r="S3" i="73"/>
  <c r="R3" i="73"/>
  <c r="S3" i="72"/>
  <c r="R3" i="72"/>
  <c r="S3" i="71"/>
  <c r="R3" i="71"/>
  <c r="S3" i="70"/>
  <c r="R3" i="70"/>
  <c r="S3" i="69"/>
  <c r="R3" i="69"/>
  <c r="S3" i="68"/>
  <c r="R3" i="68"/>
  <c r="S3" i="67"/>
  <c r="R3" i="67"/>
  <c r="S3" i="66"/>
  <c r="R3" i="66"/>
  <c r="R3" i="18"/>
  <c r="S3" i="18"/>
  <c r="F28" i="100"/>
  <c r="F27" i="100"/>
  <c r="F26" i="100"/>
  <c r="F25" i="100"/>
  <c r="F24" i="100"/>
  <c r="F23" i="100"/>
  <c r="F22" i="100"/>
  <c r="F21" i="100"/>
  <c r="F20" i="100"/>
  <c r="F28" i="99"/>
  <c r="F27" i="99"/>
  <c r="F26" i="99"/>
  <c r="F25" i="99"/>
  <c r="F24" i="99"/>
  <c r="F23" i="99"/>
  <c r="F22" i="99"/>
  <c r="F21" i="99"/>
  <c r="F20" i="99"/>
  <c r="F28" i="98"/>
  <c r="F27" i="98"/>
  <c r="F26" i="98"/>
  <c r="F25" i="98"/>
  <c r="F24" i="98"/>
  <c r="F23" i="98"/>
  <c r="F22" i="98"/>
  <c r="F21" i="98"/>
  <c r="F20" i="98"/>
  <c r="F28" i="97"/>
  <c r="F27" i="97"/>
  <c r="F26" i="97"/>
  <c r="F25" i="97"/>
  <c r="F24" i="97"/>
  <c r="F23" i="97"/>
  <c r="F22" i="97"/>
  <c r="F21" i="97"/>
  <c r="F20" i="97"/>
  <c r="F28" i="96"/>
  <c r="F27" i="96"/>
  <c r="F26" i="96"/>
  <c r="F25" i="96"/>
  <c r="F24" i="96"/>
  <c r="F23" i="96"/>
  <c r="F22" i="96"/>
  <c r="F21" i="96"/>
  <c r="F20" i="96"/>
  <c r="F28" i="95"/>
  <c r="F27" i="95"/>
  <c r="F26" i="95"/>
  <c r="F25" i="95"/>
  <c r="F24" i="95"/>
  <c r="F23" i="95"/>
  <c r="F22" i="95"/>
  <c r="F21" i="95"/>
  <c r="F20" i="95"/>
  <c r="F28" i="94"/>
  <c r="F27" i="94"/>
  <c r="F26" i="94"/>
  <c r="F25" i="94"/>
  <c r="F24" i="94"/>
  <c r="F23" i="94"/>
  <c r="F22" i="94"/>
  <c r="F21" i="94"/>
  <c r="F20" i="94"/>
  <c r="F28" i="93"/>
  <c r="F27" i="93"/>
  <c r="F26" i="93"/>
  <c r="F25" i="93"/>
  <c r="F24" i="93"/>
  <c r="F23" i="93"/>
  <c r="F22" i="93"/>
  <c r="F21" i="93"/>
  <c r="F20" i="93"/>
  <c r="F28" i="92"/>
  <c r="F27" i="92"/>
  <c r="F26" i="92"/>
  <c r="F25" i="92"/>
  <c r="F24" i="92"/>
  <c r="F23" i="92"/>
  <c r="F22" i="92"/>
  <c r="F21" i="92"/>
  <c r="F20" i="92"/>
  <c r="F28" i="91"/>
  <c r="F27" i="91"/>
  <c r="F26" i="91"/>
  <c r="F25" i="91"/>
  <c r="F24" i="91"/>
  <c r="F23" i="91"/>
  <c r="F22" i="91"/>
  <c r="F21" i="91"/>
  <c r="F20" i="91"/>
  <c r="F28" i="90"/>
  <c r="F27" i="90"/>
  <c r="F26" i="90"/>
  <c r="F25" i="90"/>
  <c r="F24" i="90"/>
  <c r="F23" i="90"/>
  <c r="F22" i="90"/>
  <c r="F21" i="90"/>
  <c r="F20" i="90"/>
  <c r="F28" i="89"/>
  <c r="F27" i="89"/>
  <c r="F26" i="89"/>
  <c r="F25" i="89"/>
  <c r="F24" i="89"/>
  <c r="F23" i="89"/>
  <c r="F22" i="89"/>
  <c r="F21" i="89"/>
  <c r="F20" i="89"/>
  <c r="F28" i="88"/>
  <c r="F27" i="88"/>
  <c r="F26" i="88"/>
  <c r="F25" i="88"/>
  <c r="F24" i="88"/>
  <c r="F23" i="88"/>
  <c r="F22" i="88"/>
  <c r="F21" i="88"/>
  <c r="F20" i="88"/>
  <c r="F28" i="87"/>
  <c r="F27" i="87"/>
  <c r="F26" i="87"/>
  <c r="F25" i="87"/>
  <c r="F24" i="87"/>
  <c r="F23" i="87"/>
  <c r="F22" i="87"/>
  <c r="F21" i="87"/>
  <c r="F20" i="87"/>
  <c r="F28" i="86"/>
  <c r="F27" i="86"/>
  <c r="F26" i="86"/>
  <c r="F25" i="86"/>
  <c r="F24" i="86"/>
  <c r="F23" i="86"/>
  <c r="F22" i="86"/>
  <c r="F21" i="86"/>
  <c r="F20" i="86"/>
  <c r="F28" i="85"/>
  <c r="F27" i="85"/>
  <c r="F26" i="85"/>
  <c r="F25" i="85"/>
  <c r="F24" i="85"/>
  <c r="F23" i="85"/>
  <c r="F22" i="85"/>
  <c r="F21" i="85"/>
  <c r="F20" i="85"/>
  <c r="F28" i="84"/>
  <c r="F27" i="84"/>
  <c r="F26" i="84"/>
  <c r="F25" i="84"/>
  <c r="F24" i="84"/>
  <c r="F23" i="84"/>
  <c r="F22" i="84"/>
  <c r="F21" i="84"/>
  <c r="F20" i="84"/>
  <c r="F28" i="83"/>
  <c r="F27" i="83"/>
  <c r="F26" i="83"/>
  <c r="F25" i="83"/>
  <c r="F24" i="83"/>
  <c r="F23" i="83"/>
  <c r="F22" i="83"/>
  <c r="F21" i="83"/>
  <c r="F20" i="83"/>
  <c r="F28" i="82"/>
  <c r="F27" i="82"/>
  <c r="F26" i="82"/>
  <c r="F25" i="82"/>
  <c r="F24" i="82"/>
  <c r="F23" i="82"/>
  <c r="F22" i="82"/>
  <c r="F21" i="82"/>
  <c r="F20" i="82"/>
  <c r="F28" i="81"/>
  <c r="F27" i="81"/>
  <c r="F26" i="81"/>
  <c r="F25" i="81"/>
  <c r="F24" i="81"/>
  <c r="F23" i="81"/>
  <c r="F22" i="81"/>
  <c r="F21" i="81"/>
  <c r="F20" i="81"/>
  <c r="F28" i="74"/>
  <c r="F27" i="74"/>
  <c r="F26" i="74"/>
  <c r="F25" i="74"/>
  <c r="F24" i="74"/>
  <c r="F23" i="74"/>
  <c r="F22" i="74"/>
  <c r="F21" i="74"/>
  <c r="F20" i="74"/>
  <c r="F28" i="73"/>
  <c r="F27" i="73"/>
  <c r="F26" i="73"/>
  <c r="F25" i="73"/>
  <c r="F24" i="73"/>
  <c r="F23" i="73"/>
  <c r="F22" i="73"/>
  <c r="F21" i="73"/>
  <c r="F20" i="73"/>
  <c r="F28" i="72"/>
  <c r="F27" i="72"/>
  <c r="F26" i="72"/>
  <c r="F25" i="72"/>
  <c r="F24" i="72"/>
  <c r="F23" i="72"/>
  <c r="F22" i="72"/>
  <c r="F21" i="72"/>
  <c r="F20" i="72"/>
  <c r="F28" i="71"/>
  <c r="F27" i="71"/>
  <c r="F26" i="71"/>
  <c r="F25" i="71"/>
  <c r="F24" i="71"/>
  <c r="F23" i="71"/>
  <c r="F22" i="71"/>
  <c r="F21" i="71"/>
  <c r="F20" i="71"/>
  <c r="F28" i="70"/>
  <c r="F27" i="70"/>
  <c r="F26" i="70"/>
  <c r="F25" i="70"/>
  <c r="F24" i="70"/>
  <c r="F23" i="70"/>
  <c r="F22" i="70"/>
  <c r="F21" i="70"/>
  <c r="F20" i="70"/>
  <c r="F28" i="69"/>
  <c r="F27" i="69"/>
  <c r="F26" i="69"/>
  <c r="F25" i="69"/>
  <c r="F24" i="69"/>
  <c r="F23" i="69"/>
  <c r="F22" i="69"/>
  <c r="F21" i="69"/>
  <c r="F20" i="69"/>
  <c r="F28" i="68"/>
  <c r="F27" i="68"/>
  <c r="F26" i="68"/>
  <c r="F25" i="68"/>
  <c r="F24" i="68"/>
  <c r="F23" i="68"/>
  <c r="F22" i="68"/>
  <c r="F21" i="68"/>
  <c r="F20" i="68"/>
  <c r="F28" i="67"/>
  <c r="F27" i="67"/>
  <c r="F26" i="67"/>
  <c r="F25" i="67"/>
  <c r="F24" i="67"/>
  <c r="F23" i="67"/>
  <c r="F22" i="67"/>
  <c r="F21" i="67"/>
  <c r="F20" i="67"/>
  <c r="F28" i="66"/>
  <c r="F27" i="66"/>
  <c r="F26" i="66"/>
  <c r="F25" i="66"/>
  <c r="F24" i="66"/>
  <c r="F23" i="66"/>
  <c r="F22" i="66"/>
  <c r="F21" i="66"/>
  <c r="F20" i="66"/>
  <c r="F23" i="18"/>
  <c r="F28" i="18"/>
  <c r="F27" i="18"/>
  <c r="F26" i="18"/>
  <c r="F25" i="18"/>
  <c r="F24" i="18"/>
  <c r="F22" i="18"/>
  <c r="F21" i="18"/>
  <c r="F20" i="18"/>
  <c r="O20" i="18"/>
  <c r="BW33" i="101"/>
  <c r="BW32" i="101"/>
  <c r="BW30" i="101"/>
  <c r="BW29" i="101"/>
  <c r="BW28" i="101"/>
  <c r="BW27" i="101"/>
  <c r="BW26" i="101"/>
  <c r="BW25" i="101"/>
  <c r="BW24" i="101"/>
  <c r="BW23" i="101"/>
  <c r="BW22" i="101"/>
  <c r="BW21" i="101"/>
  <c r="BW20" i="101"/>
  <c r="BW19" i="101"/>
  <c r="BW18" i="101"/>
  <c r="BW17" i="101"/>
  <c r="BW16" i="101"/>
  <c r="BW15" i="101"/>
  <c r="BW14" i="101"/>
  <c r="BW13" i="101"/>
  <c r="BW12" i="101"/>
  <c r="BW11" i="101"/>
  <c r="BW9" i="101"/>
  <c r="BW8" i="101"/>
  <c r="BV33" i="101"/>
  <c r="BX33" i="101" s="1"/>
  <c r="BV32" i="101"/>
  <c r="BX32" i="101" s="1"/>
  <c r="BV30" i="101"/>
  <c r="BY30" i="101" s="1"/>
  <c r="BV29" i="101"/>
  <c r="BY29" i="101" s="1"/>
  <c r="BV28" i="101"/>
  <c r="BY28" i="101" s="1"/>
  <c r="BV27" i="101"/>
  <c r="BY27" i="101" s="1"/>
  <c r="BV26" i="101"/>
  <c r="BX26" i="101" s="1"/>
  <c r="BV25" i="101"/>
  <c r="BX25" i="101" s="1"/>
  <c r="BV24" i="101"/>
  <c r="BY24" i="101" s="1"/>
  <c r="BV23" i="101"/>
  <c r="BX23" i="101" s="1"/>
  <c r="BV22" i="101"/>
  <c r="BY22" i="101" s="1"/>
  <c r="BV21" i="101"/>
  <c r="BY21" i="101" s="1"/>
  <c r="BV20" i="101"/>
  <c r="BY20" i="101" s="1"/>
  <c r="BV19" i="101"/>
  <c r="BY19" i="101" s="1"/>
  <c r="BV18" i="101"/>
  <c r="BY18" i="101" s="1"/>
  <c r="BV17" i="101"/>
  <c r="BY17" i="101" s="1"/>
  <c r="BV16" i="101"/>
  <c r="BY16" i="101" s="1"/>
  <c r="BV15" i="101"/>
  <c r="BX15" i="101" s="1"/>
  <c r="BV14" i="101"/>
  <c r="BX14" i="101" s="1"/>
  <c r="BV13" i="101"/>
  <c r="BX13" i="101" s="1"/>
  <c r="BV12" i="101"/>
  <c r="BX12" i="101" s="1"/>
  <c r="BV11" i="101"/>
  <c r="BX11" i="101" s="1"/>
  <c r="BV9" i="101"/>
  <c r="BX9" i="101" s="1"/>
  <c r="BV8" i="101"/>
  <c r="BY8" i="101" s="1"/>
  <c r="B13" i="18"/>
  <c r="BX29" i="101" l="1"/>
  <c r="BY15" i="101"/>
  <c r="BY33" i="101"/>
  <c r="BY14" i="101"/>
  <c r="BX20" i="101"/>
  <c r="BY32" i="101"/>
  <c r="BY13" i="101"/>
  <c r="BY12" i="101"/>
  <c r="BX19" i="101"/>
  <c r="BX18" i="101"/>
  <c r="BX30" i="101"/>
  <c r="BX17" i="101"/>
  <c r="BY9" i="101"/>
  <c r="BX8" i="101"/>
  <c r="BY11" i="101"/>
  <c r="BX21" i="101"/>
  <c r="BX28" i="101"/>
  <c r="BY23" i="101"/>
  <c r="BX27" i="101"/>
  <c r="BX22" i="101"/>
  <c r="BY26" i="101"/>
  <c r="BX16" i="101"/>
  <c r="BX24" i="101"/>
  <c r="BY25" i="101"/>
  <c r="CO15" i="100"/>
  <c r="CO14" i="100"/>
  <c r="CO13" i="100"/>
  <c r="CN15" i="100"/>
  <c r="CN14" i="100"/>
  <c r="CN13" i="100"/>
  <c r="CO15" i="99"/>
  <c r="CO14" i="99"/>
  <c r="CO13" i="99"/>
  <c r="CN15" i="99"/>
  <c r="CN14" i="99"/>
  <c r="CN13" i="99"/>
  <c r="CO15" i="98"/>
  <c r="CO14" i="98"/>
  <c r="CO13" i="98"/>
  <c r="CN15" i="98"/>
  <c r="CN14" i="98"/>
  <c r="CN13" i="98"/>
  <c r="CO15" i="97"/>
  <c r="CO14" i="97"/>
  <c r="CO13" i="97"/>
  <c r="CN15" i="97"/>
  <c r="CN14" i="97"/>
  <c r="CN13" i="97"/>
  <c r="CO15" i="96"/>
  <c r="CO14" i="96"/>
  <c r="CO13" i="96"/>
  <c r="CN15" i="96"/>
  <c r="CN14" i="96"/>
  <c r="CN13" i="96"/>
  <c r="CO15" i="95"/>
  <c r="CO14" i="95"/>
  <c r="CO13" i="95"/>
  <c r="CN15" i="95"/>
  <c r="CN14" i="95"/>
  <c r="CN13" i="95"/>
  <c r="CO15" i="94"/>
  <c r="CO14" i="94"/>
  <c r="CO13" i="94"/>
  <c r="CN15" i="94"/>
  <c r="CN14" i="94"/>
  <c r="CN13" i="94"/>
  <c r="CO15" i="93"/>
  <c r="CO14" i="93"/>
  <c r="CO13" i="93"/>
  <c r="CN15" i="93"/>
  <c r="CN14" i="93"/>
  <c r="CN13" i="93"/>
  <c r="CO15" i="92"/>
  <c r="CO14" i="92"/>
  <c r="CO13" i="92"/>
  <c r="CN15" i="92"/>
  <c r="CN14" i="92"/>
  <c r="CN13" i="92"/>
  <c r="CO15" i="91"/>
  <c r="CO14" i="91"/>
  <c r="CO13" i="91"/>
  <c r="CN15" i="91"/>
  <c r="CN14" i="91"/>
  <c r="CN13" i="91"/>
  <c r="CO15" i="90"/>
  <c r="CO14" i="90"/>
  <c r="CO13" i="90"/>
  <c r="CN15" i="90"/>
  <c r="CN14" i="90"/>
  <c r="CN13" i="90"/>
  <c r="CO15" i="89"/>
  <c r="CO14" i="89"/>
  <c r="CO13" i="89"/>
  <c r="CN15" i="89"/>
  <c r="CN14" i="89"/>
  <c r="CN13" i="89"/>
  <c r="CO15" i="88"/>
  <c r="CO14" i="88"/>
  <c r="CO13" i="88"/>
  <c r="CN15" i="88"/>
  <c r="CN14" i="88"/>
  <c r="CN13" i="88"/>
  <c r="CO15" i="87"/>
  <c r="CO14" i="87"/>
  <c r="CO13" i="87"/>
  <c r="CN15" i="87"/>
  <c r="CN14" i="87"/>
  <c r="CN13" i="87"/>
  <c r="CO15" i="86"/>
  <c r="CO14" i="86"/>
  <c r="CO13" i="86"/>
  <c r="CN15" i="86"/>
  <c r="CN14" i="86"/>
  <c r="CN13" i="86"/>
  <c r="CO15" i="85"/>
  <c r="CO14" i="85"/>
  <c r="CO13" i="85"/>
  <c r="CN15" i="85"/>
  <c r="CN14" i="85"/>
  <c r="CN13" i="85"/>
  <c r="CO15" i="84"/>
  <c r="CO14" i="84"/>
  <c r="CO13" i="84"/>
  <c r="CN15" i="84"/>
  <c r="CN14" i="84"/>
  <c r="CN13" i="84"/>
  <c r="CO15" i="83"/>
  <c r="CO14" i="83"/>
  <c r="CO13" i="83"/>
  <c r="CN15" i="83"/>
  <c r="CN14" i="83"/>
  <c r="CN13" i="83"/>
  <c r="CO15" i="82"/>
  <c r="CO14" i="82"/>
  <c r="CO13" i="82"/>
  <c r="CN15" i="82"/>
  <c r="CN14" i="82"/>
  <c r="CN13" i="82"/>
  <c r="CO15" i="81"/>
  <c r="CO14" i="81"/>
  <c r="CO13" i="81"/>
  <c r="CN15" i="81"/>
  <c r="CN14" i="81"/>
  <c r="CN13" i="81"/>
  <c r="CO15" i="74"/>
  <c r="CO14" i="74"/>
  <c r="CO13" i="74"/>
  <c r="CN15" i="74"/>
  <c r="CN14" i="74"/>
  <c r="CN13" i="74"/>
  <c r="CO15" i="73"/>
  <c r="CO14" i="73"/>
  <c r="CO13" i="73"/>
  <c r="CN15" i="73"/>
  <c r="CN14" i="73"/>
  <c r="CN13" i="73"/>
  <c r="CO15" i="72"/>
  <c r="CO14" i="72"/>
  <c r="CO13" i="72"/>
  <c r="CN15" i="72"/>
  <c r="CN14" i="72"/>
  <c r="CN13" i="72"/>
  <c r="CO15" i="71"/>
  <c r="CO14" i="71"/>
  <c r="CO13" i="71"/>
  <c r="CN15" i="71"/>
  <c r="CN14" i="71"/>
  <c r="CN13" i="71"/>
  <c r="CO15" i="70"/>
  <c r="CO14" i="70"/>
  <c r="CO13" i="70"/>
  <c r="CN15" i="70"/>
  <c r="CN14" i="70"/>
  <c r="CN13" i="70"/>
  <c r="CO15" i="69"/>
  <c r="CO14" i="69"/>
  <c r="CO13" i="69"/>
  <c r="CN15" i="69"/>
  <c r="CN14" i="69"/>
  <c r="CN13" i="69"/>
  <c r="CO15" i="68"/>
  <c r="CO14" i="68"/>
  <c r="CO13" i="68"/>
  <c r="CN15" i="68"/>
  <c r="CN14" i="68"/>
  <c r="CN13" i="68"/>
  <c r="CO15" i="67"/>
  <c r="CO14" i="67"/>
  <c r="CO13" i="67"/>
  <c r="CN15" i="67"/>
  <c r="CN14" i="67"/>
  <c r="CN13" i="67"/>
  <c r="CO15" i="66"/>
  <c r="CO14" i="66"/>
  <c r="CO13" i="66"/>
  <c r="CN15" i="66"/>
  <c r="CN14" i="66"/>
  <c r="CN13" i="66"/>
  <c r="T93" i="102" l="1"/>
  <c r="S93" i="102"/>
  <c r="R93" i="102"/>
  <c r="Q93" i="102"/>
  <c r="P93" i="102"/>
  <c r="O93" i="102"/>
  <c r="N93" i="102"/>
  <c r="M93" i="102"/>
  <c r="L93" i="102"/>
  <c r="K93" i="102"/>
  <c r="J93" i="102"/>
  <c r="I93" i="102"/>
  <c r="H93" i="102"/>
  <c r="G93" i="102"/>
  <c r="F93" i="102"/>
  <c r="E93" i="102"/>
  <c r="D93" i="102"/>
  <c r="C93" i="102"/>
  <c r="T92" i="102"/>
  <c r="S92" i="102"/>
  <c r="R92" i="102"/>
  <c r="Q92" i="102"/>
  <c r="P92" i="102"/>
  <c r="O92" i="102"/>
  <c r="N92" i="102"/>
  <c r="M92" i="102"/>
  <c r="L92" i="102"/>
  <c r="K92" i="102"/>
  <c r="J92" i="102"/>
  <c r="I92" i="102"/>
  <c r="H92" i="102"/>
  <c r="G92" i="102"/>
  <c r="F92" i="102"/>
  <c r="E92" i="102"/>
  <c r="D92" i="102"/>
  <c r="C92" i="102"/>
  <c r="T91" i="102"/>
  <c r="S91" i="102"/>
  <c r="R91" i="102"/>
  <c r="Q91" i="102"/>
  <c r="P91" i="102"/>
  <c r="O91" i="102"/>
  <c r="N91" i="102"/>
  <c r="M91" i="102"/>
  <c r="L91" i="102"/>
  <c r="K91" i="102"/>
  <c r="J91" i="102"/>
  <c r="I91" i="102"/>
  <c r="H91" i="102"/>
  <c r="G91" i="102"/>
  <c r="F91" i="102"/>
  <c r="E91" i="102"/>
  <c r="C91" i="102"/>
  <c r="B91" i="102"/>
  <c r="T90" i="102"/>
  <c r="S90" i="102"/>
  <c r="R90" i="102"/>
  <c r="Q90" i="102"/>
  <c r="P90" i="102"/>
  <c r="O90" i="102"/>
  <c r="N90" i="102"/>
  <c r="M90" i="102"/>
  <c r="L90" i="102"/>
  <c r="K90" i="102"/>
  <c r="J90" i="102"/>
  <c r="I90" i="102"/>
  <c r="H90" i="102"/>
  <c r="G90" i="102"/>
  <c r="F90" i="102"/>
  <c r="E90" i="102"/>
  <c r="D90" i="102"/>
  <c r="C90" i="102"/>
  <c r="T89" i="102"/>
  <c r="S89" i="102"/>
  <c r="R89" i="102"/>
  <c r="Q89" i="102"/>
  <c r="P89" i="102"/>
  <c r="O89" i="102"/>
  <c r="N89" i="102"/>
  <c r="M89" i="102"/>
  <c r="L89" i="102"/>
  <c r="K89" i="102"/>
  <c r="J89" i="102"/>
  <c r="I89" i="102"/>
  <c r="H89" i="102"/>
  <c r="G89" i="102"/>
  <c r="F89" i="102"/>
  <c r="E89" i="102"/>
  <c r="D89" i="102"/>
  <c r="C89" i="102"/>
  <c r="T88" i="102"/>
  <c r="S88" i="102"/>
  <c r="R88" i="102"/>
  <c r="Q88" i="102"/>
  <c r="P88" i="102"/>
  <c r="O88" i="102"/>
  <c r="N88" i="102"/>
  <c r="M88" i="102"/>
  <c r="L88" i="102"/>
  <c r="K88" i="102"/>
  <c r="J88" i="102"/>
  <c r="I88" i="102"/>
  <c r="H88" i="102"/>
  <c r="G88" i="102"/>
  <c r="F88" i="102"/>
  <c r="E88" i="102"/>
  <c r="C88" i="102"/>
  <c r="B88" i="102"/>
  <c r="T87" i="102"/>
  <c r="S87" i="102"/>
  <c r="R87" i="102"/>
  <c r="Q87" i="102"/>
  <c r="P87" i="102"/>
  <c r="O87" i="102"/>
  <c r="N87" i="102"/>
  <c r="M87" i="102"/>
  <c r="L87" i="102"/>
  <c r="K87" i="102"/>
  <c r="J87" i="102"/>
  <c r="I87" i="102"/>
  <c r="H87" i="102"/>
  <c r="G87" i="102"/>
  <c r="F87" i="102"/>
  <c r="E87" i="102"/>
  <c r="D87" i="102"/>
  <c r="C87" i="102"/>
  <c r="T86" i="102"/>
  <c r="S86" i="102"/>
  <c r="R86" i="102"/>
  <c r="Q86" i="102"/>
  <c r="P86" i="102"/>
  <c r="O86" i="102"/>
  <c r="N86" i="102"/>
  <c r="M86" i="102"/>
  <c r="L86" i="102"/>
  <c r="K86" i="102"/>
  <c r="J86" i="102"/>
  <c r="I86" i="102"/>
  <c r="H86" i="102"/>
  <c r="G86" i="102"/>
  <c r="F86" i="102"/>
  <c r="E86" i="102"/>
  <c r="D86" i="102"/>
  <c r="C86" i="102"/>
  <c r="T85" i="102"/>
  <c r="S85" i="102"/>
  <c r="R85" i="102"/>
  <c r="Q85" i="102"/>
  <c r="P85" i="102"/>
  <c r="O85" i="102"/>
  <c r="N85" i="102"/>
  <c r="M85" i="102"/>
  <c r="L85" i="102"/>
  <c r="K85" i="102"/>
  <c r="J85" i="102"/>
  <c r="I85" i="102"/>
  <c r="H85" i="102"/>
  <c r="G85" i="102"/>
  <c r="F85" i="102"/>
  <c r="E85" i="102"/>
  <c r="C85" i="102"/>
  <c r="B85" i="102"/>
  <c r="T84" i="102"/>
  <c r="S84" i="102"/>
  <c r="R84" i="102"/>
  <c r="Q84" i="102"/>
  <c r="P84" i="102"/>
  <c r="O84" i="102"/>
  <c r="N84" i="102"/>
  <c r="M84" i="102"/>
  <c r="L84" i="102"/>
  <c r="K84" i="102"/>
  <c r="J84" i="102"/>
  <c r="I84" i="102"/>
  <c r="H84" i="102"/>
  <c r="G84" i="102"/>
  <c r="F84" i="102"/>
  <c r="E84" i="102"/>
  <c r="D84" i="102"/>
  <c r="C84" i="102"/>
  <c r="T83" i="102"/>
  <c r="S83" i="102"/>
  <c r="R83" i="102"/>
  <c r="Q83" i="102"/>
  <c r="P83" i="102"/>
  <c r="O83" i="102"/>
  <c r="N83" i="102"/>
  <c r="M83" i="102"/>
  <c r="L83" i="102"/>
  <c r="K83" i="102"/>
  <c r="J83" i="102"/>
  <c r="I83" i="102"/>
  <c r="H83" i="102"/>
  <c r="G83" i="102"/>
  <c r="F83" i="102"/>
  <c r="E83" i="102"/>
  <c r="D83" i="102"/>
  <c r="C83" i="102"/>
  <c r="T82" i="102"/>
  <c r="S82" i="102"/>
  <c r="R82" i="102"/>
  <c r="Q82" i="102"/>
  <c r="P82" i="102"/>
  <c r="O82" i="102"/>
  <c r="N82" i="102"/>
  <c r="M82" i="102"/>
  <c r="L82" i="102"/>
  <c r="K82" i="102"/>
  <c r="J82" i="102"/>
  <c r="I82" i="102"/>
  <c r="H82" i="102"/>
  <c r="G82" i="102"/>
  <c r="F82" i="102"/>
  <c r="E82" i="102"/>
  <c r="C82" i="102"/>
  <c r="B82" i="102"/>
  <c r="T81" i="102"/>
  <c r="S81" i="102"/>
  <c r="R81" i="102"/>
  <c r="Q81" i="102"/>
  <c r="P81" i="102"/>
  <c r="O81" i="102"/>
  <c r="N81" i="102"/>
  <c r="M81" i="102"/>
  <c r="L81" i="102"/>
  <c r="K81" i="102"/>
  <c r="J81" i="102"/>
  <c r="I81" i="102"/>
  <c r="H81" i="102"/>
  <c r="G81" i="102"/>
  <c r="F81" i="102"/>
  <c r="E81" i="102"/>
  <c r="D81" i="102"/>
  <c r="C81" i="102"/>
  <c r="T80" i="102"/>
  <c r="S80" i="102"/>
  <c r="R80" i="102"/>
  <c r="Q80" i="102"/>
  <c r="P80" i="102"/>
  <c r="O80" i="102"/>
  <c r="N80" i="102"/>
  <c r="M80" i="102"/>
  <c r="L80" i="102"/>
  <c r="K80" i="102"/>
  <c r="J80" i="102"/>
  <c r="I80" i="102"/>
  <c r="H80" i="102"/>
  <c r="G80" i="102"/>
  <c r="F80" i="102"/>
  <c r="E80" i="102"/>
  <c r="D80" i="102"/>
  <c r="C80" i="102"/>
  <c r="T79" i="102"/>
  <c r="S79" i="102"/>
  <c r="R79" i="102"/>
  <c r="Q79" i="102"/>
  <c r="P79" i="102"/>
  <c r="O79" i="102"/>
  <c r="N79" i="102"/>
  <c r="M79" i="102"/>
  <c r="L79" i="102"/>
  <c r="K79" i="102"/>
  <c r="J79" i="102"/>
  <c r="I79" i="102"/>
  <c r="H79" i="102"/>
  <c r="G79" i="102"/>
  <c r="F79" i="102"/>
  <c r="E79" i="102"/>
  <c r="C79" i="102"/>
  <c r="B79" i="102"/>
  <c r="T78" i="102"/>
  <c r="S78" i="102"/>
  <c r="R78" i="102"/>
  <c r="Q78" i="102"/>
  <c r="P78" i="102"/>
  <c r="O78" i="102"/>
  <c r="N78" i="102"/>
  <c r="M78" i="102"/>
  <c r="L78" i="102"/>
  <c r="K78" i="102"/>
  <c r="J78" i="102"/>
  <c r="I78" i="102"/>
  <c r="H78" i="102"/>
  <c r="G78" i="102"/>
  <c r="F78" i="102"/>
  <c r="E78" i="102"/>
  <c r="D78" i="102"/>
  <c r="C78" i="102"/>
  <c r="T77" i="102"/>
  <c r="S77" i="102"/>
  <c r="R77" i="102"/>
  <c r="Q77" i="102"/>
  <c r="P77" i="102"/>
  <c r="O77" i="102"/>
  <c r="N77" i="102"/>
  <c r="M77" i="102"/>
  <c r="L77" i="102"/>
  <c r="K77" i="102"/>
  <c r="J77" i="102"/>
  <c r="I77" i="102"/>
  <c r="H77" i="102"/>
  <c r="G77" i="102"/>
  <c r="F77" i="102"/>
  <c r="E77" i="102"/>
  <c r="D77" i="102"/>
  <c r="C77" i="102"/>
  <c r="T76" i="102"/>
  <c r="S76" i="102"/>
  <c r="R76" i="102"/>
  <c r="Q76" i="102"/>
  <c r="P76" i="102"/>
  <c r="O76" i="102"/>
  <c r="N76" i="102"/>
  <c r="M76" i="102"/>
  <c r="L76" i="102"/>
  <c r="K76" i="102"/>
  <c r="J76" i="102"/>
  <c r="I76" i="102"/>
  <c r="H76" i="102"/>
  <c r="G76" i="102"/>
  <c r="F76" i="102"/>
  <c r="E76" i="102"/>
  <c r="C76" i="102"/>
  <c r="B76" i="102"/>
  <c r="T75" i="102"/>
  <c r="S75" i="102"/>
  <c r="R75" i="102"/>
  <c r="Q75" i="102"/>
  <c r="P75" i="102"/>
  <c r="O75" i="102"/>
  <c r="N75" i="102"/>
  <c r="M75" i="102"/>
  <c r="L75" i="102"/>
  <c r="K75" i="102"/>
  <c r="J75" i="102"/>
  <c r="I75" i="102"/>
  <c r="H75" i="102"/>
  <c r="G75" i="102"/>
  <c r="F75" i="102"/>
  <c r="E75" i="102"/>
  <c r="D75" i="102"/>
  <c r="C75" i="102"/>
  <c r="T74" i="102"/>
  <c r="S74" i="102"/>
  <c r="R74" i="102"/>
  <c r="Q74" i="102"/>
  <c r="P74" i="102"/>
  <c r="O74" i="102"/>
  <c r="N74" i="102"/>
  <c r="M74" i="102"/>
  <c r="L74" i="102"/>
  <c r="K74" i="102"/>
  <c r="J74" i="102"/>
  <c r="I74" i="102"/>
  <c r="H74" i="102"/>
  <c r="G74" i="102"/>
  <c r="F74" i="102"/>
  <c r="E74" i="102"/>
  <c r="D74" i="102"/>
  <c r="C74" i="102"/>
  <c r="T73" i="102"/>
  <c r="S73" i="102"/>
  <c r="R73" i="102"/>
  <c r="Q73" i="102"/>
  <c r="P73" i="102"/>
  <c r="O73" i="102"/>
  <c r="N73" i="102"/>
  <c r="M73" i="102"/>
  <c r="L73" i="102"/>
  <c r="K73" i="102"/>
  <c r="J73" i="102"/>
  <c r="I73" i="102"/>
  <c r="H73" i="102"/>
  <c r="G73" i="102"/>
  <c r="F73" i="102"/>
  <c r="E73" i="102"/>
  <c r="C73" i="102"/>
  <c r="B73" i="102"/>
  <c r="T72" i="102"/>
  <c r="S72" i="102"/>
  <c r="R72" i="102"/>
  <c r="Q72" i="102"/>
  <c r="P72" i="102"/>
  <c r="O72" i="102"/>
  <c r="N72" i="102"/>
  <c r="M72" i="102"/>
  <c r="L72" i="102"/>
  <c r="K72" i="102"/>
  <c r="J72" i="102"/>
  <c r="I72" i="102"/>
  <c r="H72" i="102"/>
  <c r="G72" i="102"/>
  <c r="F72" i="102"/>
  <c r="E72" i="102"/>
  <c r="D72" i="102"/>
  <c r="C72" i="102"/>
  <c r="T71" i="102"/>
  <c r="S71" i="102"/>
  <c r="R71" i="102"/>
  <c r="Q71" i="102"/>
  <c r="P71" i="102"/>
  <c r="O71" i="102"/>
  <c r="N71" i="102"/>
  <c r="M71" i="102"/>
  <c r="L71" i="102"/>
  <c r="K71" i="102"/>
  <c r="J71" i="102"/>
  <c r="I71" i="102"/>
  <c r="H71" i="102"/>
  <c r="G71" i="102"/>
  <c r="F71" i="102"/>
  <c r="E71" i="102"/>
  <c r="D71" i="102"/>
  <c r="C71" i="102"/>
  <c r="T70" i="102"/>
  <c r="S70" i="102"/>
  <c r="R70" i="102"/>
  <c r="Q70" i="102"/>
  <c r="P70" i="102"/>
  <c r="O70" i="102"/>
  <c r="N70" i="102"/>
  <c r="M70" i="102"/>
  <c r="L70" i="102"/>
  <c r="K70" i="102"/>
  <c r="J70" i="102"/>
  <c r="I70" i="102"/>
  <c r="H70" i="102"/>
  <c r="G70" i="102"/>
  <c r="F70" i="102"/>
  <c r="E70" i="102"/>
  <c r="C70" i="102"/>
  <c r="B70" i="102"/>
  <c r="T69" i="102"/>
  <c r="S69" i="102"/>
  <c r="R69" i="102"/>
  <c r="Q69" i="102"/>
  <c r="P69" i="102"/>
  <c r="O69" i="102"/>
  <c r="N69" i="102"/>
  <c r="M69" i="102"/>
  <c r="L69" i="102"/>
  <c r="K69" i="102"/>
  <c r="J69" i="102"/>
  <c r="I69" i="102"/>
  <c r="H69" i="102"/>
  <c r="G69" i="102"/>
  <c r="F69" i="102"/>
  <c r="E69" i="102"/>
  <c r="D69" i="102"/>
  <c r="C69" i="102"/>
  <c r="T68" i="102"/>
  <c r="S68" i="102"/>
  <c r="R68" i="102"/>
  <c r="Q68" i="102"/>
  <c r="P68" i="102"/>
  <c r="O68" i="102"/>
  <c r="N68" i="102"/>
  <c r="M68" i="102"/>
  <c r="L68" i="102"/>
  <c r="K68" i="102"/>
  <c r="J68" i="102"/>
  <c r="I68" i="102"/>
  <c r="H68" i="102"/>
  <c r="G68" i="102"/>
  <c r="F68" i="102"/>
  <c r="E68" i="102"/>
  <c r="D68" i="102"/>
  <c r="C68" i="102"/>
  <c r="T67" i="102"/>
  <c r="S67" i="102"/>
  <c r="R67" i="102"/>
  <c r="Q67" i="102"/>
  <c r="P67" i="102"/>
  <c r="O67" i="102"/>
  <c r="N67" i="102"/>
  <c r="M67" i="102"/>
  <c r="L67" i="102"/>
  <c r="K67" i="102"/>
  <c r="J67" i="102"/>
  <c r="I67" i="102"/>
  <c r="H67" i="102"/>
  <c r="G67" i="102"/>
  <c r="F67" i="102"/>
  <c r="E67" i="102"/>
  <c r="C67" i="102"/>
  <c r="B67" i="102"/>
  <c r="T66" i="102"/>
  <c r="S66" i="102"/>
  <c r="R66" i="102"/>
  <c r="Q66" i="102"/>
  <c r="P66" i="102"/>
  <c r="O66" i="102"/>
  <c r="N66" i="102"/>
  <c r="M66" i="102"/>
  <c r="L66" i="102"/>
  <c r="K66" i="102"/>
  <c r="J66" i="102"/>
  <c r="I66" i="102"/>
  <c r="H66" i="102"/>
  <c r="G66" i="102"/>
  <c r="F66" i="102"/>
  <c r="E66" i="102"/>
  <c r="D66" i="102"/>
  <c r="C66" i="102"/>
  <c r="T65" i="102"/>
  <c r="S65" i="102"/>
  <c r="R65" i="102"/>
  <c r="Q65" i="102"/>
  <c r="P65" i="102"/>
  <c r="O65" i="102"/>
  <c r="N65" i="102"/>
  <c r="M65" i="102"/>
  <c r="L65" i="102"/>
  <c r="K65" i="102"/>
  <c r="J65" i="102"/>
  <c r="I65" i="102"/>
  <c r="H65" i="102"/>
  <c r="G65" i="102"/>
  <c r="F65" i="102"/>
  <c r="E65" i="102"/>
  <c r="D65" i="102"/>
  <c r="C65" i="102"/>
  <c r="T64" i="102"/>
  <c r="S64" i="102"/>
  <c r="R64" i="102"/>
  <c r="Q64" i="102"/>
  <c r="P64" i="102"/>
  <c r="O64" i="102"/>
  <c r="N64" i="102"/>
  <c r="M64" i="102"/>
  <c r="L64" i="102"/>
  <c r="K64" i="102"/>
  <c r="J64" i="102"/>
  <c r="I64" i="102"/>
  <c r="H64" i="102"/>
  <c r="G64" i="102"/>
  <c r="F64" i="102"/>
  <c r="E64" i="102"/>
  <c r="C64" i="102"/>
  <c r="B64" i="102"/>
  <c r="T63" i="102"/>
  <c r="S63" i="102"/>
  <c r="R63" i="102"/>
  <c r="Q63" i="102"/>
  <c r="P63" i="102"/>
  <c r="O63" i="102"/>
  <c r="N63" i="102"/>
  <c r="M63" i="102"/>
  <c r="L63" i="102"/>
  <c r="K63" i="102"/>
  <c r="J63" i="102"/>
  <c r="I63" i="102"/>
  <c r="H63" i="102"/>
  <c r="G63" i="102"/>
  <c r="F63" i="102"/>
  <c r="E63" i="102"/>
  <c r="D63" i="102"/>
  <c r="C63" i="102"/>
  <c r="T62" i="102"/>
  <c r="S62" i="102"/>
  <c r="R62" i="102"/>
  <c r="Q62" i="102"/>
  <c r="P62" i="102"/>
  <c r="O62" i="102"/>
  <c r="N62" i="102"/>
  <c r="M62" i="102"/>
  <c r="L62" i="102"/>
  <c r="K62" i="102"/>
  <c r="J62" i="102"/>
  <c r="I62" i="102"/>
  <c r="H62" i="102"/>
  <c r="G62" i="102"/>
  <c r="F62" i="102"/>
  <c r="E62" i="102"/>
  <c r="D62" i="102"/>
  <c r="C62" i="102"/>
  <c r="T61" i="102"/>
  <c r="S61" i="102"/>
  <c r="R61" i="102"/>
  <c r="Q61" i="102"/>
  <c r="P61" i="102"/>
  <c r="O61" i="102"/>
  <c r="N61" i="102"/>
  <c r="M61" i="102"/>
  <c r="L61" i="102"/>
  <c r="K61" i="102"/>
  <c r="J61" i="102"/>
  <c r="I61" i="102"/>
  <c r="H61" i="102"/>
  <c r="G61" i="102"/>
  <c r="F61" i="102"/>
  <c r="E61" i="102"/>
  <c r="C61" i="102"/>
  <c r="B61" i="102"/>
  <c r="T60" i="102"/>
  <c r="S60" i="102"/>
  <c r="R60" i="102"/>
  <c r="Q60" i="102"/>
  <c r="P60" i="102"/>
  <c r="O60" i="102"/>
  <c r="N60" i="102"/>
  <c r="M60" i="102"/>
  <c r="L60" i="102"/>
  <c r="K60" i="102"/>
  <c r="J60" i="102"/>
  <c r="I60" i="102"/>
  <c r="H60" i="102"/>
  <c r="G60" i="102"/>
  <c r="F60" i="102"/>
  <c r="E60" i="102"/>
  <c r="D60" i="102"/>
  <c r="C60" i="102"/>
  <c r="T59" i="102"/>
  <c r="S59" i="102"/>
  <c r="R59" i="102"/>
  <c r="Q59" i="102"/>
  <c r="P59" i="102"/>
  <c r="O59" i="102"/>
  <c r="N59" i="102"/>
  <c r="M59" i="102"/>
  <c r="L59" i="102"/>
  <c r="K59" i="102"/>
  <c r="J59" i="102"/>
  <c r="I59" i="102"/>
  <c r="H59" i="102"/>
  <c r="G59" i="102"/>
  <c r="F59" i="102"/>
  <c r="E59" i="102"/>
  <c r="D59" i="102"/>
  <c r="C59" i="102"/>
  <c r="T58" i="102"/>
  <c r="S58" i="102"/>
  <c r="R58" i="102"/>
  <c r="Q58" i="102"/>
  <c r="P58" i="102"/>
  <c r="O58" i="102"/>
  <c r="N58" i="102"/>
  <c r="M58" i="102"/>
  <c r="L58" i="102"/>
  <c r="K58" i="102"/>
  <c r="J58" i="102"/>
  <c r="I58" i="102"/>
  <c r="H58" i="102"/>
  <c r="G58" i="102"/>
  <c r="F58" i="102"/>
  <c r="E58" i="102"/>
  <c r="C58" i="102"/>
  <c r="B58" i="102"/>
  <c r="T57" i="102"/>
  <c r="S57" i="102"/>
  <c r="R57" i="102"/>
  <c r="Q57" i="102"/>
  <c r="P57" i="102"/>
  <c r="O57" i="102"/>
  <c r="N57" i="102"/>
  <c r="M57" i="102"/>
  <c r="L57" i="102"/>
  <c r="K57" i="102"/>
  <c r="J57" i="102"/>
  <c r="I57" i="102"/>
  <c r="H57" i="102"/>
  <c r="G57" i="102"/>
  <c r="F57" i="102"/>
  <c r="E57" i="102"/>
  <c r="D57" i="102"/>
  <c r="C57" i="102"/>
  <c r="T56" i="102"/>
  <c r="S56" i="102"/>
  <c r="R56" i="102"/>
  <c r="Q56" i="102"/>
  <c r="P56" i="102"/>
  <c r="O56" i="102"/>
  <c r="N56" i="102"/>
  <c r="M56" i="102"/>
  <c r="L56" i="102"/>
  <c r="K56" i="102"/>
  <c r="J56" i="102"/>
  <c r="I56" i="102"/>
  <c r="H56" i="102"/>
  <c r="G56" i="102"/>
  <c r="F56" i="102"/>
  <c r="E56" i="102"/>
  <c r="D56" i="102"/>
  <c r="C56" i="102"/>
  <c r="T55" i="102"/>
  <c r="S55" i="102"/>
  <c r="R55" i="102"/>
  <c r="Q55" i="102"/>
  <c r="P55" i="102"/>
  <c r="O55" i="102"/>
  <c r="N55" i="102"/>
  <c r="M55" i="102"/>
  <c r="L55" i="102"/>
  <c r="K55" i="102"/>
  <c r="J55" i="102"/>
  <c r="I55" i="102"/>
  <c r="H55" i="102"/>
  <c r="G55" i="102"/>
  <c r="F55" i="102"/>
  <c r="E55" i="102"/>
  <c r="C55" i="102"/>
  <c r="B55" i="102"/>
  <c r="T54" i="102"/>
  <c r="S54" i="102"/>
  <c r="R54" i="102"/>
  <c r="Q54" i="102"/>
  <c r="P54" i="102"/>
  <c r="O54" i="102"/>
  <c r="N54" i="102"/>
  <c r="M54" i="102"/>
  <c r="L54" i="102"/>
  <c r="K54" i="102"/>
  <c r="J54" i="102"/>
  <c r="I54" i="102"/>
  <c r="H54" i="102"/>
  <c r="G54" i="102"/>
  <c r="F54" i="102"/>
  <c r="E54" i="102"/>
  <c r="D54" i="102"/>
  <c r="C54" i="102"/>
  <c r="T53" i="102"/>
  <c r="S53" i="102"/>
  <c r="R53" i="102"/>
  <c r="Q53" i="102"/>
  <c r="P53" i="102"/>
  <c r="O53" i="102"/>
  <c r="N53" i="102"/>
  <c r="M53" i="102"/>
  <c r="L53" i="102"/>
  <c r="K53" i="102"/>
  <c r="J53" i="102"/>
  <c r="I53" i="102"/>
  <c r="H53" i="102"/>
  <c r="G53" i="102"/>
  <c r="F53" i="102"/>
  <c r="E53" i="102"/>
  <c r="D53" i="102"/>
  <c r="C53" i="102"/>
  <c r="T52" i="102"/>
  <c r="S52" i="102"/>
  <c r="R52" i="102"/>
  <c r="Q52" i="102"/>
  <c r="P52" i="102"/>
  <c r="O52" i="102"/>
  <c r="N52" i="102"/>
  <c r="M52" i="102"/>
  <c r="L52" i="102"/>
  <c r="K52" i="102"/>
  <c r="J52" i="102"/>
  <c r="I52" i="102"/>
  <c r="H52" i="102"/>
  <c r="G52" i="102"/>
  <c r="F52" i="102"/>
  <c r="E52" i="102"/>
  <c r="C52" i="102"/>
  <c r="B52" i="102"/>
  <c r="T51" i="102"/>
  <c r="S51" i="102"/>
  <c r="R51" i="102"/>
  <c r="Q51" i="102"/>
  <c r="P51" i="102"/>
  <c r="O51" i="102"/>
  <c r="N51" i="102"/>
  <c r="M51" i="102"/>
  <c r="L51" i="102"/>
  <c r="K51" i="102"/>
  <c r="J51" i="102"/>
  <c r="I51" i="102"/>
  <c r="H51" i="102"/>
  <c r="G51" i="102"/>
  <c r="F51" i="102"/>
  <c r="E51" i="102"/>
  <c r="D51" i="102"/>
  <c r="C51" i="102"/>
  <c r="T50" i="102"/>
  <c r="S50" i="102"/>
  <c r="R50" i="102"/>
  <c r="Q50" i="102"/>
  <c r="P50" i="102"/>
  <c r="O50" i="102"/>
  <c r="N50" i="102"/>
  <c r="M50" i="102"/>
  <c r="L50" i="102"/>
  <c r="K50" i="102"/>
  <c r="J50" i="102"/>
  <c r="I50" i="102"/>
  <c r="H50" i="102"/>
  <c r="G50" i="102"/>
  <c r="F50" i="102"/>
  <c r="E50" i="102"/>
  <c r="D50" i="102"/>
  <c r="C50" i="102"/>
  <c r="T49" i="102"/>
  <c r="S49" i="102"/>
  <c r="R49" i="102"/>
  <c r="Q49" i="102"/>
  <c r="P49" i="102"/>
  <c r="O49" i="102"/>
  <c r="N49" i="102"/>
  <c r="M49" i="102"/>
  <c r="L49" i="102"/>
  <c r="K49" i="102"/>
  <c r="J49" i="102"/>
  <c r="I49" i="102"/>
  <c r="H49" i="102"/>
  <c r="G49" i="102"/>
  <c r="F49" i="102"/>
  <c r="E49" i="102"/>
  <c r="C49" i="102"/>
  <c r="B49" i="102"/>
  <c r="T48" i="102"/>
  <c r="S48" i="102"/>
  <c r="R48" i="102"/>
  <c r="Q48" i="102"/>
  <c r="P48" i="102"/>
  <c r="O48" i="102"/>
  <c r="N48" i="102"/>
  <c r="M48" i="102"/>
  <c r="L48" i="102"/>
  <c r="K48" i="102"/>
  <c r="J48" i="102"/>
  <c r="I48" i="102"/>
  <c r="H48" i="102"/>
  <c r="G48" i="102"/>
  <c r="F48" i="102"/>
  <c r="E48" i="102"/>
  <c r="D48" i="102"/>
  <c r="C48" i="102"/>
  <c r="T47" i="102"/>
  <c r="S47" i="102"/>
  <c r="R47" i="102"/>
  <c r="Q47" i="102"/>
  <c r="P47" i="102"/>
  <c r="O47" i="102"/>
  <c r="N47" i="102"/>
  <c r="M47" i="102"/>
  <c r="L47" i="102"/>
  <c r="K47" i="102"/>
  <c r="J47" i="102"/>
  <c r="I47" i="102"/>
  <c r="H47" i="102"/>
  <c r="G47" i="102"/>
  <c r="F47" i="102"/>
  <c r="E47" i="102"/>
  <c r="D47" i="102"/>
  <c r="C47" i="102"/>
  <c r="T46" i="102"/>
  <c r="S46" i="102"/>
  <c r="R46" i="102"/>
  <c r="Q46" i="102"/>
  <c r="P46" i="102"/>
  <c r="O46" i="102"/>
  <c r="N46" i="102"/>
  <c r="M46" i="102"/>
  <c r="L46" i="102"/>
  <c r="K46" i="102"/>
  <c r="J46" i="102"/>
  <c r="I46" i="102"/>
  <c r="H46" i="102"/>
  <c r="G46" i="102"/>
  <c r="F46" i="102"/>
  <c r="E46" i="102"/>
  <c r="C46" i="102"/>
  <c r="B46" i="102"/>
  <c r="T45" i="102"/>
  <c r="S45" i="102"/>
  <c r="R45" i="102"/>
  <c r="Q45" i="102"/>
  <c r="P45" i="102"/>
  <c r="O45" i="102"/>
  <c r="N45" i="102"/>
  <c r="M45" i="102"/>
  <c r="L45" i="102"/>
  <c r="K45" i="102"/>
  <c r="J45" i="102"/>
  <c r="I45" i="102"/>
  <c r="H45" i="102"/>
  <c r="G45" i="102"/>
  <c r="F45" i="102"/>
  <c r="E45" i="102"/>
  <c r="D45" i="102"/>
  <c r="C45" i="102"/>
  <c r="T44" i="102"/>
  <c r="S44" i="102"/>
  <c r="R44" i="102"/>
  <c r="Q44" i="102"/>
  <c r="P44" i="102"/>
  <c r="O44" i="102"/>
  <c r="N44" i="102"/>
  <c r="M44" i="102"/>
  <c r="L44" i="102"/>
  <c r="K44" i="102"/>
  <c r="J44" i="102"/>
  <c r="I44" i="102"/>
  <c r="H44" i="102"/>
  <c r="G44" i="102"/>
  <c r="F44" i="102"/>
  <c r="E44" i="102"/>
  <c r="D44" i="102"/>
  <c r="C44" i="102"/>
  <c r="T43" i="102"/>
  <c r="S43" i="102"/>
  <c r="R43" i="102"/>
  <c r="Q43" i="102"/>
  <c r="P43" i="102"/>
  <c r="O43" i="102"/>
  <c r="N43" i="102"/>
  <c r="M43" i="102"/>
  <c r="L43" i="102"/>
  <c r="K43" i="102"/>
  <c r="J43" i="102"/>
  <c r="I43" i="102"/>
  <c r="H43" i="102"/>
  <c r="G43" i="102"/>
  <c r="F43" i="102"/>
  <c r="E43" i="102"/>
  <c r="C43" i="102"/>
  <c r="B43" i="102"/>
  <c r="T42" i="102"/>
  <c r="S42" i="102"/>
  <c r="R42" i="102"/>
  <c r="Q42" i="102"/>
  <c r="P42" i="102"/>
  <c r="O42" i="102"/>
  <c r="N42" i="102"/>
  <c r="M42" i="102"/>
  <c r="L42" i="102"/>
  <c r="K42" i="102"/>
  <c r="J42" i="102"/>
  <c r="I42" i="102"/>
  <c r="H42" i="102"/>
  <c r="G42" i="102"/>
  <c r="F42" i="102"/>
  <c r="E42" i="102"/>
  <c r="D42" i="102"/>
  <c r="C42" i="102"/>
  <c r="T41" i="102"/>
  <c r="S41" i="102"/>
  <c r="R41" i="102"/>
  <c r="Q41" i="102"/>
  <c r="P41" i="102"/>
  <c r="O41" i="102"/>
  <c r="N41" i="102"/>
  <c r="M41" i="102"/>
  <c r="L41" i="102"/>
  <c r="K41" i="102"/>
  <c r="J41" i="102"/>
  <c r="I41" i="102"/>
  <c r="H41" i="102"/>
  <c r="G41" i="102"/>
  <c r="F41" i="102"/>
  <c r="E41" i="102"/>
  <c r="D41" i="102"/>
  <c r="C41" i="102"/>
  <c r="T40" i="102"/>
  <c r="S40" i="102"/>
  <c r="R40" i="102"/>
  <c r="Q40" i="102"/>
  <c r="P40" i="102"/>
  <c r="O40" i="102"/>
  <c r="N40" i="102"/>
  <c r="M40" i="102"/>
  <c r="L40" i="102"/>
  <c r="K40" i="102"/>
  <c r="J40" i="102"/>
  <c r="I40" i="102"/>
  <c r="H40" i="102"/>
  <c r="G40" i="102"/>
  <c r="F40" i="102"/>
  <c r="E40" i="102"/>
  <c r="C40" i="102"/>
  <c r="B40" i="102"/>
  <c r="T39" i="102"/>
  <c r="S39" i="102"/>
  <c r="R39" i="102"/>
  <c r="Q39" i="102"/>
  <c r="P39" i="102"/>
  <c r="O39" i="102"/>
  <c r="N39" i="102"/>
  <c r="M39" i="102"/>
  <c r="L39" i="102"/>
  <c r="K39" i="102"/>
  <c r="J39" i="102"/>
  <c r="I39" i="102"/>
  <c r="H39" i="102"/>
  <c r="G39" i="102"/>
  <c r="F39" i="102"/>
  <c r="E39" i="102"/>
  <c r="D39" i="102"/>
  <c r="C39" i="102"/>
  <c r="T38" i="102"/>
  <c r="S38" i="102"/>
  <c r="R38" i="102"/>
  <c r="Q38" i="102"/>
  <c r="P38" i="102"/>
  <c r="O38" i="102"/>
  <c r="N38" i="102"/>
  <c r="M38" i="102"/>
  <c r="L38" i="102"/>
  <c r="K38" i="102"/>
  <c r="J38" i="102"/>
  <c r="I38" i="102"/>
  <c r="H38" i="102"/>
  <c r="G38" i="102"/>
  <c r="F38" i="102"/>
  <c r="E38" i="102"/>
  <c r="D38" i="102"/>
  <c r="C38" i="102"/>
  <c r="T37" i="102"/>
  <c r="S37" i="102"/>
  <c r="R37" i="102"/>
  <c r="Q37" i="102"/>
  <c r="P37" i="102"/>
  <c r="O37" i="102"/>
  <c r="N37" i="102"/>
  <c r="M37" i="102"/>
  <c r="L37" i="102"/>
  <c r="K37" i="102"/>
  <c r="J37" i="102"/>
  <c r="I37" i="102"/>
  <c r="H37" i="102"/>
  <c r="G37" i="102"/>
  <c r="F37" i="102"/>
  <c r="E37" i="102"/>
  <c r="C37" i="102"/>
  <c r="B37" i="102"/>
  <c r="T36" i="102"/>
  <c r="S36" i="102"/>
  <c r="R36" i="102"/>
  <c r="Q36" i="102"/>
  <c r="P36" i="102"/>
  <c r="O36" i="102"/>
  <c r="N36" i="102"/>
  <c r="M36" i="102"/>
  <c r="L36" i="102"/>
  <c r="K36" i="102"/>
  <c r="J36" i="102"/>
  <c r="I36" i="102"/>
  <c r="H36" i="102"/>
  <c r="G36" i="102"/>
  <c r="F36" i="102"/>
  <c r="E36" i="102"/>
  <c r="D36" i="102"/>
  <c r="C36" i="102"/>
  <c r="T35" i="102"/>
  <c r="S35" i="102"/>
  <c r="R35" i="102"/>
  <c r="Q35" i="102"/>
  <c r="P35" i="102"/>
  <c r="O35" i="102"/>
  <c r="N35" i="102"/>
  <c r="M35" i="102"/>
  <c r="L35" i="102"/>
  <c r="K35" i="102"/>
  <c r="J35" i="102"/>
  <c r="I35" i="102"/>
  <c r="H35" i="102"/>
  <c r="G35" i="102"/>
  <c r="F35" i="102"/>
  <c r="E35" i="102"/>
  <c r="D35" i="102"/>
  <c r="C35" i="102"/>
  <c r="T34" i="102"/>
  <c r="S34" i="102"/>
  <c r="R34" i="102"/>
  <c r="Q34" i="102"/>
  <c r="P34" i="102"/>
  <c r="O34" i="102"/>
  <c r="N34" i="102"/>
  <c r="M34" i="102"/>
  <c r="L34" i="102"/>
  <c r="K34" i="102"/>
  <c r="J34" i="102"/>
  <c r="I34" i="102"/>
  <c r="H34" i="102"/>
  <c r="G34" i="102"/>
  <c r="F34" i="102"/>
  <c r="E34" i="102"/>
  <c r="C34" i="102"/>
  <c r="B34" i="102"/>
  <c r="T33" i="102"/>
  <c r="S33" i="102"/>
  <c r="R33" i="102"/>
  <c r="Q33" i="102"/>
  <c r="P33" i="102"/>
  <c r="O33" i="102"/>
  <c r="N33" i="102"/>
  <c r="M33" i="102"/>
  <c r="L33" i="102"/>
  <c r="K33" i="102"/>
  <c r="J33" i="102"/>
  <c r="I33" i="102"/>
  <c r="H33" i="102"/>
  <c r="G33" i="102"/>
  <c r="F33" i="102"/>
  <c r="E33" i="102"/>
  <c r="D33" i="102"/>
  <c r="C33" i="102"/>
  <c r="T32" i="102"/>
  <c r="S32" i="102"/>
  <c r="R32" i="102"/>
  <c r="Q32" i="102"/>
  <c r="P32" i="102"/>
  <c r="O32" i="102"/>
  <c r="N32" i="102"/>
  <c r="M32" i="102"/>
  <c r="L32" i="102"/>
  <c r="K32" i="102"/>
  <c r="J32" i="102"/>
  <c r="I32" i="102"/>
  <c r="H32" i="102"/>
  <c r="G32" i="102"/>
  <c r="F32" i="102"/>
  <c r="E32" i="102"/>
  <c r="D32" i="102"/>
  <c r="C32" i="102"/>
  <c r="T31" i="102"/>
  <c r="S31" i="102"/>
  <c r="R31" i="102"/>
  <c r="Q31" i="102"/>
  <c r="P31" i="102"/>
  <c r="O31" i="102"/>
  <c r="N31" i="102"/>
  <c r="M31" i="102"/>
  <c r="L31" i="102"/>
  <c r="K31" i="102"/>
  <c r="J31" i="102"/>
  <c r="I31" i="102"/>
  <c r="H31" i="102"/>
  <c r="G31" i="102"/>
  <c r="F31" i="102"/>
  <c r="E31" i="102"/>
  <c r="C31" i="102"/>
  <c r="B31" i="102"/>
  <c r="T30" i="102"/>
  <c r="S30" i="102"/>
  <c r="R30" i="102"/>
  <c r="Q30" i="102"/>
  <c r="P30" i="102"/>
  <c r="O30" i="102"/>
  <c r="N30" i="102"/>
  <c r="M30" i="102"/>
  <c r="L30" i="102"/>
  <c r="K30" i="102"/>
  <c r="J30" i="102"/>
  <c r="I30" i="102"/>
  <c r="H30" i="102"/>
  <c r="G30" i="102"/>
  <c r="F30" i="102"/>
  <c r="E30" i="102"/>
  <c r="D30" i="102"/>
  <c r="C30" i="102"/>
  <c r="T29" i="102"/>
  <c r="S29" i="102"/>
  <c r="R29" i="102"/>
  <c r="Q29" i="102"/>
  <c r="P29" i="102"/>
  <c r="O29" i="102"/>
  <c r="N29" i="102"/>
  <c r="M29" i="102"/>
  <c r="L29" i="102"/>
  <c r="K29" i="102"/>
  <c r="J29" i="102"/>
  <c r="I29" i="102"/>
  <c r="H29" i="102"/>
  <c r="G29" i="102"/>
  <c r="F29" i="102"/>
  <c r="E29" i="102"/>
  <c r="D29" i="102"/>
  <c r="C29" i="102"/>
  <c r="T28" i="102"/>
  <c r="S28" i="102"/>
  <c r="R28" i="102"/>
  <c r="Q28" i="102"/>
  <c r="P28" i="102"/>
  <c r="O28" i="102"/>
  <c r="N28" i="102"/>
  <c r="M28" i="102"/>
  <c r="L28" i="102"/>
  <c r="K28" i="102"/>
  <c r="J28" i="102"/>
  <c r="I28" i="102"/>
  <c r="H28" i="102"/>
  <c r="G28" i="102"/>
  <c r="F28" i="102"/>
  <c r="E28" i="102"/>
  <c r="C28" i="102"/>
  <c r="B28" i="102"/>
  <c r="T27" i="102"/>
  <c r="S27" i="102"/>
  <c r="R27" i="102"/>
  <c r="Q27" i="102"/>
  <c r="P27" i="102"/>
  <c r="O27" i="102"/>
  <c r="N27" i="102"/>
  <c r="M27" i="102"/>
  <c r="L27" i="102"/>
  <c r="K27" i="102"/>
  <c r="J27" i="102"/>
  <c r="I27" i="102"/>
  <c r="H27" i="102"/>
  <c r="G27" i="102"/>
  <c r="F27" i="102"/>
  <c r="E27" i="102"/>
  <c r="D27" i="102"/>
  <c r="C27" i="102"/>
  <c r="T26" i="102"/>
  <c r="S26" i="102"/>
  <c r="R26" i="102"/>
  <c r="Q26" i="102"/>
  <c r="P26" i="102"/>
  <c r="O26" i="102"/>
  <c r="N26" i="102"/>
  <c r="M26" i="102"/>
  <c r="L26" i="102"/>
  <c r="K26" i="102"/>
  <c r="J26" i="102"/>
  <c r="I26" i="102"/>
  <c r="H26" i="102"/>
  <c r="G26" i="102"/>
  <c r="F26" i="102"/>
  <c r="E26" i="102"/>
  <c r="D26" i="102"/>
  <c r="C26" i="102"/>
  <c r="T25" i="102"/>
  <c r="S25" i="102"/>
  <c r="R25" i="102"/>
  <c r="Q25" i="102"/>
  <c r="P25" i="102"/>
  <c r="O25" i="102"/>
  <c r="N25" i="102"/>
  <c r="M25" i="102"/>
  <c r="L25" i="102"/>
  <c r="K25" i="102"/>
  <c r="J25" i="102"/>
  <c r="I25" i="102"/>
  <c r="H25" i="102"/>
  <c r="G25" i="102"/>
  <c r="F25" i="102"/>
  <c r="E25" i="102"/>
  <c r="C25" i="102"/>
  <c r="B25" i="102"/>
  <c r="T24" i="102"/>
  <c r="S24" i="102"/>
  <c r="R24" i="102"/>
  <c r="Q24" i="102"/>
  <c r="P24" i="102"/>
  <c r="O24" i="102"/>
  <c r="N24" i="102"/>
  <c r="M24" i="102"/>
  <c r="L24" i="102"/>
  <c r="K24" i="102"/>
  <c r="J24" i="102"/>
  <c r="I24" i="102"/>
  <c r="H24" i="102"/>
  <c r="G24" i="102"/>
  <c r="F24" i="102"/>
  <c r="E24" i="102"/>
  <c r="D24" i="102"/>
  <c r="C24" i="102"/>
  <c r="T23" i="102"/>
  <c r="S23" i="102"/>
  <c r="R23" i="102"/>
  <c r="Q23" i="102"/>
  <c r="P23" i="102"/>
  <c r="O23" i="102"/>
  <c r="N23" i="102"/>
  <c r="M23" i="102"/>
  <c r="L23" i="102"/>
  <c r="K23" i="102"/>
  <c r="J23" i="102"/>
  <c r="I23" i="102"/>
  <c r="H23" i="102"/>
  <c r="G23" i="102"/>
  <c r="F23" i="102"/>
  <c r="E23" i="102"/>
  <c r="D23" i="102"/>
  <c r="C23" i="102"/>
  <c r="S22" i="102"/>
  <c r="R22" i="102"/>
  <c r="Q22" i="102"/>
  <c r="P22" i="102"/>
  <c r="O22" i="102"/>
  <c r="N22" i="102"/>
  <c r="M22" i="102"/>
  <c r="L22" i="102"/>
  <c r="K22" i="102"/>
  <c r="J22" i="102"/>
  <c r="I22" i="102"/>
  <c r="H22" i="102"/>
  <c r="G22" i="102"/>
  <c r="F22" i="102"/>
  <c r="E22" i="102"/>
  <c r="C22" i="102"/>
  <c r="B22" i="102"/>
  <c r="R21" i="102"/>
  <c r="Q21" i="102"/>
  <c r="P21" i="102"/>
  <c r="O21" i="102"/>
  <c r="N21" i="102"/>
  <c r="M21" i="102"/>
  <c r="L21" i="102"/>
  <c r="K21" i="102"/>
  <c r="J21" i="102"/>
  <c r="I21" i="102"/>
  <c r="H21" i="102"/>
  <c r="G21" i="102"/>
  <c r="F21" i="102"/>
  <c r="E21" i="102"/>
  <c r="D21" i="102"/>
  <c r="C21" i="102"/>
  <c r="R20" i="102"/>
  <c r="Q20" i="102"/>
  <c r="P20" i="102"/>
  <c r="O20" i="102"/>
  <c r="N20" i="102"/>
  <c r="M20" i="102"/>
  <c r="L20" i="102"/>
  <c r="K20" i="102"/>
  <c r="J20" i="102"/>
  <c r="I20" i="102"/>
  <c r="H20" i="102"/>
  <c r="G20" i="102"/>
  <c r="F20" i="102"/>
  <c r="E20" i="102"/>
  <c r="D20" i="102"/>
  <c r="C20" i="102"/>
  <c r="S19" i="102"/>
  <c r="R19" i="102"/>
  <c r="Q19" i="102"/>
  <c r="P19" i="102"/>
  <c r="O19" i="102"/>
  <c r="N19" i="102"/>
  <c r="M19" i="102"/>
  <c r="L19" i="102"/>
  <c r="K19" i="102"/>
  <c r="J19" i="102"/>
  <c r="I19" i="102"/>
  <c r="H19" i="102"/>
  <c r="G19" i="102"/>
  <c r="F19" i="102"/>
  <c r="E19" i="102"/>
  <c r="C19" i="102"/>
  <c r="B19" i="102"/>
  <c r="R18" i="102"/>
  <c r="Q18" i="102"/>
  <c r="P18" i="102"/>
  <c r="O18" i="102"/>
  <c r="N18" i="102"/>
  <c r="M18" i="102"/>
  <c r="L18" i="102"/>
  <c r="K18" i="102"/>
  <c r="J18" i="102"/>
  <c r="I18" i="102"/>
  <c r="H18" i="102"/>
  <c r="G18" i="102"/>
  <c r="F18" i="102"/>
  <c r="E18" i="102"/>
  <c r="D18" i="102"/>
  <c r="C18" i="102"/>
  <c r="R17" i="102"/>
  <c r="Q17" i="102"/>
  <c r="P17" i="102"/>
  <c r="O17" i="102"/>
  <c r="N17" i="102"/>
  <c r="M17" i="102"/>
  <c r="L17" i="102"/>
  <c r="K17" i="102"/>
  <c r="J17" i="102"/>
  <c r="I17" i="102"/>
  <c r="H17" i="102"/>
  <c r="G17" i="102"/>
  <c r="F17" i="102"/>
  <c r="E17" i="102"/>
  <c r="D17" i="102"/>
  <c r="C17" i="102"/>
  <c r="S16" i="102"/>
  <c r="R16" i="102"/>
  <c r="Q16" i="102"/>
  <c r="P16" i="102"/>
  <c r="O16" i="102"/>
  <c r="N16" i="102"/>
  <c r="M16" i="102"/>
  <c r="L16" i="102"/>
  <c r="K16" i="102"/>
  <c r="J16" i="102"/>
  <c r="I16" i="102"/>
  <c r="H16" i="102"/>
  <c r="G16" i="102"/>
  <c r="F16" i="102"/>
  <c r="E16" i="102"/>
  <c r="C16" i="102"/>
  <c r="B16" i="102"/>
  <c r="R15" i="102"/>
  <c r="Q15" i="102"/>
  <c r="P15" i="102"/>
  <c r="O15" i="102"/>
  <c r="N15" i="102"/>
  <c r="M15" i="102"/>
  <c r="L15" i="102"/>
  <c r="K15" i="102"/>
  <c r="J15" i="102"/>
  <c r="I15" i="102"/>
  <c r="H15" i="102"/>
  <c r="G15" i="102"/>
  <c r="F15" i="102"/>
  <c r="E15" i="102"/>
  <c r="D15" i="102"/>
  <c r="C15" i="102"/>
  <c r="R14" i="102"/>
  <c r="Q14" i="102"/>
  <c r="P14" i="102"/>
  <c r="O14" i="102"/>
  <c r="N14" i="102"/>
  <c r="M14" i="102"/>
  <c r="L14" i="102"/>
  <c r="K14" i="102"/>
  <c r="J14" i="102"/>
  <c r="I14" i="102"/>
  <c r="H14" i="102"/>
  <c r="G14" i="102"/>
  <c r="F14" i="102"/>
  <c r="E14" i="102"/>
  <c r="D14" i="102"/>
  <c r="C14" i="102"/>
  <c r="S13" i="102"/>
  <c r="R13" i="102"/>
  <c r="Q13" i="102"/>
  <c r="P13" i="102"/>
  <c r="O13" i="102"/>
  <c r="N13" i="102"/>
  <c r="M13" i="102"/>
  <c r="L13" i="102"/>
  <c r="K13" i="102"/>
  <c r="J13" i="102"/>
  <c r="I13" i="102"/>
  <c r="H13" i="102"/>
  <c r="G13" i="102"/>
  <c r="F13" i="102"/>
  <c r="E13" i="102"/>
  <c r="C13" i="102"/>
  <c r="B13" i="102"/>
  <c r="R12" i="102"/>
  <c r="Q12" i="102"/>
  <c r="P12" i="102"/>
  <c r="O12" i="102"/>
  <c r="N12" i="102"/>
  <c r="M12" i="102"/>
  <c r="L12" i="102"/>
  <c r="K12" i="102"/>
  <c r="J12" i="102"/>
  <c r="I12" i="102"/>
  <c r="H12" i="102"/>
  <c r="G12" i="102"/>
  <c r="F12" i="102"/>
  <c r="E12" i="102"/>
  <c r="D12" i="102"/>
  <c r="C12" i="102"/>
  <c r="R11" i="102"/>
  <c r="Q11" i="102"/>
  <c r="P11" i="102"/>
  <c r="O11" i="102"/>
  <c r="N11" i="102"/>
  <c r="M11" i="102"/>
  <c r="L11" i="102"/>
  <c r="K11" i="102"/>
  <c r="J11" i="102"/>
  <c r="I11" i="102"/>
  <c r="H11" i="102"/>
  <c r="G11" i="102"/>
  <c r="F11" i="102"/>
  <c r="E11" i="102"/>
  <c r="D11" i="102"/>
  <c r="C11" i="102"/>
  <c r="T10" i="102"/>
  <c r="S10" i="102"/>
  <c r="R10" i="102"/>
  <c r="Q10" i="102"/>
  <c r="P10" i="102"/>
  <c r="O10" i="102"/>
  <c r="N10" i="102"/>
  <c r="M10" i="102"/>
  <c r="L10" i="102"/>
  <c r="K10" i="102"/>
  <c r="J10" i="102"/>
  <c r="I10" i="102"/>
  <c r="H10" i="102"/>
  <c r="G10" i="102"/>
  <c r="F10" i="102"/>
  <c r="E10" i="102"/>
  <c r="C10" i="102"/>
  <c r="B10" i="102"/>
  <c r="R4" i="102"/>
  <c r="R6" i="102"/>
  <c r="R5" i="102"/>
  <c r="Q6" i="102"/>
  <c r="Q5" i="102"/>
  <c r="Q4" i="102"/>
  <c r="P6" i="102"/>
  <c r="P5" i="102"/>
  <c r="P4" i="102"/>
  <c r="O6" i="102"/>
  <c r="O5" i="102"/>
  <c r="O4" i="102"/>
  <c r="N6" i="102"/>
  <c r="N5" i="102"/>
  <c r="N4" i="102"/>
  <c r="M4" i="102"/>
  <c r="M6" i="102"/>
  <c r="M5" i="102"/>
  <c r="L6" i="102"/>
  <c r="L5" i="102"/>
  <c r="L4" i="102"/>
  <c r="K4" i="102"/>
  <c r="K6" i="102"/>
  <c r="K5" i="102"/>
  <c r="J6" i="102"/>
  <c r="J5" i="102"/>
  <c r="J4" i="102"/>
  <c r="I6" i="102"/>
  <c r="I5" i="102"/>
  <c r="I4" i="102"/>
  <c r="H6" i="102"/>
  <c r="H5" i="102"/>
  <c r="H4" i="102"/>
  <c r="G6" i="102"/>
  <c r="G5" i="102"/>
  <c r="G4" i="102"/>
  <c r="F6" i="102"/>
  <c r="F5" i="102"/>
  <c r="F4" i="102"/>
  <c r="E6" i="102"/>
  <c r="E5" i="102"/>
  <c r="E4" i="102"/>
  <c r="D6" i="102"/>
  <c r="D5" i="102"/>
  <c r="B8" i="102"/>
  <c r="B9" i="102"/>
  <c r="BP96" i="101" l="1"/>
  <c r="BR96" i="101" s="1"/>
  <c r="BP95" i="101"/>
  <c r="BR95" i="101" s="1"/>
  <c r="BP94" i="101"/>
  <c r="BR94" i="101" s="1"/>
  <c r="BP93" i="101"/>
  <c r="BR93" i="101" s="1"/>
  <c r="BP92" i="101"/>
  <c r="BR92" i="101" s="1"/>
  <c r="BP91" i="101"/>
  <c r="BR91" i="101" s="1"/>
  <c r="BP90" i="101"/>
  <c r="BR90" i="101" s="1"/>
  <c r="BP89" i="101"/>
  <c r="BR89" i="101" s="1"/>
  <c r="BP88" i="101"/>
  <c r="BR88" i="101" s="1"/>
  <c r="BP87" i="101"/>
  <c r="BR87" i="101" s="1"/>
  <c r="BP86" i="101"/>
  <c r="BR86" i="101" s="1"/>
  <c r="BP85" i="101"/>
  <c r="BR85" i="101" s="1"/>
  <c r="BP84" i="101"/>
  <c r="BR84" i="101" s="1"/>
  <c r="BP83" i="101"/>
  <c r="BR83" i="101" s="1"/>
  <c r="BP82" i="101"/>
  <c r="BR82" i="101" s="1"/>
  <c r="BP81" i="101"/>
  <c r="BR81" i="101" s="1"/>
  <c r="BP80" i="101"/>
  <c r="BR80" i="101" s="1"/>
  <c r="BP79" i="101"/>
  <c r="BR79" i="101" s="1"/>
  <c r="BP78" i="101"/>
  <c r="BR78" i="101" s="1"/>
  <c r="BP76" i="101"/>
  <c r="BR76" i="101" s="1"/>
  <c r="BP75" i="101"/>
  <c r="BR75" i="101" s="1"/>
  <c r="BP74" i="101"/>
  <c r="BR74" i="101" s="1"/>
  <c r="BP73" i="101"/>
  <c r="BR73" i="101" s="1"/>
  <c r="BP72" i="101"/>
  <c r="BR72" i="101" s="1"/>
  <c r="BP71" i="101"/>
  <c r="BR71" i="101" s="1"/>
  <c r="BP70" i="101"/>
  <c r="BR70" i="101" s="1"/>
  <c r="BP69" i="101"/>
  <c r="BR69" i="101" s="1"/>
  <c r="BP68" i="101"/>
  <c r="BR68" i="101" s="1"/>
  <c r="BP67" i="101"/>
  <c r="BR67" i="101" s="1"/>
  <c r="BP66" i="101"/>
  <c r="BR66" i="101" s="1"/>
  <c r="BP65" i="101"/>
  <c r="BR65" i="101" s="1"/>
  <c r="BP64" i="101"/>
  <c r="BR64" i="101" s="1"/>
  <c r="BP63" i="101"/>
  <c r="BR63" i="101" s="1"/>
  <c r="BP62" i="101"/>
  <c r="BR62" i="101" s="1"/>
  <c r="BP61" i="101"/>
  <c r="BR61" i="101" s="1"/>
  <c r="BP58" i="101"/>
  <c r="BR58" i="101" s="1"/>
  <c r="BP57" i="101"/>
  <c r="BR57" i="101" s="1"/>
  <c r="BP56" i="101"/>
  <c r="BR56" i="101" s="1"/>
  <c r="BP55" i="101"/>
  <c r="BR55" i="101" s="1"/>
  <c r="BP48" i="101"/>
  <c r="BR48" i="101" s="1"/>
  <c r="BQ96" i="101"/>
  <c r="BS96" i="101" s="1"/>
  <c r="BQ95" i="101"/>
  <c r="BS95" i="101" s="1"/>
  <c r="BQ94" i="101"/>
  <c r="BS94" i="101" s="1"/>
  <c r="BQ93" i="101"/>
  <c r="BS93" i="101" s="1"/>
  <c r="BQ92" i="101"/>
  <c r="BS92" i="101" s="1"/>
  <c r="BQ91" i="101"/>
  <c r="BS91" i="101" s="1"/>
  <c r="BQ90" i="101"/>
  <c r="BS90" i="101" s="1"/>
  <c r="BQ89" i="101"/>
  <c r="BS89" i="101" s="1"/>
  <c r="BQ88" i="101"/>
  <c r="BS88" i="101" s="1"/>
  <c r="BQ87" i="101"/>
  <c r="BS87" i="101" s="1"/>
  <c r="BQ86" i="101"/>
  <c r="BS86" i="101" s="1"/>
  <c r="BQ85" i="101"/>
  <c r="BS85" i="101" s="1"/>
  <c r="BQ84" i="101"/>
  <c r="BS84" i="101" s="1"/>
  <c r="BQ83" i="101"/>
  <c r="BS83" i="101" s="1"/>
  <c r="BQ82" i="101"/>
  <c r="BS82" i="101" s="1"/>
  <c r="BQ81" i="101"/>
  <c r="BS81" i="101" s="1"/>
  <c r="BQ80" i="101"/>
  <c r="BS80" i="101" s="1"/>
  <c r="BQ79" i="101"/>
  <c r="BS79" i="101" s="1"/>
  <c r="BQ78" i="101"/>
  <c r="BS78" i="101" s="1"/>
  <c r="BQ76" i="101"/>
  <c r="BS76" i="101" s="1"/>
  <c r="BQ75" i="101"/>
  <c r="BS75" i="101" s="1"/>
  <c r="BQ74" i="101"/>
  <c r="BS74" i="101" s="1"/>
  <c r="BQ73" i="101"/>
  <c r="BS73" i="101" s="1"/>
  <c r="BQ72" i="101"/>
  <c r="BS72" i="101" s="1"/>
  <c r="BQ71" i="101"/>
  <c r="BS71" i="101" s="1"/>
  <c r="BQ70" i="101"/>
  <c r="BS70" i="101" s="1"/>
  <c r="BQ69" i="101"/>
  <c r="BS69" i="101" s="1"/>
  <c r="BQ68" i="101"/>
  <c r="BS68" i="101" s="1"/>
  <c r="BQ67" i="101"/>
  <c r="BS67" i="101" s="1"/>
  <c r="BQ66" i="101"/>
  <c r="BS66" i="101" s="1"/>
  <c r="BQ65" i="101"/>
  <c r="BS65" i="101" s="1"/>
  <c r="BQ64" i="101"/>
  <c r="BS64" i="101" s="1"/>
  <c r="BQ63" i="101"/>
  <c r="BS63" i="101" s="1"/>
  <c r="BQ62" i="101"/>
  <c r="BS62" i="101" s="1"/>
  <c r="BQ61" i="101"/>
  <c r="BS61" i="101" s="1"/>
  <c r="BQ58" i="101"/>
  <c r="BS58" i="101" s="1"/>
  <c r="BQ57" i="101"/>
  <c r="BS57" i="101" s="1"/>
  <c r="BQ56" i="101"/>
  <c r="BS56" i="101" s="1"/>
  <c r="BQ55" i="101"/>
  <c r="BS55" i="101" s="1"/>
  <c r="BQ48" i="101"/>
  <c r="BS48" i="101" s="1"/>
  <c r="BO96" i="101"/>
  <c r="BO95" i="101"/>
  <c r="BO94" i="101"/>
  <c r="BO93" i="101"/>
  <c r="BO92" i="101"/>
  <c r="BO91" i="101"/>
  <c r="BO90" i="101"/>
  <c r="BO89" i="101"/>
  <c r="BO88" i="101"/>
  <c r="BO87" i="101"/>
  <c r="BO86" i="101"/>
  <c r="BO85" i="101"/>
  <c r="BO84" i="101"/>
  <c r="BO83" i="101"/>
  <c r="BO82" i="101"/>
  <c r="BO81" i="101"/>
  <c r="BO80" i="101"/>
  <c r="BO79" i="101"/>
  <c r="BO78" i="101"/>
  <c r="BO76" i="101"/>
  <c r="BO75" i="101"/>
  <c r="BO74" i="101"/>
  <c r="BO73" i="101"/>
  <c r="BO72" i="101"/>
  <c r="BO71" i="101"/>
  <c r="BO70" i="101"/>
  <c r="BO69" i="101"/>
  <c r="BO68" i="101"/>
  <c r="BO67" i="101"/>
  <c r="BO66" i="101"/>
  <c r="BO65" i="101"/>
  <c r="BO64" i="101"/>
  <c r="BO63" i="101"/>
  <c r="BO62" i="101"/>
  <c r="BO61" i="101"/>
  <c r="BO58" i="101"/>
  <c r="BO57" i="101"/>
  <c r="BO56" i="101"/>
  <c r="BO55" i="101"/>
  <c r="BO50" i="101"/>
  <c r="BO49" i="101"/>
  <c r="BO48" i="101"/>
  <c r="BN96" i="101"/>
  <c r="BN95" i="101"/>
  <c r="BN94" i="101"/>
  <c r="BN93" i="101"/>
  <c r="BN92" i="101"/>
  <c r="BN91" i="101"/>
  <c r="BN90" i="101"/>
  <c r="BN89" i="101"/>
  <c r="BN88" i="101"/>
  <c r="BN87" i="101"/>
  <c r="BN86" i="101"/>
  <c r="BN85" i="101"/>
  <c r="BN84" i="101"/>
  <c r="BN83" i="101"/>
  <c r="BN82" i="101"/>
  <c r="BN81" i="101"/>
  <c r="BN80" i="101"/>
  <c r="BN79" i="101"/>
  <c r="BN78" i="101"/>
  <c r="BN76" i="101"/>
  <c r="BN75" i="101"/>
  <c r="BN74" i="101"/>
  <c r="BN73" i="101"/>
  <c r="BN72" i="101"/>
  <c r="BN71" i="101"/>
  <c r="BN70" i="101"/>
  <c r="BN69" i="101"/>
  <c r="BN68" i="101"/>
  <c r="BN67" i="101"/>
  <c r="BN66" i="101"/>
  <c r="BN65" i="101"/>
  <c r="BN64" i="101"/>
  <c r="BN63" i="101"/>
  <c r="BN62" i="101"/>
  <c r="BN61" i="101"/>
  <c r="BN58" i="101"/>
  <c r="BN57" i="101"/>
  <c r="BN56" i="101"/>
  <c r="BN55" i="101"/>
  <c r="BN50" i="101"/>
  <c r="BN49" i="101"/>
  <c r="BN48" i="101"/>
  <c r="BH96" i="101"/>
  <c r="BH95" i="101"/>
  <c r="BH94" i="101"/>
  <c r="BH93" i="101"/>
  <c r="BH92" i="101"/>
  <c r="BH91" i="101"/>
  <c r="BH90" i="101"/>
  <c r="BH89" i="101"/>
  <c r="BH88" i="101"/>
  <c r="BH87" i="101"/>
  <c r="BH86" i="101"/>
  <c r="BH85" i="101"/>
  <c r="BH84" i="101"/>
  <c r="BH83" i="101"/>
  <c r="BH82" i="101"/>
  <c r="BH81" i="101"/>
  <c r="BH80" i="101"/>
  <c r="BH79" i="101"/>
  <c r="BH78" i="101"/>
  <c r="BH77" i="101"/>
  <c r="BH76" i="101"/>
  <c r="BH75" i="101"/>
  <c r="BH74" i="101"/>
  <c r="BH73" i="101"/>
  <c r="BH72" i="101"/>
  <c r="BH71" i="101"/>
  <c r="BH70" i="101"/>
  <c r="BH69" i="101"/>
  <c r="BH68" i="101"/>
  <c r="BH67" i="101"/>
  <c r="BH66" i="101"/>
  <c r="BH65" i="101"/>
  <c r="BH64" i="101"/>
  <c r="BH63" i="101"/>
  <c r="BH62" i="101"/>
  <c r="BH61" i="101"/>
  <c r="BH60" i="101"/>
  <c r="BH59" i="101"/>
  <c r="BH58" i="101"/>
  <c r="BH57" i="101"/>
  <c r="BH56" i="101"/>
  <c r="BH55" i="101"/>
  <c r="BH52" i="101"/>
  <c r="BH51" i="101"/>
  <c r="BH50" i="101"/>
  <c r="BH49" i="101"/>
  <c r="BH48" i="101"/>
  <c r="BH47" i="101"/>
  <c r="BH46" i="101"/>
  <c r="BH45" i="101"/>
  <c r="BH44" i="101"/>
  <c r="BH43" i="101"/>
  <c r="BG96" i="101"/>
  <c r="BG95" i="101"/>
  <c r="BG94" i="101"/>
  <c r="BG93" i="101"/>
  <c r="BG92" i="101"/>
  <c r="BG91" i="101"/>
  <c r="BG90" i="101"/>
  <c r="BG89" i="101"/>
  <c r="BG88" i="101"/>
  <c r="BG87" i="101"/>
  <c r="BG86" i="101"/>
  <c r="BG85" i="101"/>
  <c r="BG84" i="101"/>
  <c r="BG83" i="101"/>
  <c r="BG82" i="101"/>
  <c r="BG81" i="101"/>
  <c r="BG80" i="101"/>
  <c r="BG79" i="101"/>
  <c r="BG78" i="101"/>
  <c r="BG77" i="101"/>
  <c r="BG76" i="101"/>
  <c r="BG75" i="101"/>
  <c r="BG74" i="101"/>
  <c r="BG73" i="101"/>
  <c r="BG72" i="101"/>
  <c r="BG71" i="101"/>
  <c r="BG70" i="101"/>
  <c r="BG69" i="101"/>
  <c r="BG68" i="101"/>
  <c r="BG67" i="101"/>
  <c r="BG66" i="101"/>
  <c r="BG65" i="101"/>
  <c r="BG64" i="101"/>
  <c r="BG63" i="101"/>
  <c r="BG62" i="101"/>
  <c r="BG61" i="101"/>
  <c r="BG60" i="101"/>
  <c r="BG59" i="101"/>
  <c r="BG58" i="101"/>
  <c r="BG57" i="101"/>
  <c r="BG56" i="101"/>
  <c r="BG55" i="101"/>
  <c r="BG54" i="101"/>
  <c r="BG53" i="101"/>
  <c r="BG52" i="101"/>
  <c r="BG51" i="101"/>
  <c r="BG50" i="101"/>
  <c r="BG49" i="101"/>
  <c r="BG48" i="101"/>
  <c r="BG47" i="101"/>
  <c r="BG46" i="101"/>
  <c r="BG45" i="101"/>
  <c r="BG44" i="101"/>
  <c r="BG43" i="101"/>
  <c r="BG39" i="101"/>
  <c r="BF96" i="101"/>
  <c r="BF95" i="101"/>
  <c r="BF94" i="101"/>
  <c r="BF93" i="101"/>
  <c r="BF92" i="101"/>
  <c r="BF91" i="101"/>
  <c r="BF90" i="101"/>
  <c r="BF89" i="101"/>
  <c r="BF88" i="101"/>
  <c r="BF87" i="101"/>
  <c r="BF86" i="101"/>
  <c r="BF85" i="101"/>
  <c r="BF84" i="101"/>
  <c r="BF83" i="101"/>
  <c r="BF82" i="101"/>
  <c r="BF81" i="101"/>
  <c r="BF80" i="101"/>
  <c r="BF79" i="101"/>
  <c r="BF78" i="101"/>
  <c r="BF76" i="101"/>
  <c r="BF75" i="101"/>
  <c r="BF74" i="101"/>
  <c r="BF73" i="101"/>
  <c r="BF72" i="101"/>
  <c r="BF71" i="101"/>
  <c r="BF70" i="101"/>
  <c r="BF69" i="101"/>
  <c r="BF68" i="101"/>
  <c r="BF67" i="101"/>
  <c r="BF66" i="101"/>
  <c r="BF65" i="101"/>
  <c r="BF64" i="101"/>
  <c r="BF63" i="101"/>
  <c r="BF62" i="101"/>
  <c r="BF61" i="101"/>
  <c r="BF60" i="101"/>
  <c r="BF59" i="101"/>
  <c r="BF58" i="101"/>
  <c r="BF57" i="101"/>
  <c r="BF56" i="101"/>
  <c r="BF55" i="101"/>
  <c r="BF54" i="101"/>
  <c r="BF53" i="101"/>
  <c r="BF52" i="101"/>
  <c r="BF51" i="101"/>
  <c r="BF50" i="101"/>
  <c r="BF49" i="101"/>
  <c r="BF48" i="101"/>
  <c r="BF47" i="101"/>
  <c r="BF46" i="101"/>
  <c r="BF45" i="101"/>
  <c r="BC96" i="101"/>
  <c r="BC95" i="101"/>
  <c r="BC94" i="101"/>
  <c r="BC93" i="101"/>
  <c r="BC92" i="101"/>
  <c r="BC91" i="101"/>
  <c r="BC90" i="101"/>
  <c r="BC89" i="101"/>
  <c r="BC88" i="101"/>
  <c r="BC87" i="101"/>
  <c r="BC86" i="101"/>
  <c r="BC85" i="101"/>
  <c r="BC84" i="101"/>
  <c r="BC83" i="101"/>
  <c r="BC82" i="101"/>
  <c r="BC81" i="101"/>
  <c r="BC80" i="101"/>
  <c r="BC79" i="101"/>
  <c r="BC78" i="101"/>
  <c r="BC77" i="101"/>
  <c r="BC76" i="101"/>
  <c r="BC75" i="101"/>
  <c r="BC74" i="101"/>
  <c r="BC73" i="101"/>
  <c r="BC72" i="101"/>
  <c r="BC71" i="101"/>
  <c r="BC70" i="101"/>
  <c r="BC69" i="101"/>
  <c r="BC68" i="101"/>
  <c r="BC67" i="101"/>
  <c r="BC66" i="101"/>
  <c r="BC65" i="101"/>
  <c r="BC64" i="101"/>
  <c r="BC63" i="101"/>
  <c r="BC62" i="101"/>
  <c r="BC61" i="101"/>
  <c r="BC58" i="101"/>
  <c r="BC57" i="101"/>
  <c r="BC56" i="101"/>
  <c r="BC55" i="101"/>
  <c r="BC52" i="101"/>
  <c r="BC51" i="101"/>
  <c r="BC50" i="101"/>
  <c r="BC49" i="101"/>
  <c r="BC48" i="101"/>
  <c r="BC47" i="101"/>
  <c r="BC46" i="101"/>
  <c r="BC45" i="101"/>
  <c r="BD89" i="101"/>
  <c r="BD90" i="101"/>
  <c r="BD91" i="101"/>
  <c r="BD92" i="101"/>
  <c r="BD93" i="101"/>
  <c r="BD94" i="101"/>
  <c r="BD95" i="101"/>
  <c r="BD96" i="101"/>
  <c r="BD88" i="101"/>
  <c r="BD87" i="101"/>
  <c r="BD86" i="101"/>
  <c r="BD85" i="101"/>
  <c r="BD84" i="101"/>
  <c r="BD83" i="101"/>
  <c r="BD82" i="101"/>
  <c r="BD81" i="101"/>
  <c r="BD80" i="101"/>
  <c r="BD79" i="101"/>
  <c r="BD78" i="101"/>
  <c r="BD77" i="101"/>
  <c r="BD76" i="101"/>
  <c r="BD75" i="101"/>
  <c r="BD74" i="101"/>
  <c r="BD73" i="101"/>
  <c r="BD72" i="101"/>
  <c r="BD71" i="101"/>
  <c r="BD70" i="101"/>
  <c r="BD69" i="101"/>
  <c r="BD68" i="101"/>
  <c r="BD67" i="101"/>
  <c r="BD66" i="101"/>
  <c r="BD65" i="101"/>
  <c r="BD64" i="101"/>
  <c r="BD63" i="101"/>
  <c r="BD62" i="101"/>
  <c r="BD61" i="101"/>
  <c r="BD60" i="101"/>
  <c r="BD59" i="101"/>
  <c r="BD58" i="101"/>
  <c r="BD57" i="101"/>
  <c r="BD56" i="101"/>
  <c r="BD55" i="101"/>
  <c r="BD54" i="101"/>
  <c r="BD53" i="101"/>
  <c r="BD52" i="101"/>
  <c r="BD51" i="101"/>
  <c r="BD50" i="101"/>
  <c r="BD49" i="101"/>
  <c r="BD48" i="101"/>
  <c r="BD47" i="101"/>
  <c r="BD46" i="101"/>
  <c r="BE96" i="101"/>
  <c r="BE95" i="101"/>
  <c r="BE94" i="101"/>
  <c r="BE93" i="101"/>
  <c r="BE92" i="101"/>
  <c r="BE91" i="101"/>
  <c r="BE90" i="101"/>
  <c r="BE89" i="101"/>
  <c r="BE88" i="101"/>
  <c r="BE87" i="101"/>
  <c r="BE86" i="101"/>
  <c r="BE85" i="101"/>
  <c r="BE84" i="101"/>
  <c r="BE83" i="101"/>
  <c r="BE82" i="101"/>
  <c r="BE81" i="101"/>
  <c r="BE80" i="101"/>
  <c r="BE79" i="101"/>
  <c r="BE78" i="101"/>
  <c r="BE76" i="101"/>
  <c r="BE75" i="101"/>
  <c r="BE74" i="101"/>
  <c r="BE73" i="101"/>
  <c r="BE72" i="101"/>
  <c r="BE71" i="101"/>
  <c r="BE70" i="101"/>
  <c r="BE69" i="101"/>
  <c r="BE68" i="101"/>
  <c r="BE67" i="101"/>
  <c r="BE66" i="101"/>
  <c r="BE65" i="101"/>
  <c r="BE64" i="101"/>
  <c r="BE63" i="101"/>
  <c r="BE62" i="101"/>
  <c r="BE61" i="101"/>
  <c r="BE60" i="101"/>
  <c r="BE59" i="101"/>
  <c r="BE58" i="101"/>
  <c r="BE57" i="101"/>
  <c r="BE56" i="101"/>
  <c r="BE55" i="101"/>
  <c r="BE54" i="101"/>
  <c r="BE53" i="101"/>
  <c r="BE50" i="101"/>
  <c r="BE49" i="101"/>
  <c r="BE48" i="101"/>
  <c r="BE45" i="101"/>
  <c r="BE40" i="101"/>
  <c r="AV96" i="101"/>
  <c r="AV95" i="101"/>
  <c r="AV94" i="101"/>
  <c r="AV93" i="101"/>
  <c r="AV92" i="101"/>
  <c r="AV91" i="101"/>
  <c r="AV90" i="101"/>
  <c r="AV89" i="101"/>
  <c r="AV88" i="101"/>
  <c r="AV87" i="101"/>
  <c r="AV86" i="101"/>
  <c r="AV85" i="101"/>
  <c r="AV84" i="101"/>
  <c r="AV83" i="101"/>
  <c r="AV82" i="101"/>
  <c r="AV81" i="101"/>
  <c r="AV80" i="101"/>
  <c r="AV79" i="101"/>
  <c r="AV78" i="101"/>
  <c r="AV77" i="101"/>
  <c r="AV76" i="101"/>
  <c r="AV75" i="101"/>
  <c r="AV74" i="101"/>
  <c r="AV73" i="101"/>
  <c r="AV72" i="101"/>
  <c r="AV71" i="101"/>
  <c r="AV70" i="101"/>
  <c r="AV69" i="101"/>
  <c r="AV68" i="101"/>
  <c r="AV67" i="101"/>
  <c r="AV66" i="101"/>
  <c r="AV65" i="101"/>
  <c r="AV64" i="101"/>
  <c r="AV63" i="101"/>
  <c r="AV62" i="101"/>
  <c r="AV61" i="101"/>
  <c r="AV60" i="101"/>
  <c r="AV59" i="101"/>
  <c r="AV58" i="101"/>
  <c r="AV57" i="101"/>
  <c r="AV56" i="101"/>
  <c r="AV55" i="101"/>
  <c r="AV53" i="101"/>
  <c r="AV52" i="101"/>
  <c r="AV51" i="101"/>
  <c r="AV50" i="101"/>
  <c r="AV49" i="101"/>
  <c r="AV48" i="101"/>
  <c r="AV47" i="101"/>
  <c r="AV46" i="101"/>
  <c r="AV45" i="101"/>
  <c r="AV44" i="101"/>
  <c r="AV43" i="101"/>
  <c r="AU96" i="101"/>
  <c r="AU95" i="101"/>
  <c r="AU94" i="101"/>
  <c r="AU93" i="101"/>
  <c r="AU92" i="101"/>
  <c r="AU91" i="101"/>
  <c r="AU90" i="101"/>
  <c r="AU89" i="101"/>
  <c r="AU88" i="101"/>
  <c r="AU87" i="101"/>
  <c r="AU86" i="101"/>
  <c r="AU85" i="101"/>
  <c r="AU84" i="101"/>
  <c r="AU83" i="101"/>
  <c r="AU82" i="101"/>
  <c r="AU81" i="101"/>
  <c r="AU80" i="101"/>
  <c r="AU79" i="101"/>
  <c r="AU78" i="101"/>
  <c r="AU77" i="101"/>
  <c r="AU76" i="101"/>
  <c r="AU75" i="101"/>
  <c r="AU74" i="101"/>
  <c r="AU73" i="101"/>
  <c r="AU72" i="101"/>
  <c r="AU71" i="101"/>
  <c r="AU70" i="101"/>
  <c r="AU69" i="101"/>
  <c r="AU68" i="101"/>
  <c r="AU67" i="101"/>
  <c r="AU66" i="101"/>
  <c r="AU65" i="101"/>
  <c r="AU64" i="101"/>
  <c r="AU63" i="101"/>
  <c r="AU62" i="101"/>
  <c r="AU61" i="101"/>
  <c r="AU60" i="101"/>
  <c r="AU59" i="101"/>
  <c r="AU58" i="101"/>
  <c r="AU57" i="101"/>
  <c r="AU56" i="101"/>
  <c r="AU55" i="101"/>
  <c r="AU54" i="101"/>
  <c r="AU53" i="101"/>
  <c r="AU52" i="101"/>
  <c r="AU51" i="101"/>
  <c r="AU50" i="101"/>
  <c r="AU49" i="101"/>
  <c r="AU48" i="101"/>
  <c r="AU47" i="101"/>
  <c r="AU46" i="101"/>
  <c r="AU45" i="101"/>
  <c r="AU44" i="101"/>
  <c r="AU43" i="101"/>
  <c r="AU39" i="101"/>
  <c r="AT96" i="101"/>
  <c r="AT94" i="101"/>
  <c r="AT92" i="101"/>
  <c r="AT90" i="101"/>
  <c r="AT88" i="101"/>
  <c r="AT86" i="101"/>
  <c r="AT84" i="101"/>
  <c r="AT82" i="101"/>
  <c r="AT80" i="101"/>
  <c r="AT95" i="101"/>
  <c r="AT93" i="101"/>
  <c r="AT91" i="101"/>
  <c r="AT89" i="101"/>
  <c r="AT87" i="101"/>
  <c r="AT85" i="101"/>
  <c r="AT83" i="101"/>
  <c r="AT81" i="101"/>
  <c r="AT79" i="101"/>
  <c r="AT78" i="101"/>
  <c r="AT76" i="101"/>
  <c r="AT75" i="101"/>
  <c r="AT74" i="101"/>
  <c r="AT73" i="101"/>
  <c r="AT72" i="101"/>
  <c r="AT71" i="101"/>
  <c r="AT70" i="101"/>
  <c r="AT69" i="101"/>
  <c r="AT68" i="101"/>
  <c r="AT67" i="101"/>
  <c r="AT66" i="101"/>
  <c r="AT65" i="101"/>
  <c r="AT64" i="101"/>
  <c r="AT63" i="101"/>
  <c r="AT62" i="101"/>
  <c r="AT61" i="101"/>
  <c r="AT60" i="101"/>
  <c r="AT59" i="101"/>
  <c r="AT58" i="101"/>
  <c r="AT57" i="101"/>
  <c r="AT56" i="101"/>
  <c r="AT55" i="101"/>
  <c r="AT54" i="101"/>
  <c r="AT53" i="101"/>
  <c r="AT52" i="101"/>
  <c r="AT51" i="101"/>
  <c r="AT50" i="101"/>
  <c r="AT49" i="101"/>
  <c r="AT48" i="101"/>
  <c r="AT47" i="101"/>
  <c r="AT46" i="101"/>
  <c r="AT45" i="101"/>
  <c r="AS96" i="101"/>
  <c r="AS95" i="101"/>
  <c r="AS94" i="101"/>
  <c r="AS93" i="101"/>
  <c r="AS92" i="101"/>
  <c r="AS91" i="101"/>
  <c r="AS90" i="101"/>
  <c r="AS89" i="101"/>
  <c r="AS88" i="101"/>
  <c r="AS87" i="101"/>
  <c r="AS86" i="101"/>
  <c r="AS85" i="101"/>
  <c r="AS84" i="101"/>
  <c r="AS83" i="101"/>
  <c r="AS82" i="101"/>
  <c r="AS81" i="101"/>
  <c r="AS80" i="101"/>
  <c r="AS79" i="101"/>
  <c r="AS78" i="101"/>
  <c r="AS76" i="101"/>
  <c r="AS75" i="101"/>
  <c r="AS74" i="101"/>
  <c r="AS73" i="101"/>
  <c r="AS72" i="101"/>
  <c r="AS71" i="101"/>
  <c r="AS70" i="101"/>
  <c r="AS69" i="101"/>
  <c r="AS68" i="101"/>
  <c r="AS67" i="101"/>
  <c r="AS66" i="101"/>
  <c r="AS65" i="101"/>
  <c r="AS64" i="101"/>
  <c r="AS63" i="101"/>
  <c r="AS62" i="101"/>
  <c r="AS61" i="101"/>
  <c r="AS60" i="101"/>
  <c r="AS59" i="101"/>
  <c r="AS58" i="101"/>
  <c r="AS57" i="101"/>
  <c r="AS56" i="101"/>
  <c r="AS55" i="101"/>
  <c r="AS54" i="101"/>
  <c r="AS53" i="101"/>
  <c r="AS50" i="101"/>
  <c r="AS49" i="101"/>
  <c r="AS48" i="101"/>
  <c r="AS45" i="101"/>
  <c r="AS40" i="101"/>
  <c r="AR96" i="101"/>
  <c r="AR95" i="101"/>
  <c r="AR94" i="101"/>
  <c r="AR93" i="101"/>
  <c r="AR92" i="101"/>
  <c r="AR91" i="101"/>
  <c r="AR90" i="101"/>
  <c r="AR89" i="101"/>
  <c r="AR88" i="101"/>
  <c r="AR87" i="101"/>
  <c r="AR86" i="101"/>
  <c r="AR85" i="101"/>
  <c r="AR84" i="101"/>
  <c r="AR83" i="101"/>
  <c r="AR82" i="101"/>
  <c r="AR81" i="101"/>
  <c r="AR80" i="101"/>
  <c r="AR79" i="101"/>
  <c r="AR78" i="101"/>
  <c r="AR77" i="101"/>
  <c r="AR76" i="101"/>
  <c r="AR75" i="101"/>
  <c r="AR74" i="101"/>
  <c r="AR73" i="101"/>
  <c r="AR72" i="101"/>
  <c r="AR71" i="101"/>
  <c r="AR70" i="101"/>
  <c r="AR69" i="101"/>
  <c r="AR68" i="101"/>
  <c r="AR67" i="101"/>
  <c r="AR66" i="101"/>
  <c r="AR65" i="101"/>
  <c r="AR64" i="101"/>
  <c r="AR63" i="101"/>
  <c r="AR62" i="101"/>
  <c r="AR61" i="101"/>
  <c r="AR60" i="101"/>
  <c r="AR59" i="101"/>
  <c r="AR58" i="101"/>
  <c r="AR57" i="101"/>
  <c r="AR56" i="101"/>
  <c r="AR55" i="101"/>
  <c r="AR54" i="101"/>
  <c r="AR53" i="101"/>
  <c r="AR52" i="101"/>
  <c r="AR51" i="101"/>
  <c r="AR50" i="101"/>
  <c r="AR49" i="101"/>
  <c r="AR48" i="101"/>
  <c r="AR47" i="101"/>
  <c r="AR46" i="101"/>
  <c r="AQ96" i="101"/>
  <c r="AQ95" i="101"/>
  <c r="AQ94" i="101"/>
  <c r="AQ93" i="101"/>
  <c r="AQ92" i="101"/>
  <c r="AQ91" i="101"/>
  <c r="AQ90" i="101"/>
  <c r="AQ89" i="101"/>
  <c r="AQ88" i="101"/>
  <c r="AQ87" i="101"/>
  <c r="AQ86" i="101"/>
  <c r="AQ85" i="101"/>
  <c r="AQ84" i="101"/>
  <c r="AQ83" i="101"/>
  <c r="AQ82" i="101"/>
  <c r="AQ81" i="101"/>
  <c r="AQ80" i="101"/>
  <c r="AQ79" i="101"/>
  <c r="AQ78" i="101"/>
  <c r="AQ77" i="101"/>
  <c r="AQ76" i="101"/>
  <c r="AQ75" i="101"/>
  <c r="AQ74" i="101"/>
  <c r="AQ73" i="101"/>
  <c r="AQ72" i="101"/>
  <c r="AQ71" i="101"/>
  <c r="AQ70" i="101"/>
  <c r="AQ69" i="101"/>
  <c r="AQ68" i="101"/>
  <c r="AQ67" i="101"/>
  <c r="AQ66" i="101"/>
  <c r="AQ65" i="101"/>
  <c r="AQ64" i="101"/>
  <c r="AQ63" i="101"/>
  <c r="AQ62" i="101"/>
  <c r="AQ61" i="101"/>
  <c r="AQ58" i="101"/>
  <c r="AQ57" i="101"/>
  <c r="AQ56" i="101"/>
  <c r="AQ55" i="101"/>
  <c r="AQ52" i="101"/>
  <c r="AQ51" i="101"/>
  <c r="AQ50" i="101"/>
  <c r="AQ49" i="101"/>
  <c r="AQ48" i="101"/>
  <c r="AQ47" i="101"/>
  <c r="AQ46" i="101"/>
  <c r="AQ45" i="101"/>
  <c r="CD13" i="73"/>
  <c r="CE13" i="73" s="1"/>
  <c r="CK13" i="73"/>
  <c r="CT13" i="73"/>
  <c r="CU13" i="73"/>
  <c r="DF13" i="73"/>
  <c r="DE13" i="73" s="1"/>
  <c r="DG13" i="73"/>
  <c r="DH13" i="73"/>
  <c r="DI13" i="73"/>
  <c r="DJ13" i="73"/>
  <c r="DK13" i="73"/>
  <c r="DN13" i="73"/>
  <c r="DM13" i="73" s="1"/>
  <c r="DO13" i="73"/>
  <c r="DP13" i="73"/>
  <c r="DQ13" i="73"/>
  <c r="DR13" i="73"/>
  <c r="DS13" i="73"/>
  <c r="CD14" i="73"/>
  <c r="CE14" i="73" s="1"/>
  <c r="CK14" i="73"/>
  <c r="CT14" i="73"/>
  <c r="CU14" i="73"/>
  <c r="DF14" i="73"/>
  <c r="AQ53" i="101" s="1"/>
  <c r="DG14" i="73"/>
  <c r="DH14" i="73"/>
  <c r="DI14" i="73"/>
  <c r="DJ14" i="73"/>
  <c r="DK14" i="73"/>
  <c r="DN14" i="73"/>
  <c r="BC53" i="101" s="1"/>
  <c r="DO14" i="73"/>
  <c r="DP14" i="73"/>
  <c r="DQ14" i="73"/>
  <c r="DR14" i="73"/>
  <c r="DS14" i="73"/>
  <c r="BH53" i="101" s="1"/>
  <c r="CD15" i="73"/>
  <c r="CG15" i="73" s="1"/>
  <c r="CK15" i="73"/>
  <c r="CT15" i="73"/>
  <c r="CU15" i="73"/>
  <c r="DF15" i="73"/>
  <c r="AQ54" i="101" s="1"/>
  <c r="DG15" i="73"/>
  <c r="DH15" i="73"/>
  <c r="DI15" i="73"/>
  <c r="DJ15" i="73"/>
  <c r="DK15" i="73"/>
  <c r="AV54" i="101" s="1"/>
  <c r="DN15" i="73"/>
  <c r="BC54" i="101" s="1"/>
  <c r="DO15" i="73"/>
  <c r="DP15" i="73"/>
  <c r="DQ15" i="73"/>
  <c r="DR15" i="73"/>
  <c r="DS15" i="73"/>
  <c r="BH54" i="101" s="1"/>
  <c r="CO24" i="73"/>
  <c r="CQ24" i="73"/>
  <c r="CR24" i="73"/>
  <c r="CT24" i="73"/>
  <c r="CU24" i="73"/>
  <c r="CW24" i="73"/>
  <c r="CO25" i="73"/>
  <c r="CQ25" i="73"/>
  <c r="CR25" i="73"/>
  <c r="CT25" i="73"/>
  <c r="CU25" i="73"/>
  <c r="CW25" i="73"/>
  <c r="CO26" i="73"/>
  <c r="CQ26" i="73"/>
  <c r="CR26" i="73"/>
  <c r="CT26" i="73"/>
  <c r="CU26" i="73"/>
  <c r="CW26" i="73"/>
  <c r="CO27" i="73"/>
  <c r="CQ27" i="73"/>
  <c r="CR27" i="73"/>
  <c r="CT27" i="73"/>
  <c r="CU27" i="73"/>
  <c r="CW27" i="73"/>
  <c r="DA34" i="73"/>
  <c r="CP38" i="73"/>
  <c r="CQ38" i="73"/>
  <c r="CP39" i="73"/>
  <c r="CQ39" i="73"/>
  <c r="CP40" i="73"/>
  <c r="CQ40" i="73"/>
  <c r="CP41" i="73"/>
  <c r="CQ41" i="73"/>
  <c r="CQ44" i="73"/>
  <c r="CW44" i="73"/>
  <c r="CQ45" i="73"/>
  <c r="CW45" i="73"/>
  <c r="CQ46" i="73"/>
  <c r="CW46" i="73"/>
  <c r="V97" i="101"/>
  <c r="U57" i="101"/>
  <c r="W57" i="101" s="1"/>
  <c r="U58" i="101"/>
  <c r="W58" i="101" s="1"/>
  <c r="U96" i="101"/>
  <c r="U95" i="101"/>
  <c r="U94" i="101"/>
  <c r="V94" i="101" s="1"/>
  <c r="U93" i="101"/>
  <c r="W93" i="101" s="1"/>
  <c r="U92" i="101"/>
  <c r="V92" i="101" s="1"/>
  <c r="U91" i="101"/>
  <c r="V91" i="101" s="1"/>
  <c r="U90" i="101"/>
  <c r="U89" i="101"/>
  <c r="U88" i="101"/>
  <c r="W88" i="101" s="1"/>
  <c r="U87" i="101"/>
  <c r="W87" i="101" s="1"/>
  <c r="U86" i="101"/>
  <c r="AB86" i="101" s="1"/>
  <c r="AC86" i="101" s="1"/>
  <c r="U85" i="101"/>
  <c r="W85" i="101" s="1"/>
  <c r="U84" i="101"/>
  <c r="AB84" i="101" s="1"/>
  <c r="AC84" i="101" s="1"/>
  <c r="U83" i="101"/>
  <c r="W83" i="101" s="1"/>
  <c r="U82" i="101"/>
  <c r="AB82" i="101" s="1"/>
  <c r="AC82" i="101" s="1"/>
  <c r="U81" i="101"/>
  <c r="U80" i="101"/>
  <c r="X80" i="101" s="1"/>
  <c r="U79" i="101"/>
  <c r="Z79" i="101" s="1"/>
  <c r="AA79" i="101" s="1"/>
  <c r="U78" i="101"/>
  <c r="Z78" i="101" s="1"/>
  <c r="AA78" i="101" s="1"/>
  <c r="U77" i="101"/>
  <c r="AB77" i="101" s="1"/>
  <c r="AC77" i="101" s="1"/>
  <c r="U76" i="101"/>
  <c r="U75" i="101"/>
  <c r="Z75" i="101" s="1"/>
  <c r="AA75" i="101" s="1"/>
  <c r="U74" i="101"/>
  <c r="W74" i="101" s="1"/>
  <c r="U73" i="101"/>
  <c r="W73" i="101" s="1"/>
  <c r="U72" i="101"/>
  <c r="W72" i="101" s="1"/>
  <c r="U71" i="101"/>
  <c r="W71" i="101" s="1"/>
  <c r="U70" i="101"/>
  <c r="W70" i="101" s="1"/>
  <c r="U69" i="101"/>
  <c r="Z69" i="101" s="1"/>
  <c r="AA69" i="101" s="1"/>
  <c r="U68" i="101"/>
  <c r="V68" i="101" s="1"/>
  <c r="U67" i="101"/>
  <c r="W67" i="101" s="1"/>
  <c r="U66" i="101"/>
  <c r="U65" i="101"/>
  <c r="Z65" i="101" s="1"/>
  <c r="AA65" i="101" s="1"/>
  <c r="U64" i="101"/>
  <c r="W64" i="101" s="1"/>
  <c r="U63" i="101"/>
  <c r="Z63" i="101" s="1"/>
  <c r="AA63" i="101" s="1"/>
  <c r="U62" i="101"/>
  <c r="V62" i="101" s="1"/>
  <c r="U61" i="101"/>
  <c r="U56" i="101"/>
  <c r="W56" i="101" s="1"/>
  <c r="U55" i="101"/>
  <c r="Z55" i="101" s="1"/>
  <c r="AA55" i="101" s="1"/>
  <c r="U52" i="101"/>
  <c r="U51" i="101"/>
  <c r="Z51" i="101" s="1"/>
  <c r="AA51" i="101" s="1"/>
  <c r="U50" i="101"/>
  <c r="AY50" i="101" s="1"/>
  <c r="U49" i="101"/>
  <c r="U48" i="101"/>
  <c r="U47" i="101"/>
  <c r="AY47" i="101" s="1"/>
  <c r="U46" i="101"/>
  <c r="AY46" i="101" s="1"/>
  <c r="U45" i="101"/>
  <c r="AY45" i="101" s="1"/>
  <c r="U44" i="101"/>
  <c r="AY44" i="101" s="1"/>
  <c r="U43" i="101"/>
  <c r="U42" i="101"/>
  <c r="U41" i="101"/>
  <c r="AY41" i="101" s="1"/>
  <c r="U40" i="101"/>
  <c r="U39" i="101"/>
  <c r="BA44" i="101" l="1"/>
  <c r="BU44" i="101"/>
  <c r="BJ44" i="101"/>
  <c r="BB44" i="101"/>
  <c r="AZ44" i="101"/>
  <c r="BL44" i="101"/>
  <c r="BK44" i="101"/>
  <c r="BT44" i="101"/>
  <c r="BA46" i="101"/>
  <c r="BT46" i="101"/>
  <c r="AZ46" i="101"/>
  <c r="BL46" i="101"/>
  <c r="BK46" i="101"/>
  <c r="BU46" i="101"/>
  <c r="BJ46" i="101"/>
  <c r="BB46" i="101"/>
  <c r="BJ50" i="101"/>
  <c r="BK50" i="101"/>
  <c r="BT50" i="101"/>
  <c r="AZ50" i="101"/>
  <c r="BL50" i="101"/>
  <c r="BU50" i="101"/>
  <c r="BB50" i="101"/>
  <c r="BA50" i="101"/>
  <c r="BL45" i="101"/>
  <c r="BB45" i="101"/>
  <c r="BK45" i="101"/>
  <c r="BT45" i="101"/>
  <c r="AZ45" i="101"/>
  <c r="BU45" i="101"/>
  <c r="BJ45" i="101"/>
  <c r="BA45" i="101"/>
  <c r="BA47" i="101"/>
  <c r="BL47" i="101"/>
  <c r="BU47" i="101"/>
  <c r="BJ47" i="101"/>
  <c r="BB47" i="101"/>
  <c r="BK47" i="101"/>
  <c r="BT47" i="101"/>
  <c r="AZ47" i="101"/>
  <c r="Z48" i="101"/>
  <c r="AY48" i="101"/>
  <c r="Z49" i="101"/>
  <c r="AY49" i="101"/>
  <c r="W43" i="101"/>
  <c r="AY43" i="101"/>
  <c r="V40" i="101"/>
  <c r="AY40" i="101"/>
  <c r="W39" i="101"/>
  <c r="AY39" i="101"/>
  <c r="BA41" i="101"/>
  <c r="BL41" i="101"/>
  <c r="AZ41" i="101"/>
  <c r="BU41" i="101"/>
  <c r="BT41" i="101"/>
  <c r="BK41" i="101"/>
  <c r="BJ41" i="101"/>
  <c r="BB41" i="101"/>
  <c r="V42" i="101"/>
  <c r="AY42" i="101"/>
  <c r="CH14" i="73"/>
  <c r="CF15" i="73"/>
  <c r="CI14" i="73"/>
  <c r="CH13" i="73"/>
  <c r="CF14" i="73"/>
  <c r="CE15" i="73"/>
  <c r="CJ15" i="73"/>
  <c r="CI15" i="73"/>
  <c r="CG14" i="73"/>
  <c r="CH15" i="73"/>
  <c r="CJ13" i="73"/>
  <c r="CJ14" i="73"/>
  <c r="CI13" i="73"/>
  <c r="X49" i="101"/>
  <c r="X50" i="101"/>
  <c r="X56" i="101"/>
  <c r="X51" i="101"/>
  <c r="X52" i="101"/>
  <c r="X55" i="101"/>
  <c r="X74" i="101"/>
  <c r="X75" i="101"/>
  <c r="X76" i="101"/>
  <c r="X73" i="101"/>
  <c r="X77" i="101"/>
  <c r="X78" i="101"/>
  <c r="X79" i="101"/>
  <c r="X57" i="101"/>
  <c r="X81" i="101"/>
  <c r="X58" i="101"/>
  <c r="X82" i="101"/>
  <c r="X83" i="101"/>
  <c r="X84" i="101"/>
  <c r="X61" i="101"/>
  <c r="X85" i="101"/>
  <c r="X62" i="101"/>
  <c r="X86" i="101"/>
  <c r="X39" i="101"/>
  <c r="X63" i="101"/>
  <c r="X87" i="101"/>
  <c r="X40" i="101"/>
  <c r="X64" i="101"/>
  <c r="X88" i="101"/>
  <c r="X41" i="101"/>
  <c r="X65" i="101"/>
  <c r="X89" i="101"/>
  <c r="X42" i="101"/>
  <c r="X66" i="101"/>
  <c r="X90" i="101"/>
  <c r="X43" i="101"/>
  <c r="X67" i="101"/>
  <c r="X91" i="101"/>
  <c r="X44" i="101"/>
  <c r="X68" i="101"/>
  <c r="X92" i="101"/>
  <c r="X45" i="101"/>
  <c r="X69" i="101"/>
  <c r="X93" i="101"/>
  <c r="X46" i="101"/>
  <c r="X70" i="101"/>
  <c r="X94" i="101"/>
  <c r="X47" i="101"/>
  <c r="X71" i="101"/>
  <c r="X95" i="101"/>
  <c r="X48" i="101"/>
  <c r="X72" i="101"/>
  <c r="X96" i="101"/>
  <c r="V84" i="101"/>
  <c r="V79" i="101"/>
  <c r="Y41" i="101"/>
  <c r="V83" i="101"/>
  <c r="Y43" i="101"/>
  <c r="Z58" i="101"/>
  <c r="AA58" i="101" s="1"/>
  <c r="V48" i="101"/>
  <c r="V77" i="101"/>
  <c r="Y79" i="101"/>
  <c r="Z56" i="101"/>
  <c r="AA56" i="101" s="1"/>
  <c r="Z86" i="101"/>
  <c r="AA86" i="101" s="1"/>
  <c r="AW86" i="101"/>
  <c r="Y47" i="101"/>
  <c r="Y49" i="101"/>
  <c r="V78" i="101"/>
  <c r="Y57" i="101"/>
  <c r="AW85" i="101"/>
  <c r="V49" i="101"/>
  <c r="Z85" i="101"/>
  <c r="AA85" i="101" s="1"/>
  <c r="V47" i="101"/>
  <c r="Z87" i="101"/>
  <c r="AA87" i="101" s="1"/>
  <c r="Y45" i="101"/>
  <c r="V76" i="101"/>
  <c r="Z57" i="101"/>
  <c r="AA57" i="101" s="1"/>
  <c r="W46" i="101"/>
  <c r="W47" i="101"/>
  <c r="V74" i="101"/>
  <c r="W48" i="101"/>
  <c r="AB57" i="101"/>
  <c r="AC57" i="101" s="1"/>
  <c r="W49" i="101"/>
  <c r="AB69" i="101"/>
  <c r="AC69" i="101" s="1"/>
  <c r="AB79" i="101"/>
  <c r="AC79" i="101" s="1"/>
  <c r="AW48" i="101"/>
  <c r="AW88" i="101"/>
  <c r="BI63" i="101"/>
  <c r="BI87" i="101"/>
  <c r="W81" i="101"/>
  <c r="AB78" i="101"/>
  <c r="AC78" i="101" s="1"/>
  <c r="AW89" i="101"/>
  <c r="AW55" i="101"/>
  <c r="BI78" i="101"/>
  <c r="BI75" i="101"/>
  <c r="W44" i="101"/>
  <c r="W95" i="101"/>
  <c r="AW66" i="101"/>
  <c r="AW56" i="101"/>
  <c r="BI55" i="101"/>
  <c r="BI79" i="101"/>
  <c r="BI76" i="101"/>
  <c r="V75" i="101"/>
  <c r="BI56" i="101"/>
  <c r="BI80" i="101"/>
  <c r="W45" i="101"/>
  <c r="W96" i="101"/>
  <c r="AW91" i="101"/>
  <c r="AW57" i="101"/>
  <c r="Y39" i="101"/>
  <c r="Z82" i="101"/>
  <c r="AA82" i="101" s="1"/>
  <c r="AW68" i="101"/>
  <c r="AW92" i="101"/>
  <c r="AW58" i="101"/>
  <c r="BI57" i="101"/>
  <c r="BI48" i="101"/>
  <c r="Z83" i="101"/>
  <c r="AA83" i="101" s="1"/>
  <c r="AB55" i="101"/>
  <c r="AC55" i="101" s="1"/>
  <c r="AW53" i="101"/>
  <c r="BI82" i="101"/>
  <c r="BI49" i="101"/>
  <c r="W51" i="101"/>
  <c r="Z84" i="101"/>
  <c r="AA84" i="101" s="1"/>
  <c r="BI83" i="101"/>
  <c r="BI50" i="101"/>
  <c r="W82" i="101"/>
  <c r="V56" i="101"/>
  <c r="Z89" i="101"/>
  <c r="AA89" i="101" s="1"/>
  <c r="V52" i="101"/>
  <c r="W68" i="101"/>
  <c r="Z90" i="101"/>
  <c r="AA90" i="101" s="1"/>
  <c r="AB62" i="101"/>
  <c r="AC62" i="101" s="1"/>
  <c r="Z81" i="101"/>
  <c r="AA81" i="101" s="1"/>
  <c r="AB56" i="101"/>
  <c r="AC56" i="101" s="1"/>
  <c r="Z91" i="101"/>
  <c r="AA91" i="101" s="1"/>
  <c r="V81" i="101"/>
  <c r="AB66" i="101"/>
  <c r="AC66" i="101" s="1"/>
  <c r="W62" i="101"/>
  <c r="V55" i="101"/>
  <c r="W69" i="101"/>
  <c r="Y81" i="101"/>
  <c r="Z93" i="101"/>
  <c r="AA93" i="101" s="1"/>
  <c r="Y69" i="101"/>
  <c r="Z94" i="101"/>
  <c r="AA94" i="101" s="1"/>
  <c r="Z88" i="101"/>
  <c r="AA88" i="101" s="1"/>
  <c r="Y83" i="101"/>
  <c r="V46" i="101"/>
  <c r="Z40" i="101"/>
  <c r="AB88" i="101"/>
  <c r="AC88" i="101" s="1"/>
  <c r="V51" i="101"/>
  <c r="BI58" i="101"/>
  <c r="BI65" i="101"/>
  <c r="BI89" i="101"/>
  <c r="W55" i="101"/>
  <c r="Y51" i="101"/>
  <c r="W75" i="101"/>
  <c r="V88" i="101"/>
  <c r="W40" i="101"/>
  <c r="W76" i="101"/>
  <c r="Z47" i="101"/>
  <c r="AB94" i="101"/>
  <c r="AC94" i="101" s="1"/>
  <c r="AW70" i="101"/>
  <c r="AW94" i="101"/>
  <c r="AW84" i="101"/>
  <c r="BI73" i="101"/>
  <c r="BI66" i="101"/>
  <c r="BI90" i="101"/>
  <c r="W52" i="101"/>
  <c r="AB81" i="101"/>
  <c r="AC81" i="101" s="1"/>
  <c r="Z42" i="101"/>
  <c r="AW93" i="101"/>
  <c r="V87" i="101"/>
  <c r="W41" i="101"/>
  <c r="W77" i="101"/>
  <c r="AW71" i="101"/>
  <c r="AW95" i="101"/>
  <c r="AW61" i="101"/>
  <c r="AW65" i="101"/>
  <c r="AW82" i="101"/>
  <c r="BI84" i="101"/>
  <c r="BI74" i="101"/>
  <c r="BI67" i="101"/>
  <c r="BI91" i="101"/>
  <c r="AB83" i="101"/>
  <c r="AC83" i="101" s="1"/>
  <c r="Y55" i="101"/>
  <c r="V41" i="101"/>
  <c r="Z41" i="101"/>
  <c r="AB90" i="101"/>
  <c r="AC90" i="101" s="1"/>
  <c r="V86" i="101"/>
  <c r="W42" i="101"/>
  <c r="W78" i="101"/>
  <c r="Z52" i="101"/>
  <c r="AA52" i="101" s="1"/>
  <c r="AW96" i="101"/>
  <c r="AW62" i="101"/>
  <c r="BI61" i="101"/>
  <c r="BI85" i="101"/>
  <c r="BI68" i="101"/>
  <c r="BI92" i="101"/>
  <c r="V82" i="101"/>
  <c r="AW90" i="101"/>
  <c r="BI81" i="101"/>
  <c r="Z92" i="101"/>
  <c r="AA92" i="101" s="1"/>
  <c r="V93" i="101"/>
  <c r="AW69" i="101"/>
  <c r="V85" i="101"/>
  <c r="W79" i="101"/>
  <c r="AW63" i="101"/>
  <c r="AW67" i="101"/>
  <c r="BI62" i="101"/>
  <c r="BI86" i="101"/>
  <c r="BI93" i="101"/>
  <c r="BI70" i="101"/>
  <c r="BI94" i="101"/>
  <c r="AW49" i="101"/>
  <c r="AW75" i="101"/>
  <c r="AW83" i="101"/>
  <c r="BI71" i="101"/>
  <c r="BI95" i="101"/>
  <c r="AB80" i="101"/>
  <c r="AC80" i="101" s="1"/>
  <c r="BI72" i="101"/>
  <c r="AW79" i="101"/>
  <c r="V50" i="101"/>
  <c r="W61" i="101"/>
  <c r="Y61" i="101"/>
  <c r="AB61" i="101"/>
  <c r="AC61" i="101" s="1"/>
  <c r="V80" i="101"/>
  <c r="BI69" i="101"/>
  <c r="W63" i="101"/>
  <c r="Y63" i="101"/>
  <c r="V89" i="101"/>
  <c r="W89" i="101"/>
  <c r="Z64" i="101"/>
  <c r="AA64" i="101" s="1"/>
  <c r="AW80" i="101"/>
  <c r="W66" i="101"/>
  <c r="V66" i="101"/>
  <c r="Y85" i="101"/>
  <c r="Z66" i="101"/>
  <c r="AA66" i="101" s="1"/>
  <c r="BI54" i="101"/>
  <c r="BI53" i="101"/>
  <c r="W90" i="101"/>
  <c r="V90" i="101"/>
  <c r="W80" i="101"/>
  <c r="AW76" i="101"/>
  <c r="AW50" i="101"/>
  <c r="Z62" i="101"/>
  <c r="AA62" i="101" s="1"/>
  <c r="V67" i="101"/>
  <c r="Y67" i="101"/>
  <c r="Y87" i="101"/>
  <c r="Z50" i="101"/>
  <c r="BI96" i="101"/>
  <c r="V65" i="101"/>
  <c r="W65" i="101"/>
  <c r="AB65" i="101"/>
  <c r="AC65" i="101" s="1"/>
  <c r="Y65" i="101"/>
  <c r="V69" i="101"/>
  <c r="Y89" i="101"/>
  <c r="AB87" i="101"/>
  <c r="AC87" i="101" s="1"/>
  <c r="AB71" i="101"/>
  <c r="AC71" i="101" s="1"/>
  <c r="Y71" i="101"/>
  <c r="V71" i="101"/>
  <c r="Z71" i="101"/>
  <c r="AA71" i="101" s="1"/>
  <c r="AB72" i="101"/>
  <c r="AC72" i="101" s="1"/>
  <c r="Z72" i="101"/>
  <c r="AA72" i="101" s="1"/>
  <c r="V72" i="101"/>
  <c r="Z96" i="101"/>
  <c r="AA96" i="101" s="1"/>
  <c r="V96" i="101"/>
  <c r="W91" i="101"/>
  <c r="Y95" i="101"/>
  <c r="AB93" i="101"/>
  <c r="AC93" i="101" s="1"/>
  <c r="AB85" i="101"/>
  <c r="AC85" i="101" s="1"/>
  <c r="V39" i="101"/>
  <c r="V70" i="101"/>
  <c r="AB70" i="101"/>
  <c r="AC70" i="101" s="1"/>
  <c r="V64" i="101"/>
  <c r="Z70" i="101"/>
  <c r="AA70" i="101" s="1"/>
  <c r="V61" i="101"/>
  <c r="W50" i="101"/>
  <c r="W92" i="101"/>
  <c r="Z80" i="101"/>
  <c r="AA80" i="101" s="1"/>
  <c r="AW54" i="101"/>
  <c r="AW74" i="101"/>
  <c r="AW78" i="101"/>
  <c r="Z61" i="101"/>
  <c r="AA61" i="101" s="1"/>
  <c r="Z68" i="101"/>
  <c r="AA68" i="101" s="1"/>
  <c r="AB89" i="101"/>
  <c r="AC89" i="101" s="1"/>
  <c r="V95" i="101"/>
  <c r="Z95" i="101"/>
  <c r="AA95" i="101" s="1"/>
  <c r="Y93" i="101"/>
  <c r="Z43" i="101"/>
  <c r="V43" i="101"/>
  <c r="AB73" i="101"/>
  <c r="AC73" i="101" s="1"/>
  <c r="Y73" i="101"/>
  <c r="V73" i="101"/>
  <c r="Z73" i="101"/>
  <c r="AA73" i="101" s="1"/>
  <c r="Z74" i="101"/>
  <c r="AA74" i="101" s="1"/>
  <c r="V58" i="101"/>
  <c r="AW81" i="101"/>
  <c r="Z67" i="101"/>
  <c r="AA67" i="101" s="1"/>
  <c r="Y91" i="101"/>
  <c r="V63" i="101"/>
  <c r="W86" i="101"/>
  <c r="Z44" i="101"/>
  <c r="V44" i="101"/>
  <c r="V45" i="101"/>
  <c r="Z45" i="101"/>
  <c r="AB75" i="101"/>
  <c r="AC75" i="101" s="1"/>
  <c r="Y75" i="101"/>
  <c r="V57" i="101"/>
  <c r="W94" i="101"/>
  <c r="Z39" i="101"/>
  <c r="AB58" i="101"/>
  <c r="AC58" i="101" s="1"/>
  <c r="BI64" i="101"/>
  <c r="BI88" i="101"/>
  <c r="AW72" i="101"/>
  <c r="W84" i="101"/>
  <c r="AW73" i="101"/>
  <c r="Z46" i="101"/>
  <c r="AB76" i="101"/>
  <c r="AC76" i="101" s="1"/>
  <c r="Z77" i="101"/>
  <c r="AA77" i="101" s="1"/>
  <c r="AW87" i="101"/>
  <c r="AW64" i="101"/>
  <c r="Z76" i="101"/>
  <c r="AA76" i="101" s="1"/>
  <c r="Y77" i="101"/>
  <c r="DM15" i="73"/>
  <c r="BO54" i="101" s="1"/>
  <c r="DM14" i="73"/>
  <c r="IS14" i="73" s="1"/>
  <c r="DE15" i="73"/>
  <c r="CP15" i="73" s="1"/>
  <c r="DE14" i="73"/>
  <c r="IF14" i="73" s="1"/>
  <c r="IU13" i="73"/>
  <c r="IV13" i="73"/>
  <c r="IQ13" i="73"/>
  <c r="IL13" i="73"/>
  <c r="IT13" i="73"/>
  <c r="IM13" i="73"/>
  <c r="IS13" i="73"/>
  <c r="IP13" i="73"/>
  <c r="IK13" i="73"/>
  <c r="IN13" i="73"/>
  <c r="IO13" i="73"/>
  <c r="IR13" i="73"/>
  <c r="IV15" i="73"/>
  <c r="IM15" i="73"/>
  <c r="IO15" i="73"/>
  <c r="IP15" i="73"/>
  <c r="IN15" i="73"/>
  <c r="IL15" i="73"/>
  <c r="CQ15" i="73"/>
  <c r="IK15" i="73"/>
  <c r="ID14" i="73"/>
  <c r="HZ14" i="73"/>
  <c r="IC14" i="73"/>
  <c r="HW13" i="73"/>
  <c r="HX13" i="73"/>
  <c r="ID13" i="73"/>
  <c r="IG13" i="73"/>
  <c r="HY13" i="73"/>
  <c r="HZ13" i="73"/>
  <c r="IA13" i="73"/>
  <c r="IB13" i="73"/>
  <c r="IC13" i="73"/>
  <c r="IE13" i="73"/>
  <c r="IF13" i="73"/>
  <c r="IH13" i="73"/>
  <c r="HY15" i="73"/>
  <c r="IC15" i="73"/>
  <c r="ID15" i="73"/>
  <c r="IH15" i="73"/>
  <c r="IB15" i="73"/>
  <c r="IE15" i="73"/>
  <c r="IF15" i="73"/>
  <c r="CG13" i="73"/>
  <c r="CF13" i="73"/>
  <c r="E9" i="102"/>
  <c r="F9" i="102"/>
  <c r="G9" i="102"/>
  <c r="H9" i="102"/>
  <c r="I9" i="102"/>
  <c r="J9" i="102"/>
  <c r="K9" i="102"/>
  <c r="L9" i="102"/>
  <c r="M9" i="102"/>
  <c r="N9" i="102"/>
  <c r="O9" i="102"/>
  <c r="P9" i="102"/>
  <c r="Q9" i="102"/>
  <c r="R9" i="102"/>
  <c r="E8" i="102"/>
  <c r="F8" i="102"/>
  <c r="G8" i="102"/>
  <c r="H8" i="102"/>
  <c r="I8" i="102"/>
  <c r="J8" i="102"/>
  <c r="K8" i="102"/>
  <c r="L8" i="102"/>
  <c r="M8" i="102"/>
  <c r="N8" i="102"/>
  <c r="O8" i="102"/>
  <c r="P8" i="102"/>
  <c r="Q8" i="102"/>
  <c r="R8" i="102"/>
  <c r="E7" i="102"/>
  <c r="F7" i="102"/>
  <c r="G7" i="102"/>
  <c r="H7" i="102"/>
  <c r="I7" i="102"/>
  <c r="J7" i="102"/>
  <c r="K7" i="102"/>
  <c r="L7" i="102"/>
  <c r="M7" i="102"/>
  <c r="N7" i="102"/>
  <c r="O7" i="102"/>
  <c r="P7" i="102"/>
  <c r="Q7" i="102"/>
  <c r="R7" i="102"/>
  <c r="D9" i="102"/>
  <c r="D8" i="102"/>
  <c r="C9" i="102"/>
  <c r="C8" i="102"/>
  <c r="C7" i="102"/>
  <c r="C6" i="102"/>
  <c r="C5" i="102"/>
  <c r="C4" i="102"/>
  <c r="B4" i="102"/>
  <c r="BA49" i="101" l="1"/>
  <c r="BU49" i="101"/>
  <c r="BT49" i="101"/>
  <c r="AZ49" i="101"/>
  <c r="BL49" i="101"/>
  <c r="BK49" i="101"/>
  <c r="BJ49" i="101"/>
  <c r="BB49" i="101"/>
  <c r="AA49" i="101"/>
  <c r="AX49" i="101"/>
  <c r="AA48" i="101"/>
  <c r="AX48" i="101"/>
  <c r="AA46" i="101"/>
  <c r="AX46" i="101"/>
  <c r="BJ43" i="101"/>
  <c r="BB43" i="101"/>
  <c r="BT43" i="101"/>
  <c r="AZ43" i="101"/>
  <c r="BL43" i="101"/>
  <c r="BU43" i="101"/>
  <c r="BK43" i="101"/>
  <c r="BA43" i="101"/>
  <c r="BB48" i="101"/>
  <c r="BT48" i="101"/>
  <c r="BJ48" i="101"/>
  <c r="AZ48" i="101"/>
  <c r="BL48" i="101"/>
  <c r="BU48" i="101"/>
  <c r="BK48" i="101"/>
  <c r="BA48" i="101"/>
  <c r="AA50" i="101"/>
  <c r="AX50" i="101"/>
  <c r="AA45" i="101"/>
  <c r="AX45" i="101"/>
  <c r="AA47" i="101"/>
  <c r="AX47" i="101"/>
  <c r="AA44" i="101"/>
  <c r="AX44" i="101"/>
  <c r="AA43" i="101"/>
  <c r="AX43" i="101"/>
  <c r="AA40" i="101"/>
  <c r="AX40" i="101"/>
  <c r="BA40" i="101"/>
  <c r="BJ40" i="101"/>
  <c r="BL40" i="101"/>
  <c r="AZ40" i="101"/>
  <c r="BU40" i="101"/>
  <c r="BT40" i="101"/>
  <c r="BK40" i="101"/>
  <c r="BB40" i="101"/>
  <c r="BA39" i="101"/>
  <c r="BJ39" i="101"/>
  <c r="AZ39" i="101"/>
  <c r="BU39" i="101"/>
  <c r="BT39" i="101"/>
  <c r="BL39" i="101"/>
  <c r="BK39" i="101"/>
  <c r="BB39" i="101"/>
  <c r="AA39" i="101"/>
  <c r="AX39" i="101"/>
  <c r="AA41" i="101"/>
  <c r="AX41" i="101"/>
  <c r="BA42" i="101"/>
  <c r="BL42" i="101"/>
  <c r="BK42" i="101"/>
  <c r="BT42" i="101"/>
  <c r="BU42" i="101"/>
  <c r="BJ42" i="101"/>
  <c r="AZ42" i="101"/>
  <c r="BB42" i="101"/>
  <c r="AA42" i="101"/>
  <c r="AX42" i="101"/>
  <c r="CL15" i="73"/>
  <c r="CM15" i="73" s="1"/>
  <c r="GA15" i="73" s="1"/>
  <c r="HO15" i="73"/>
  <c r="ER15" i="73"/>
  <c r="ES15" i="73"/>
  <c r="FP15" i="73"/>
  <c r="HE15" i="73"/>
  <c r="HL15" i="73"/>
  <c r="HD15" i="73"/>
  <c r="ET15" i="73"/>
  <c r="EN15" i="73"/>
  <c r="EM15" i="73"/>
  <c r="FI15" i="73"/>
  <c r="EF15" i="73"/>
  <c r="FF15" i="73"/>
  <c r="FD15" i="73"/>
  <c r="FZ15" i="73"/>
  <c r="IT15" i="73"/>
  <c r="IK14" i="73"/>
  <c r="IQ14" i="73"/>
  <c r="DY15" i="73"/>
  <c r="HK15" i="73"/>
  <c r="FA15" i="73"/>
  <c r="GU15" i="73"/>
  <c r="CL14" i="73"/>
  <c r="CM14" i="73" s="1"/>
  <c r="HF14" i="73" s="1"/>
  <c r="GW15" i="73"/>
  <c r="IT14" i="73"/>
  <c r="EQ15" i="73"/>
  <c r="IR14" i="73"/>
  <c r="IG14" i="73"/>
  <c r="FN15" i="73"/>
  <c r="EY15" i="73"/>
  <c r="GB15" i="73"/>
  <c r="IS15" i="73"/>
  <c r="CP14" i="73"/>
  <c r="GY15" i="73"/>
  <c r="EE15" i="73"/>
  <c r="GM15" i="73"/>
  <c r="FO15" i="73"/>
  <c r="FB15" i="73"/>
  <c r="GL15" i="73"/>
  <c r="FG15" i="73"/>
  <c r="GP15" i="73"/>
  <c r="EH15" i="73"/>
  <c r="HH15" i="73"/>
  <c r="FW15" i="73"/>
  <c r="FM15" i="73"/>
  <c r="EC15" i="73"/>
  <c r="GV15" i="73"/>
  <c r="GC15" i="73"/>
  <c r="EG15" i="73"/>
  <c r="GX15" i="73"/>
  <c r="FS15" i="73"/>
  <c r="FR15" i="73"/>
  <c r="GK15" i="73"/>
  <c r="FX15" i="73"/>
  <c r="EX15" i="73"/>
  <c r="EB15" i="73"/>
  <c r="FJ15" i="73"/>
  <c r="EL15" i="73"/>
  <c r="HN15" i="73"/>
  <c r="HB15" i="73"/>
  <c r="HA15" i="73"/>
  <c r="FK15" i="73"/>
  <c r="EK15" i="73"/>
  <c r="CL13" i="73"/>
  <c r="CM13" i="73" s="1"/>
  <c r="GX13" i="73" s="1"/>
  <c r="GI15" i="73"/>
  <c r="HS15" i="73"/>
  <c r="ED15" i="73"/>
  <c r="HR15" i="73"/>
  <c r="FV15" i="73"/>
  <c r="EZ15" i="73"/>
  <c r="DZ15" i="73"/>
  <c r="FT15" i="73"/>
  <c r="EU15" i="73"/>
  <c r="HP15" i="73"/>
  <c r="GJ15" i="73"/>
  <c r="FQ15" i="73"/>
  <c r="GR15" i="73"/>
  <c r="GN15" i="73"/>
  <c r="GE15" i="73"/>
  <c r="HX15" i="73"/>
  <c r="BN54" i="101"/>
  <c r="CS15" i="73"/>
  <c r="BQ54" i="101"/>
  <c r="BS54" i="101" s="1"/>
  <c r="CR15" i="73"/>
  <c r="BP54" i="101"/>
  <c r="BR54" i="101" s="1"/>
  <c r="IU15" i="73"/>
  <c r="IR15" i="73"/>
  <c r="IQ15" i="73"/>
  <c r="IU14" i="73"/>
  <c r="BO53" i="101"/>
  <c r="IO14" i="73"/>
  <c r="CR14" i="73"/>
  <c r="BP53" i="101"/>
  <c r="BR53" i="101" s="1"/>
  <c r="IA14" i="73"/>
  <c r="BN53" i="101"/>
  <c r="IL14" i="73"/>
  <c r="AX89" i="101"/>
  <c r="AY89" i="101" s="1"/>
  <c r="AX78" i="101"/>
  <c r="AY78" i="101" s="1"/>
  <c r="AX63" i="101"/>
  <c r="AY63" i="101" s="1"/>
  <c r="AX75" i="101"/>
  <c r="AY75" i="101" s="1"/>
  <c r="AZ75" i="101" s="1"/>
  <c r="AX87" i="101"/>
  <c r="AY87" i="101" s="1"/>
  <c r="BB87" i="101" s="1"/>
  <c r="AX79" i="101"/>
  <c r="AY79" i="101" s="1"/>
  <c r="BB79" i="101" s="1"/>
  <c r="AX91" i="101"/>
  <c r="AY91" i="101" s="1"/>
  <c r="AZ91" i="101" s="1"/>
  <c r="AX84" i="101"/>
  <c r="AY84" i="101" s="1"/>
  <c r="AZ84" i="101" s="1"/>
  <c r="AX69" i="101"/>
  <c r="AY69" i="101" s="1"/>
  <c r="BT69" i="101" s="1"/>
  <c r="AX76" i="101"/>
  <c r="AY76" i="101" s="1"/>
  <c r="AX66" i="101"/>
  <c r="AY66" i="101" s="1"/>
  <c r="AX88" i="101"/>
  <c r="AY88" i="101" s="1"/>
  <c r="AX93" i="101"/>
  <c r="AY93" i="101" s="1"/>
  <c r="AZ93" i="101" s="1"/>
  <c r="AX86" i="101"/>
  <c r="AY86" i="101" s="1"/>
  <c r="BU86" i="101" s="1"/>
  <c r="AX80" i="101"/>
  <c r="AY80" i="101" s="1"/>
  <c r="AZ80" i="101" s="1"/>
  <c r="AX90" i="101"/>
  <c r="AY90" i="101" s="1"/>
  <c r="AX96" i="101"/>
  <c r="AY96" i="101" s="1"/>
  <c r="BT96" i="101" s="1"/>
  <c r="AX82" i="101"/>
  <c r="AY82" i="101" s="1"/>
  <c r="BB82" i="101" s="1"/>
  <c r="AX85" i="101"/>
  <c r="AY85" i="101" s="1"/>
  <c r="BB85" i="101" s="1"/>
  <c r="AX65" i="101"/>
  <c r="AY65" i="101" s="1"/>
  <c r="BT65" i="101" s="1"/>
  <c r="AX70" i="101"/>
  <c r="AY70" i="101" s="1"/>
  <c r="BL70" i="101" s="1"/>
  <c r="AX67" i="101"/>
  <c r="AY67" i="101" s="1"/>
  <c r="BA67" i="101" s="1"/>
  <c r="AX92" i="101"/>
  <c r="AY92" i="101" s="1"/>
  <c r="BB92" i="101" s="1"/>
  <c r="AX74" i="101"/>
  <c r="AY74" i="101" s="1"/>
  <c r="BB74" i="101" s="1"/>
  <c r="AX73" i="101"/>
  <c r="AY73" i="101" s="1"/>
  <c r="BL73" i="101" s="1"/>
  <c r="AX81" i="101"/>
  <c r="AY81" i="101" s="1"/>
  <c r="AX68" i="101"/>
  <c r="AY68" i="101" s="1"/>
  <c r="AX95" i="101"/>
  <c r="AY95" i="101" s="1"/>
  <c r="BT95" i="101" s="1"/>
  <c r="AX71" i="101"/>
  <c r="AY71" i="101" s="1"/>
  <c r="BL71" i="101" s="1"/>
  <c r="AX94" i="101"/>
  <c r="AY94" i="101" s="1"/>
  <c r="BB94" i="101" s="1"/>
  <c r="AX64" i="101"/>
  <c r="AY64" i="101" s="1"/>
  <c r="BU64" i="101" s="1"/>
  <c r="AX83" i="101"/>
  <c r="AY83" i="101" s="1"/>
  <c r="BU63" i="101"/>
  <c r="BB63" i="101"/>
  <c r="BA63" i="101"/>
  <c r="AZ63" i="101"/>
  <c r="BL63" i="101"/>
  <c r="BK63" i="101"/>
  <c r="BT63" i="101"/>
  <c r="AZ78" i="101"/>
  <c r="BT78" i="101"/>
  <c r="BL78" i="101"/>
  <c r="BK78" i="101"/>
  <c r="BA78" i="101"/>
  <c r="BU78" i="101"/>
  <c r="BB78" i="101"/>
  <c r="BB88" i="101"/>
  <c r="BA88" i="101"/>
  <c r="BU88" i="101"/>
  <c r="BK88" i="101"/>
  <c r="AZ88" i="101"/>
  <c r="AX72" i="101"/>
  <c r="AY72" i="101" s="1"/>
  <c r="BK72" i="101" s="1"/>
  <c r="CQ14" i="73"/>
  <c r="HY14" i="73"/>
  <c r="HX14" i="73"/>
  <c r="IE14" i="73"/>
  <c r="IB14" i="73"/>
  <c r="IV14" i="73"/>
  <c r="IH14" i="73"/>
  <c r="IA15" i="73"/>
  <c r="IP14" i="73"/>
  <c r="HW15" i="73"/>
  <c r="HW14" i="73"/>
  <c r="IM14" i="73"/>
  <c r="IG15" i="73"/>
  <c r="IN14" i="73"/>
  <c r="HZ15" i="73"/>
  <c r="EB13" i="73"/>
  <c r="ED13" i="73"/>
  <c r="IJ13" i="73"/>
  <c r="CW13" i="73" s="1"/>
  <c r="HV13" i="73"/>
  <c r="CV13" i="73" s="1"/>
  <c r="BO33" i="101"/>
  <c r="BO30" i="101"/>
  <c r="BO29" i="101"/>
  <c r="BO28" i="101"/>
  <c r="BO27" i="101"/>
  <c r="BO26" i="101"/>
  <c r="BO25" i="101"/>
  <c r="BO24" i="101"/>
  <c r="BO22" i="101"/>
  <c r="BO21" i="101"/>
  <c r="BO20" i="101"/>
  <c r="BO19" i="101"/>
  <c r="BO18" i="101"/>
  <c r="BO17" i="101"/>
  <c r="BO16" i="101"/>
  <c r="BO14" i="101"/>
  <c r="BO13" i="101"/>
  <c r="BO12" i="101"/>
  <c r="BO11" i="101"/>
  <c r="BO8" i="101"/>
  <c r="BN33" i="101"/>
  <c r="BN30" i="101"/>
  <c r="BN29" i="101"/>
  <c r="BN28" i="101"/>
  <c r="BN27" i="101"/>
  <c r="BN26" i="101"/>
  <c r="BN25" i="101"/>
  <c r="BN24" i="101"/>
  <c r="BN22" i="101"/>
  <c r="BN21" i="101"/>
  <c r="BN20" i="101"/>
  <c r="BN19" i="101"/>
  <c r="BN18" i="101"/>
  <c r="BN17" i="101"/>
  <c r="BN16" i="101"/>
  <c r="BN14" i="101"/>
  <c r="BN13" i="101"/>
  <c r="BN12" i="101"/>
  <c r="BN11" i="101"/>
  <c r="BN8" i="101"/>
  <c r="BH33" i="101"/>
  <c r="BH32" i="101"/>
  <c r="BH31" i="101"/>
  <c r="BH30" i="101"/>
  <c r="BH29" i="101"/>
  <c r="BH28" i="101"/>
  <c r="BH27" i="101"/>
  <c r="BH26" i="101"/>
  <c r="BH25" i="101"/>
  <c r="BH24" i="101"/>
  <c r="BH23" i="101"/>
  <c r="BH22" i="101"/>
  <c r="BH21" i="101"/>
  <c r="BH20" i="101"/>
  <c r="BH19" i="101"/>
  <c r="BH18" i="101"/>
  <c r="BH17" i="101"/>
  <c r="BH16" i="101"/>
  <c r="BH15" i="101"/>
  <c r="BH14" i="101"/>
  <c r="BH13" i="101"/>
  <c r="BH12" i="101"/>
  <c r="BH11" i="101"/>
  <c r="BH9" i="101"/>
  <c r="BH8" i="101"/>
  <c r="BG33" i="101"/>
  <c r="BG32" i="101"/>
  <c r="BG31" i="101"/>
  <c r="BG30" i="101"/>
  <c r="BG29" i="101"/>
  <c r="BG28" i="101"/>
  <c r="BG27" i="101"/>
  <c r="BG26" i="101"/>
  <c r="BG25" i="101"/>
  <c r="BG24" i="101"/>
  <c r="BG23" i="101"/>
  <c r="BG22" i="101"/>
  <c r="BG21" i="101"/>
  <c r="BG20" i="101"/>
  <c r="BG19" i="101"/>
  <c r="BG18" i="101"/>
  <c r="BG17" i="101"/>
  <c r="BG16" i="101"/>
  <c r="BG15" i="101"/>
  <c r="BG14" i="101"/>
  <c r="BG13" i="101"/>
  <c r="BG12" i="101"/>
  <c r="BG11" i="101"/>
  <c r="BG9" i="101"/>
  <c r="BG8" i="101"/>
  <c r="BF33" i="101"/>
  <c r="BF32" i="101"/>
  <c r="BF31" i="101"/>
  <c r="BF30" i="101"/>
  <c r="BF29" i="101"/>
  <c r="BF28" i="101"/>
  <c r="BF27" i="101"/>
  <c r="BF26" i="101"/>
  <c r="BF25" i="101"/>
  <c r="BF24" i="101"/>
  <c r="BF23" i="101"/>
  <c r="BF22" i="101"/>
  <c r="BF21" i="101"/>
  <c r="BF20" i="101"/>
  <c r="BF19" i="101"/>
  <c r="BF18" i="101"/>
  <c r="BF17" i="101"/>
  <c r="BF16" i="101"/>
  <c r="BF15" i="101"/>
  <c r="BF14" i="101"/>
  <c r="BF13" i="101"/>
  <c r="BF12" i="101"/>
  <c r="BF11" i="101"/>
  <c r="BF9" i="101"/>
  <c r="BF8" i="101"/>
  <c r="BE33" i="101"/>
  <c r="BE32" i="101"/>
  <c r="BE31" i="101"/>
  <c r="BE30" i="101"/>
  <c r="BE29" i="101"/>
  <c r="BE28" i="101"/>
  <c r="BE27" i="101"/>
  <c r="BE26" i="101"/>
  <c r="BE25" i="101"/>
  <c r="BE24" i="101"/>
  <c r="BE22" i="101"/>
  <c r="BE21" i="101"/>
  <c r="BE20" i="101"/>
  <c r="BE19" i="101"/>
  <c r="BE18" i="101"/>
  <c r="BE17" i="101"/>
  <c r="BE16" i="101"/>
  <c r="BE15" i="101"/>
  <c r="BE14" i="101"/>
  <c r="BE13" i="101"/>
  <c r="BE12" i="101"/>
  <c r="BE11" i="101"/>
  <c r="BE8" i="101"/>
  <c r="BD33" i="101"/>
  <c r="BD32" i="101"/>
  <c r="BD31" i="101"/>
  <c r="BD30" i="101"/>
  <c r="BD29" i="101"/>
  <c r="BD28" i="101"/>
  <c r="BD27" i="101"/>
  <c r="BD26" i="101"/>
  <c r="BD25" i="101"/>
  <c r="BD24" i="101"/>
  <c r="BD23" i="101"/>
  <c r="BD22" i="101"/>
  <c r="BD21" i="101"/>
  <c r="BD20" i="101"/>
  <c r="BD19" i="101"/>
  <c r="BD18" i="101"/>
  <c r="BD17" i="101"/>
  <c r="BD16" i="101"/>
  <c r="BD15" i="101"/>
  <c r="BD14" i="101"/>
  <c r="BD13" i="101"/>
  <c r="BD12" i="101"/>
  <c r="BD11" i="101"/>
  <c r="BD8" i="101"/>
  <c r="BC33" i="101"/>
  <c r="BC30" i="101"/>
  <c r="BC29" i="101"/>
  <c r="BC28" i="101"/>
  <c r="BC27" i="101"/>
  <c r="BC26" i="101"/>
  <c r="BC25" i="101"/>
  <c r="BC24" i="101"/>
  <c r="BC23" i="101"/>
  <c r="BC22" i="101"/>
  <c r="BC21" i="101"/>
  <c r="BC20" i="101"/>
  <c r="BC19" i="101"/>
  <c r="BC18" i="101"/>
  <c r="BC17" i="101"/>
  <c r="BC16" i="101"/>
  <c r="BC14" i="101"/>
  <c r="BC13" i="101"/>
  <c r="BC12" i="101"/>
  <c r="BC11" i="101"/>
  <c r="BC8" i="101"/>
  <c r="AV33" i="101"/>
  <c r="AV32" i="101"/>
  <c r="AV31" i="101"/>
  <c r="AV30" i="101"/>
  <c r="AV29" i="101"/>
  <c r="AV28" i="101"/>
  <c r="AV27" i="101"/>
  <c r="AV26" i="101"/>
  <c r="AV25" i="101"/>
  <c r="AV24" i="101"/>
  <c r="AV23" i="101"/>
  <c r="AV22" i="101"/>
  <c r="AV21" i="101"/>
  <c r="AV20" i="101"/>
  <c r="AV19" i="101"/>
  <c r="AV18" i="101"/>
  <c r="AV17" i="101"/>
  <c r="AV16" i="101"/>
  <c r="AV15" i="101"/>
  <c r="AV14" i="101"/>
  <c r="AV13" i="101"/>
  <c r="AV12" i="101"/>
  <c r="AV11" i="101"/>
  <c r="AV9" i="101"/>
  <c r="AV8" i="101"/>
  <c r="AU33" i="101"/>
  <c r="AU32" i="101"/>
  <c r="AU31" i="101"/>
  <c r="AU30" i="101"/>
  <c r="AU29" i="101"/>
  <c r="AU28" i="101"/>
  <c r="AU27" i="101"/>
  <c r="AU26" i="101"/>
  <c r="AU25" i="101"/>
  <c r="AU24" i="101"/>
  <c r="AU23" i="101"/>
  <c r="AU22" i="101"/>
  <c r="AU21" i="101"/>
  <c r="AU20" i="101"/>
  <c r="AU19" i="101"/>
  <c r="AU18" i="101"/>
  <c r="AU17" i="101"/>
  <c r="AU16" i="101"/>
  <c r="AU15" i="101"/>
  <c r="AU14" i="101"/>
  <c r="AU13" i="101"/>
  <c r="AU12" i="101"/>
  <c r="AU11" i="101"/>
  <c r="AU9" i="101"/>
  <c r="AU8" i="101"/>
  <c r="AT33" i="101"/>
  <c r="AT32" i="101"/>
  <c r="AT31" i="101"/>
  <c r="AT30" i="101"/>
  <c r="AT29" i="101"/>
  <c r="AT28" i="101"/>
  <c r="AT27" i="101"/>
  <c r="AT26" i="101"/>
  <c r="AT25" i="101"/>
  <c r="AT24" i="101"/>
  <c r="AT23" i="101"/>
  <c r="AT22" i="101"/>
  <c r="AT21" i="101"/>
  <c r="AT20" i="101"/>
  <c r="AT19" i="101"/>
  <c r="AT18" i="101"/>
  <c r="AT17" i="101"/>
  <c r="AT16" i="101"/>
  <c r="AT15" i="101"/>
  <c r="AT14" i="101"/>
  <c r="AT13" i="101"/>
  <c r="AT12" i="101"/>
  <c r="AT11" i="101"/>
  <c r="AT9" i="101"/>
  <c r="AT8" i="101"/>
  <c r="AS33" i="101"/>
  <c r="AS32" i="101"/>
  <c r="AS31" i="101"/>
  <c r="AS30" i="101"/>
  <c r="AS29" i="101"/>
  <c r="AS28" i="101"/>
  <c r="AS27" i="101"/>
  <c r="AS26" i="101"/>
  <c r="AS25" i="101"/>
  <c r="AS24" i="101"/>
  <c r="AS22" i="101"/>
  <c r="AS21" i="101"/>
  <c r="AS20" i="101"/>
  <c r="AS19" i="101"/>
  <c r="AS18" i="101"/>
  <c r="AS17" i="101"/>
  <c r="AS16" i="101"/>
  <c r="AS15" i="101"/>
  <c r="AS14" i="101"/>
  <c r="AS13" i="101"/>
  <c r="AS12" i="101"/>
  <c r="AS11" i="101"/>
  <c r="AS8" i="101"/>
  <c r="AR22" i="101"/>
  <c r="AR33" i="101"/>
  <c r="AR32" i="101"/>
  <c r="AR31" i="101"/>
  <c r="AR30" i="101"/>
  <c r="AR29" i="101"/>
  <c r="AR28" i="101"/>
  <c r="AR27" i="101"/>
  <c r="AR26" i="101"/>
  <c r="AR25" i="101"/>
  <c r="AR24" i="101"/>
  <c r="AR23" i="101"/>
  <c r="AR21" i="101"/>
  <c r="AR20" i="101"/>
  <c r="AR19" i="101"/>
  <c r="AR18" i="101"/>
  <c r="AR17" i="101"/>
  <c r="AR16" i="101"/>
  <c r="AR15" i="101"/>
  <c r="AR14" i="101"/>
  <c r="AR13" i="101"/>
  <c r="AR12" i="101"/>
  <c r="AR11" i="101"/>
  <c r="AR8" i="101"/>
  <c r="AQ33" i="101"/>
  <c r="AQ30" i="101"/>
  <c r="AQ29" i="101"/>
  <c r="AQ28" i="101"/>
  <c r="AQ27" i="101"/>
  <c r="AQ26" i="101"/>
  <c r="AQ25" i="101"/>
  <c r="AQ24" i="101"/>
  <c r="AQ23" i="101"/>
  <c r="AQ22" i="101"/>
  <c r="AQ21" i="101"/>
  <c r="AQ20" i="101"/>
  <c r="AQ19" i="101"/>
  <c r="AQ18" i="101"/>
  <c r="AQ17" i="101"/>
  <c r="AQ16" i="101"/>
  <c r="AQ14" i="101"/>
  <c r="AQ13" i="101"/>
  <c r="AQ12" i="101"/>
  <c r="AQ11" i="101"/>
  <c r="AQ8" i="101"/>
  <c r="U13" i="101"/>
  <c r="U12" i="101"/>
  <c r="U11" i="101"/>
  <c r="U10" i="101"/>
  <c r="AY10" i="101" s="1"/>
  <c r="U9" i="101"/>
  <c r="AY9" i="101" s="1"/>
  <c r="U8" i="101"/>
  <c r="AY8" i="101" s="1"/>
  <c r="U7" i="101"/>
  <c r="AY7" i="101" s="1"/>
  <c r="U4" i="101"/>
  <c r="GV14" i="73" l="1"/>
  <c r="GQ15" i="73"/>
  <c r="EJ15" i="73"/>
  <c r="EA15" i="73"/>
  <c r="GD15" i="73"/>
  <c r="FE15" i="73"/>
  <c r="HC15" i="73"/>
  <c r="HF15" i="73"/>
  <c r="EP15" i="73"/>
  <c r="GS15" i="73"/>
  <c r="FL15" i="73"/>
  <c r="HQ15" i="73"/>
  <c r="HI15" i="73"/>
  <c r="HT15" i="73" s="1"/>
  <c r="GF15" i="73"/>
  <c r="HJ15" i="73"/>
  <c r="EO15" i="73"/>
  <c r="EV15" i="73" s="1"/>
  <c r="EW15" i="73"/>
  <c r="FC15" i="73"/>
  <c r="GO15" i="73"/>
  <c r="GT15" i="73" s="1"/>
  <c r="HM15" i="73"/>
  <c r="FY15" i="73"/>
  <c r="FU15" i="73"/>
  <c r="GG15" i="73" s="1"/>
  <c r="FB13" i="73"/>
  <c r="DW15" i="73"/>
  <c r="GZ15" i="73"/>
  <c r="GH15" i="73"/>
  <c r="BB7" i="101"/>
  <c r="BA7" i="101"/>
  <c r="BK7" i="101"/>
  <c r="BT7" i="101"/>
  <c r="AZ7" i="101"/>
  <c r="BL7" i="101"/>
  <c r="BJ7" i="101"/>
  <c r="BU7" i="101"/>
  <c r="BA9" i="101"/>
  <c r="BK9" i="101"/>
  <c r="BT9" i="101"/>
  <c r="BJ9" i="101"/>
  <c r="AZ9" i="101"/>
  <c r="BL9" i="101"/>
  <c r="BU9" i="101"/>
  <c r="BB9" i="101"/>
  <c r="BA10" i="101"/>
  <c r="BU10" i="101"/>
  <c r="BJ10" i="101"/>
  <c r="BT10" i="101"/>
  <c r="AZ10" i="101"/>
  <c r="BK10" i="101"/>
  <c r="BL10" i="101"/>
  <c r="BB10" i="101"/>
  <c r="BB8" i="101"/>
  <c r="BA8" i="101"/>
  <c r="BJ8" i="101"/>
  <c r="AZ8" i="101"/>
  <c r="BK8" i="101"/>
  <c r="BT8" i="101"/>
  <c r="BL8" i="101"/>
  <c r="BU8" i="101"/>
  <c r="BU68" i="101"/>
  <c r="HA14" i="73"/>
  <c r="FH15" i="73"/>
  <c r="DX15" i="73"/>
  <c r="DV15" i="73" s="1"/>
  <c r="CX15" i="73" s="1"/>
  <c r="HQ14" i="73"/>
  <c r="EK14" i="73"/>
  <c r="GE14" i="73"/>
  <c r="GL14" i="73"/>
  <c r="GH14" i="73"/>
  <c r="EW14" i="73"/>
  <c r="HM14" i="73"/>
  <c r="EF14" i="73"/>
  <c r="HP14" i="73"/>
  <c r="DW14" i="73"/>
  <c r="EB14" i="73"/>
  <c r="FA14" i="73"/>
  <c r="EA14" i="73"/>
  <c r="GF14" i="73"/>
  <c r="GQ14" i="73"/>
  <c r="FH13" i="73"/>
  <c r="GM14" i="73"/>
  <c r="GY14" i="73"/>
  <c r="HB14" i="73"/>
  <c r="EQ14" i="73"/>
  <c r="EQ13" i="73"/>
  <c r="EP14" i="73"/>
  <c r="FZ14" i="73"/>
  <c r="HD14" i="73"/>
  <c r="HL14" i="73"/>
  <c r="ER14" i="73"/>
  <c r="HA13" i="73"/>
  <c r="HE14" i="73"/>
  <c r="DX14" i="73"/>
  <c r="GA14" i="73"/>
  <c r="FO13" i="73"/>
  <c r="FH14" i="73"/>
  <c r="GL13" i="73"/>
  <c r="GF13" i="73"/>
  <c r="GC13" i="73"/>
  <c r="EH14" i="73"/>
  <c r="EU14" i="73"/>
  <c r="FP14" i="73"/>
  <c r="GJ14" i="73"/>
  <c r="EC14" i="73"/>
  <c r="EJ13" i="73"/>
  <c r="FE13" i="73"/>
  <c r="DZ14" i="73"/>
  <c r="GU14" i="73"/>
  <c r="FC14" i="73"/>
  <c r="GO14" i="73"/>
  <c r="ET14" i="73"/>
  <c r="GB14" i="73"/>
  <c r="HJ13" i="73"/>
  <c r="HD13" i="73"/>
  <c r="EG13" i="73"/>
  <c r="FS14" i="73"/>
  <c r="GR14" i="73"/>
  <c r="HR14" i="73"/>
  <c r="FJ14" i="73"/>
  <c r="EY14" i="73"/>
  <c r="HC14" i="73"/>
  <c r="HS13" i="73"/>
  <c r="FL14" i="73"/>
  <c r="GX14" i="73"/>
  <c r="FZ13" i="73"/>
  <c r="FX14" i="73"/>
  <c r="HI14" i="73"/>
  <c r="HK14" i="73"/>
  <c r="BU65" i="101"/>
  <c r="BB68" i="101"/>
  <c r="BK68" i="101"/>
  <c r="BL88" i="101"/>
  <c r="BA91" i="101"/>
  <c r="BK84" i="101"/>
  <c r="BL84" i="101"/>
  <c r="BU91" i="101"/>
  <c r="BT68" i="101"/>
  <c r="BK91" i="101"/>
  <c r="BL85" i="101"/>
  <c r="BK82" i="101"/>
  <c r="BU84" i="101"/>
  <c r="AZ82" i="101"/>
  <c r="BA84" i="101"/>
  <c r="BT91" i="101"/>
  <c r="BL82" i="101"/>
  <c r="BA82" i="101"/>
  <c r="BL69" i="101"/>
  <c r="BB91" i="101"/>
  <c r="BT79" i="101"/>
  <c r="AZ65" i="101"/>
  <c r="AZ83" i="101"/>
  <c r="BK96" i="101"/>
  <c r="BK64" i="101"/>
  <c r="BL96" i="101"/>
  <c r="AZ87" i="101"/>
  <c r="AZ64" i="101"/>
  <c r="AZ96" i="101"/>
  <c r="BA64" i="101"/>
  <c r="BK87" i="101"/>
  <c r="AZ72" i="101"/>
  <c r="BU83" i="101"/>
  <c r="BA72" i="101"/>
  <c r="BA87" i="101"/>
  <c r="BU87" i="101"/>
  <c r="BT72" i="101"/>
  <c r="AZ67" i="101"/>
  <c r="BT87" i="101"/>
  <c r="BL87" i="101"/>
  <c r="BL72" i="101"/>
  <c r="BA71" i="101"/>
  <c r="BA96" i="101"/>
  <c r="BB72" i="101"/>
  <c r="BU72" i="101"/>
  <c r="BB71" i="101"/>
  <c r="BB64" i="101"/>
  <c r="BU96" i="101"/>
  <c r="AZ71" i="101"/>
  <c r="BL83" i="101"/>
  <c r="BT83" i="101"/>
  <c r="BT64" i="101"/>
  <c r="AZ70" i="101"/>
  <c r="BT88" i="101"/>
  <c r="BB65" i="101"/>
  <c r="BL64" i="101"/>
  <c r="AZ79" i="101"/>
  <c r="BT90" i="101"/>
  <c r="AZ90" i="101"/>
  <c r="BL90" i="101"/>
  <c r="BU90" i="101"/>
  <c r="BA90" i="101"/>
  <c r="BB90" i="101"/>
  <c r="BK90" i="101"/>
  <c r="BK80" i="101"/>
  <c r="BT75" i="101"/>
  <c r="BT74" i="101"/>
  <c r="BA92" i="101"/>
  <c r="BL75" i="101"/>
  <c r="AZ74" i="101"/>
  <c r="BU80" i="101"/>
  <c r="BU74" i="101"/>
  <c r="AZ76" i="101"/>
  <c r="BT76" i="101"/>
  <c r="BK76" i="101"/>
  <c r="BL76" i="101"/>
  <c r="BU76" i="101"/>
  <c r="BB76" i="101"/>
  <c r="BA76" i="101"/>
  <c r="BB80" i="101"/>
  <c r="BU85" i="101"/>
  <c r="BT71" i="101"/>
  <c r="BT92" i="101"/>
  <c r="BK95" i="101"/>
  <c r="BT80" i="101"/>
  <c r="BK85" i="101"/>
  <c r="BU71" i="101"/>
  <c r="AZ92" i="101"/>
  <c r="BL92" i="101"/>
  <c r="BL95" i="101"/>
  <c r="BL74" i="101"/>
  <c r="BK69" i="101"/>
  <c r="BK71" i="101"/>
  <c r="BA65" i="101"/>
  <c r="BL67" i="101"/>
  <c r="BU67" i="101"/>
  <c r="BA94" i="101"/>
  <c r="BK94" i="101"/>
  <c r="BT67" i="101"/>
  <c r="BK75" i="101"/>
  <c r="BA69" i="101"/>
  <c r="AZ94" i="101"/>
  <c r="BU95" i="101"/>
  <c r="BB67" i="101"/>
  <c r="BT70" i="101"/>
  <c r="BK86" i="101"/>
  <c r="BB70" i="101"/>
  <c r="BB73" i="101"/>
  <c r="BU69" i="101"/>
  <c r="BL80" i="101"/>
  <c r="BA74" i="101"/>
  <c r="BA85" i="101"/>
  <c r="BT82" i="101"/>
  <c r="BA70" i="101"/>
  <c r="BT86" i="101"/>
  <c r="AZ73" i="101"/>
  <c r="BL93" i="101"/>
  <c r="BB95" i="101"/>
  <c r="BB96" i="101"/>
  <c r="AZ85" i="101"/>
  <c r="BU70" i="101"/>
  <c r="BK79" i="101"/>
  <c r="AZ86" i="101"/>
  <c r="BB69" i="101"/>
  <c r="BU93" i="101"/>
  <c r="BA95" i="101"/>
  <c r="BL94" i="101"/>
  <c r="BB93" i="101"/>
  <c r="BT94" i="101"/>
  <c r="BK70" i="101"/>
  <c r="BL79" i="101"/>
  <c r="BB86" i="101"/>
  <c r="BT73" i="101"/>
  <c r="BU81" i="101"/>
  <c r="BK81" i="101"/>
  <c r="BL81" i="101"/>
  <c r="BA81" i="101"/>
  <c r="AZ81" i="101"/>
  <c r="BT81" i="101"/>
  <c r="BB81" i="101"/>
  <c r="BK67" i="101"/>
  <c r="AZ95" i="101"/>
  <c r="BK74" i="101"/>
  <c r="BU75" i="101"/>
  <c r="BA86" i="101"/>
  <c r="BA73" i="101"/>
  <c r="BT93" i="101"/>
  <c r="BU82" i="101"/>
  <c r="BU94" i="101"/>
  <c r="BL65" i="101"/>
  <c r="BK92" i="101"/>
  <c r="BT85" i="101"/>
  <c r="BL86" i="101"/>
  <c r="BA79" i="101"/>
  <c r="BA75" i="101"/>
  <c r="BU73" i="101"/>
  <c r="BK83" i="101"/>
  <c r="BL68" i="101"/>
  <c r="BK65" i="101"/>
  <c r="AZ68" i="101"/>
  <c r="BB89" i="101"/>
  <c r="BK89" i="101"/>
  <c r="AZ89" i="101"/>
  <c r="BA89" i="101"/>
  <c r="BL89" i="101"/>
  <c r="BU89" i="101"/>
  <c r="BT89" i="101"/>
  <c r="BA80" i="101"/>
  <c r="BA93" i="101"/>
  <c r="BL91" i="101"/>
  <c r="BU79" i="101"/>
  <c r="BB75" i="101"/>
  <c r="BK73" i="101"/>
  <c r="BA83" i="101"/>
  <c r="AZ69" i="101"/>
  <c r="BK93" i="101"/>
  <c r="BB83" i="101"/>
  <c r="BT84" i="101"/>
  <c r="BB84" i="101"/>
  <c r="BU92" i="101"/>
  <c r="BU66" i="101"/>
  <c r="BB66" i="101"/>
  <c r="BA66" i="101"/>
  <c r="BL66" i="101"/>
  <c r="BK66" i="101"/>
  <c r="AZ66" i="101"/>
  <c r="BT66" i="101"/>
  <c r="BA68" i="101"/>
  <c r="IJ15" i="73"/>
  <c r="CW15" i="73" s="1"/>
  <c r="CZ15" i="73" s="1"/>
  <c r="FM14" i="73"/>
  <c r="EG14" i="73"/>
  <c r="ED14" i="73"/>
  <c r="EJ14" i="73"/>
  <c r="HO14" i="73"/>
  <c r="HH14" i="73"/>
  <c r="FW14" i="73"/>
  <c r="GK14" i="73"/>
  <c r="EE14" i="73"/>
  <c r="FG14" i="73"/>
  <c r="FN14" i="73"/>
  <c r="FY14" i="73"/>
  <c r="ES14" i="73"/>
  <c r="EL14" i="73"/>
  <c r="EX14" i="73"/>
  <c r="FV14" i="73"/>
  <c r="FO14" i="73"/>
  <c r="DY14" i="73"/>
  <c r="FI14" i="73"/>
  <c r="EZ14" i="73"/>
  <c r="EO14" i="73"/>
  <c r="GP14" i="73"/>
  <c r="GN14" i="73"/>
  <c r="GS14" i="73"/>
  <c r="FD14" i="73"/>
  <c r="EN14" i="73"/>
  <c r="FT14" i="73"/>
  <c r="FU14" i="73"/>
  <c r="GC14" i="73"/>
  <c r="GI14" i="73"/>
  <c r="FB14" i="73"/>
  <c r="GD14" i="73"/>
  <c r="HJ14" i="73"/>
  <c r="FK14" i="73"/>
  <c r="FE14" i="73"/>
  <c r="EM14" i="73"/>
  <c r="HN14" i="73"/>
  <c r="GZ14" i="73"/>
  <c r="FR14" i="73"/>
  <c r="FQ14" i="73"/>
  <c r="HG15" i="73"/>
  <c r="FF14" i="73"/>
  <c r="GW14" i="73"/>
  <c r="HS14" i="73"/>
  <c r="FT13" i="73"/>
  <c r="EO13" i="73"/>
  <c r="DX13" i="73"/>
  <c r="GJ13" i="73"/>
  <c r="GE13" i="73"/>
  <c r="FD13" i="73"/>
  <c r="GW13" i="73"/>
  <c r="HO13" i="73"/>
  <c r="FL13" i="73"/>
  <c r="FG13" i="73"/>
  <c r="EF13" i="73"/>
  <c r="FY13" i="73"/>
  <c r="HP13" i="73"/>
  <c r="EY13" i="73"/>
  <c r="GQ13" i="73"/>
  <c r="EN13" i="73"/>
  <c r="HM13" i="73"/>
  <c r="DZ13" i="73"/>
  <c r="FA13" i="73"/>
  <c r="FS13" i="73"/>
  <c r="GS13" i="73"/>
  <c r="ER13" i="73"/>
  <c r="GO13" i="73"/>
  <c r="EC13" i="73"/>
  <c r="GK13" i="73"/>
  <c r="FM13" i="73"/>
  <c r="DW13" i="73"/>
  <c r="FK13" i="73"/>
  <c r="EK13" i="73"/>
  <c r="FI13" i="73"/>
  <c r="EP13" i="73"/>
  <c r="HR13" i="73"/>
  <c r="EU13" i="73"/>
  <c r="HN13" i="73"/>
  <c r="EM13" i="73"/>
  <c r="HB13" i="73"/>
  <c r="GY13" i="73"/>
  <c r="FU13" i="73"/>
  <c r="GR13" i="73"/>
  <c r="HC13" i="73"/>
  <c r="FR13" i="73"/>
  <c r="HF13" i="73"/>
  <c r="FF13" i="73"/>
  <c r="FC13" i="73"/>
  <c r="HQ13" i="73"/>
  <c r="FP13" i="73"/>
  <c r="GP13" i="73"/>
  <c r="HI13" i="73"/>
  <c r="GD13" i="73"/>
  <c r="GA13" i="73"/>
  <c r="ET13" i="73"/>
  <c r="GH13" i="73"/>
  <c r="EH13" i="73"/>
  <c r="EE13" i="73"/>
  <c r="FX13" i="73"/>
  <c r="FJ13" i="73"/>
  <c r="EZ13" i="73"/>
  <c r="GU13" i="73"/>
  <c r="EA13" i="73"/>
  <c r="EX13" i="73"/>
  <c r="EL13" i="73"/>
  <c r="FV13" i="73"/>
  <c r="DY13" i="73"/>
  <c r="GV13" i="73"/>
  <c r="FQ13" i="73"/>
  <c r="ES13" i="73"/>
  <c r="FN13" i="73"/>
  <c r="GB13" i="73"/>
  <c r="GI13" i="73"/>
  <c r="EW13" i="73"/>
  <c r="HK13" i="73"/>
  <c r="FW13" i="73"/>
  <c r="HL13" i="73"/>
  <c r="GN13" i="73"/>
  <c r="GZ13" i="73"/>
  <c r="GM13" i="73"/>
  <c r="HH13" i="73"/>
  <c r="HE13" i="73"/>
  <c r="HV15" i="73"/>
  <c r="CV15" i="73" s="1"/>
  <c r="CY15" i="73" s="1"/>
  <c r="IJ14" i="73"/>
  <c r="CW14" i="73" s="1"/>
  <c r="HV14" i="73"/>
  <c r="CV14" i="73" s="1"/>
  <c r="CY14" i="73" s="1"/>
  <c r="CS14" i="73"/>
  <c r="BQ53" i="101"/>
  <c r="BS53" i="101" s="1"/>
  <c r="AD7" i="101"/>
  <c r="AO7" i="101"/>
  <c r="AE7" i="101"/>
  <c r="AF7" i="101"/>
  <c r="AJ7" i="101"/>
  <c r="AG7" i="101"/>
  <c r="AH7" i="101"/>
  <c r="AI7" i="101"/>
  <c r="AK7" i="101"/>
  <c r="AM7" i="101"/>
  <c r="AL7" i="101"/>
  <c r="AN7" i="101"/>
  <c r="AH8" i="101"/>
  <c r="AJ8" i="101"/>
  <c r="AK8" i="101"/>
  <c r="AF8" i="101"/>
  <c r="AI8" i="101"/>
  <c r="AN8" i="101"/>
  <c r="AO8" i="101"/>
  <c r="AD8" i="101"/>
  <c r="AE8" i="101"/>
  <c r="AG8" i="101"/>
  <c r="AL8" i="101"/>
  <c r="AM8" i="101"/>
  <c r="AD9" i="101"/>
  <c r="AE9" i="101"/>
  <c r="AO9" i="101"/>
  <c r="AF9" i="101"/>
  <c r="AJ9" i="101"/>
  <c r="AG9" i="101"/>
  <c r="AI9" i="101"/>
  <c r="AK9" i="101"/>
  <c r="AN9" i="101"/>
  <c r="AH9" i="101"/>
  <c r="AM9" i="101"/>
  <c r="AL9" i="101"/>
  <c r="AK10" i="101"/>
  <c r="AL10" i="101"/>
  <c r="AG10" i="101"/>
  <c r="AD10" i="101"/>
  <c r="AH10" i="101"/>
  <c r="AF10" i="101"/>
  <c r="AN10" i="101"/>
  <c r="AO10" i="101"/>
  <c r="AE10" i="101"/>
  <c r="AM10" i="101"/>
  <c r="AI10" i="101"/>
  <c r="AJ10" i="101"/>
  <c r="AD4" i="101"/>
  <c r="AJ4" i="101"/>
  <c r="AH4" i="101"/>
  <c r="AM4" i="101"/>
  <c r="AN4" i="101"/>
  <c r="AO4" i="101"/>
  <c r="AE4" i="101"/>
  <c r="AF4" i="101"/>
  <c r="AK4" i="101"/>
  <c r="AL4" i="101"/>
  <c r="AG4" i="101"/>
  <c r="AI4" i="101"/>
  <c r="Y4" i="101"/>
  <c r="Y7" i="101"/>
  <c r="Y8" i="101"/>
  <c r="Y13" i="101"/>
  <c r="Y9" i="101"/>
  <c r="Y10" i="101"/>
  <c r="Y11" i="101"/>
  <c r="Y12" i="101"/>
  <c r="W7" i="101"/>
  <c r="AF11" i="101"/>
  <c r="W11" i="101"/>
  <c r="AL12" i="101"/>
  <c r="AB8" i="101"/>
  <c r="AC8" i="101" s="1"/>
  <c r="W8" i="101"/>
  <c r="AH13" i="101"/>
  <c r="BI19" i="101"/>
  <c r="BI8" i="101"/>
  <c r="BI27" i="101"/>
  <c r="BI26" i="101"/>
  <c r="BI33" i="101"/>
  <c r="BI14" i="101"/>
  <c r="BI20" i="101"/>
  <c r="BI24" i="101"/>
  <c r="BI30" i="101"/>
  <c r="BI32" i="101"/>
  <c r="BI21" i="101"/>
  <c r="BI25" i="101"/>
  <c r="BI28" i="101"/>
  <c r="BI22" i="101"/>
  <c r="BI11" i="101"/>
  <c r="V13" i="101"/>
  <c r="BI13" i="101"/>
  <c r="V12" i="101"/>
  <c r="BI12" i="101"/>
  <c r="V11" i="101"/>
  <c r="V4" i="101"/>
  <c r="V10" i="101"/>
  <c r="BI17" i="101"/>
  <c r="V9" i="101"/>
  <c r="BI29" i="101"/>
  <c r="V8" i="101"/>
  <c r="V7" i="101"/>
  <c r="BI18" i="101"/>
  <c r="BI16" i="101"/>
  <c r="AD11" i="101"/>
  <c r="Z4" i="101"/>
  <c r="AN12" i="101"/>
  <c r="AF13" i="101"/>
  <c r="AE13" i="101"/>
  <c r="Z12" i="101"/>
  <c r="AA12" i="101" s="1"/>
  <c r="AG13" i="101"/>
  <c r="AE11" i="101"/>
  <c r="AO12" i="101"/>
  <c r="AD13" i="101"/>
  <c r="AM12" i="101"/>
  <c r="AB12" i="101"/>
  <c r="AC12" i="101" s="1"/>
  <c r="AJ12" i="101"/>
  <c r="Z10" i="101"/>
  <c r="AI12" i="101"/>
  <c r="AH12" i="101"/>
  <c r="AO11" i="101"/>
  <c r="AN11" i="101"/>
  <c r="Z13" i="101"/>
  <c r="AA13" i="101" s="1"/>
  <c r="AF12" i="101"/>
  <c r="AM11" i="101"/>
  <c r="AL11" i="101"/>
  <c r="AN13" i="101"/>
  <c r="Z9" i="101"/>
  <c r="AK11" i="101"/>
  <c r="AM13" i="101"/>
  <c r="AK12" i="101"/>
  <c r="AG12" i="101"/>
  <c r="AD12" i="101"/>
  <c r="AJ11" i="101"/>
  <c r="AL13" i="101"/>
  <c r="AB11" i="101"/>
  <c r="AC11" i="101" s="1"/>
  <c r="AE12" i="101"/>
  <c r="AI11" i="101"/>
  <c r="AK13" i="101"/>
  <c r="Z7" i="101"/>
  <c r="Z11" i="101"/>
  <c r="AA11" i="101" s="1"/>
  <c r="AH11" i="101"/>
  <c r="AJ13" i="101"/>
  <c r="AG11" i="101"/>
  <c r="AI13" i="101"/>
  <c r="AO13" i="101"/>
  <c r="Z8" i="101"/>
  <c r="CW45" i="100"/>
  <c r="CQ45" i="100"/>
  <c r="CW44" i="100"/>
  <c r="CW46" i="100" s="1"/>
  <c r="CQ44" i="100"/>
  <c r="CQ46" i="100" s="1"/>
  <c r="CQ41" i="100"/>
  <c r="CP41" i="100"/>
  <c r="CQ40" i="100"/>
  <c r="CP40" i="100"/>
  <c r="CQ39" i="100"/>
  <c r="CP39" i="100"/>
  <c r="CQ38" i="100"/>
  <c r="CP38" i="100"/>
  <c r="DA34" i="100"/>
  <c r="CW27" i="100"/>
  <c r="CU27" i="100"/>
  <c r="CT27" i="100"/>
  <c r="CR27" i="100"/>
  <c r="CQ27" i="100"/>
  <c r="CO27" i="100"/>
  <c r="CW26" i="100"/>
  <c r="CU26" i="100"/>
  <c r="CT26" i="100"/>
  <c r="CR26" i="100"/>
  <c r="CQ26" i="100"/>
  <c r="CO26" i="100"/>
  <c r="CW25" i="100"/>
  <c r="CU25" i="100"/>
  <c r="CT25" i="100"/>
  <c r="CR25" i="100"/>
  <c r="CQ25" i="100"/>
  <c r="CO25" i="100"/>
  <c r="CW24" i="100"/>
  <c r="CU24" i="100"/>
  <c r="CT24" i="100"/>
  <c r="CR24" i="100"/>
  <c r="CQ24" i="100"/>
  <c r="CO24" i="100"/>
  <c r="IV15" i="100"/>
  <c r="IU15" i="100"/>
  <c r="IT15" i="100"/>
  <c r="IS15" i="100"/>
  <c r="IR15" i="100"/>
  <c r="IQ15" i="100"/>
  <c r="IP15" i="100"/>
  <c r="IO15" i="100"/>
  <c r="IN15" i="100"/>
  <c r="HY15" i="100"/>
  <c r="HX15" i="100"/>
  <c r="DS15" i="100"/>
  <c r="DR15" i="100"/>
  <c r="DQ15" i="100"/>
  <c r="DP15" i="100"/>
  <c r="DO15" i="100"/>
  <c r="DN15" i="100"/>
  <c r="DM15" i="100"/>
  <c r="IM15" i="100" s="1"/>
  <c r="DK15" i="100"/>
  <c r="DJ15" i="100"/>
  <c r="DI15" i="100"/>
  <c r="DH15" i="100"/>
  <c r="DG15" i="100"/>
  <c r="DF15" i="100"/>
  <c r="DE15" i="100"/>
  <c r="CU15" i="100"/>
  <c r="CT15" i="100"/>
  <c r="CK15" i="100"/>
  <c r="CD15" i="100"/>
  <c r="IV14" i="100"/>
  <c r="IU14" i="100"/>
  <c r="IT14" i="100"/>
  <c r="IS14" i="100"/>
  <c r="IR14" i="100"/>
  <c r="IQ14" i="100"/>
  <c r="IP14" i="100"/>
  <c r="IO14" i="100"/>
  <c r="HZ14" i="100"/>
  <c r="HY14" i="100"/>
  <c r="HX14" i="100"/>
  <c r="HW14" i="100"/>
  <c r="DS14" i="100"/>
  <c r="DR14" i="100"/>
  <c r="DQ14" i="100"/>
  <c r="DP14" i="100"/>
  <c r="DO14" i="100"/>
  <c r="DN14" i="100"/>
  <c r="DM14" i="100"/>
  <c r="IN14" i="100" s="1"/>
  <c r="DK14" i="100"/>
  <c r="DJ14" i="100"/>
  <c r="DI14" i="100"/>
  <c r="DH14" i="100"/>
  <c r="DG14" i="100"/>
  <c r="DF14" i="100"/>
  <c r="DE14" i="100"/>
  <c r="CU14" i="100"/>
  <c r="CT14" i="100"/>
  <c r="CK14" i="100"/>
  <c r="CD14" i="100"/>
  <c r="CH14" i="100" s="1"/>
  <c r="IV13" i="100"/>
  <c r="IU13" i="100"/>
  <c r="IT13" i="100"/>
  <c r="IS13" i="100"/>
  <c r="IR13" i="100"/>
  <c r="IB13" i="100"/>
  <c r="IA13" i="100"/>
  <c r="HZ13" i="100"/>
  <c r="HY13" i="100"/>
  <c r="HX13" i="100"/>
  <c r="DS13" i="100"/>
  <c r="DR13" i="100"/>
  <c r="DQ13" i="100"/>
  <c r="DP13" i="100"/>
  <c r="DO13" i="100"/>
  <c r="DN13" i="100"/>
  <c r="DM13" i="100"/>
  <c r="IQ13" i="100" s="1"/>
  <c r="DK13" i="100"/>
  <c r="DJ13" i="100"/>
  <c r="DI13" i="100"/>
  <c r="DH13" i="100"/>
  <c r="DG13" i="100"/>
  <c r="DF13" i="100"/>
  <c r="DE13" i="100"/>
  <c r="CU13" i="100"/>
  <c r="CT13" i="100"/>
  <c r="CK13" i="100"/>
  <c r="CD13" i="100"/>
  <c r="CI13" i="100" s="1"/>
  <c r="CW45" i="99"/>
  <c r="CQ45" i="99"/>
  <c r="CW44" i="99"/>
  <c r="CW46" i="99" s="1"/>
  <c r="CQ44" i="99"/>
  <c r="CQ46" i="99" s="1"/>
  <c r="CQ41" i="99"/>
  <c r="CP41" i="99"/>
  <c r="CQ40" i="99"/>
  <c r="CP40" i="99"/>
  <c r="CQ39" i="99"/>
  <c r="CP39" i="99"/>
  <c r="CQ38" i="99"/>
  <c r="CP38" i="99"/>
  <c r="DA34" i="99"/>
  <c r="CW27" i="99"/>
  <c r="CU27" i="99"/>
  <c r="CT27" i="99"/>
  <c r="CR27" i="99"/>
  <c r="CQ27" i="99"/>
  <c r="CO27" i="99"/>
  <c r="CW26" i="99"/>
  <c r="CU26" i="99"/>
  <c r="CT26" i="99"/>
  <c r="CR26" i="99"/>
  <c r="CQ26" i="99"/>
  <c r="CO26" i="99"/>
  <c r="CW25" i="99"/>
  <c r="CU25" i="99"/>
  <c r="CT25" i="99"/>
  <c r="CR25" i="99"/>
  <c r="CQ25" i="99"/>
  <c r="CO25" i="99"/>
  <c r="CW24" i="99"/>
  <c r="CU24" i="99"/>
  <c r="CT24" i="99"/>
  <c r="CR24" i="99"/>
  <c r="CQ24" i="99"/>
  <c r="CO24" i="99"/>
  <c r="IV15" i="99"/>
  <c r="IU15" i="99"/>
  <c r="IT15" i="99"/>
  <c r="IS15" i="99"/>
  <c r="IR15" i="99"/>
  <c r="IQ15" i="99"/>
  <c r="IN15" i="99"/>
  <c r="IA15" i="99"/>
  <c r="HZ15" i="99"/>
  <c r="DS15" i="99"/>
  <c r="DR15" i="99"/>
  <c r="DQ15" i="99"/>
  <c r="DP15" i="99"/>
  <c r="DO15" i="99"/>
  <c r="DN15" i="99"/>
  <c r="DM15" i="99"/>
  <c r="IM15" i="99" s="1"/>
  <c r="DK15" i="99"/>
  <c r="DJ15" i="99"/>
  <c r="DI15" i="99"/>
  <c r="DH15" i="99"/>
  <c r="DG15" i="99"/>
  <c r="DE15" i="99" s="1"/>
  <c r="DF15" i="99"/>
  <c r="CU15" i="99"/>
  <c r="CT15" i="99"/>
  <c r="CK15" i="99"/>
  <c r="CD15" i="99"/>
  <c r="CF15" i="99" s="1"/>
  <c r="IV14" i="99"/>
  <c r="IU14" i="99"/>
  <c r="IT14" i="99"/>
  <c r="IS14" i="99"/>
  <c r="IR14" i="99"/>
  <c r="DS14" i="99"/>
  <c r="DR14" i="99"/>
  <c r="DQ14" i="99"/>
  <c r="DP14" i="99"/>
  <c r="DO14" i="99"/>
  <c r="DN14" i="99"/>
  <c r="DM14" i="99"/>
  <c r="IN14" i="99" s="1"/>
  <c r="DK14" i="99"/>
  <c r="DJ14" i="99"/>
  <c r="DI14" i="99"/>
  <c r="DH14" i="99"/>
  <c r="DE14" i="99" s="1"/>
  <c r="DG14" i="99"/>
  <c r="DF14" i="99"/>
  <c r="CU14" i="99"/>
  <c r="CT14" i="99"/>
  <c r="CK14" i="99"/>
  <c r="CD14" i="99"/>
  <c r="CJ14" i="99" s="1"/>
  <c r="DS13" i="99"/>
  <c r="DR13" i="99"/>
  <c r="DQ13" i="99"/>
  <c r="DP13" i="99"/>
  <c r="DO13" i="99"/>
  <c r="DN13" i="99"/>
  <c r="BC32" i="101" s="1"/>
  <c r="DM13" i="99"/>
  <c r="BO32" i="101" s="1"/>
  <c r="DK13" i="99"/>
  <c r="DJ13" i="99"/>
  <c r="DI13" i="99"/>
  <c r="DH13" i="99"/>
  <c r="DG13" i="99"/>
  <c r="DF13" i="99"/>
  <c r="CU13" i="99"/>
  <c r="CT13" i="99"/>
  <c r="CK13" i="99"/>
  <c r="CD13" i="99"/>
  <c r="CW45" i="98"/>
  <c r="CQ45" i="98"/>
  <c r="CW44" i="98"/>
  <c r="CW46" i="98" s="1"/>
  <c r="CQ44" i="98"/>
  <c r="CQ46" i="98" s="1"/>
  <c r="CQ41" i="98"/>
  <c r="CP41" i="98"/>
  <c r="CQ40" i="98"/>
  <c r="CP40" i="98"/>
  <c r="CQ39" i="98"/>
  <c r="CP39" i="98"/>
  <c r="CQ38" i="98"/>
  <c r="CP38" i="98"/>
  <c r="DA34" i="98"/>
  <c r="CW27" i="98"/>
  <c r="CU27" i="98"/>
  <c r="CT27" i="98"/>
  <c r="CR27" i="98"/>
  <c r="CQ27" i="98"/>
  <c r="CO27" i="98"/>
  <c r="CW26" i="98"/>
  <c r="CU26" i="98"/>
  <c r="CT26" i="98"/>
  <c r="CR26" i="98"/>
  <c r="CQ26" i="98"/>
  <c r="CO26" i="98"/>
  <c r="CW25" i="98"/>
  <c r="CU25" i="98"/>
  <c r="CT25" i="98"/>
  <c r="CR25" i="98"/>
  <c r="CQ25" i="98"/>
  <c r="CO25" i="98"/>
  <c r="CW24" i="98"/>
  <c r="CU24" i="98"/>
  <c r="CT24" i="98"/>
  <c r="CR24" i="98"/>
  <c r="CQ24" i="98"/>
  <c r="CO24" i="98"/>
  <c r="IQ15" i="98"/>
  <c r="IP15" i="98"/>
  <c r="HW15" i="98"/>
  <c r="DS15" i="98"/>
  <c r="DR15" i="98"/>
  <c r="DQ15" i="98"/>
  <c r="DP15" i="98"/>
  <c r="DO15" i="98"/>
  <c r="DN15" i="98"/>
  <c r="DM15" i="98" s="1"/>
  <c r="DK15" i="98"/>
  <c r="DJ15" i="98"/>
  <c r="DI15" i="98"/>
  <c r="DH15" i="98"/>
  <c r="DG15" i="98"/>
  <c r="DF15" i="98"/>
  <c r="DE15" i="98"/>
  <c r="IH15" i="98" s="1"/>
  <c r="CU15" i="98"/>
  <c r="CT15" i="98"/>
  <c r="CK15" i="98"/>
  <c r="CD15" i="98"/>
  <c r="CE15" i="98" s="1"/>
  <c r="IS14" i="98"/>
  <c r="IR14" i="98"/>
  <c r="IQ14" i="98"/>
  <c r="IP14" i="98"/>
  <c r="IO14" i="98"/>
  <c r="HW14" i="98"/>
  <c r="DS14" i="98"/>
  <c r="DR14" i="98"/>
  <c r="DQ14" i="98"/>
  <c r="DP14" i="98"/>
  <c r="DO14" i="98"/>
  <c r="DM14" i="98" s="1"/>
  <c r="DN14" i="98"/>
  <c r="DK14" i="98"/>
  <c r="DJ14" i="98"/>
  <c r="DI14" i="98"/>
  <c r="DH14" i="98"/>
  <c r="DG14" i="98"/>
  <c r="DF14" i="98"/>
  <c r="DE14" i="98"/>
  <c r="IH14" i="98" s="1"/>
  <c r="CU14" i="98"/>
  <c r="CT14" i="98"/>
  <c r="CK14" i="98"/>
  <c r="CD14" i="98"/>
  <c r="CH14" i="98" s="1"/>
  <c r="DS13" i="98"/>
  <c r="DR13" i="98"/>
  <c r="DQ13" i="98"/>
  <c r="DP13" i="98"/>
  <c r="DO13" i="98"/>
  <c r="DN13" i="98"/>
  <c r="BC31" i="101" s="1"/>
  <c r="BI31" i="101" s="1"/>
  <c r="DK13" i="98"/>
  <c r="DJ13" i="98"/>
  <c r="DI13" i="98"/>
  <c r="DH13" i="98"/>
  <c r="DG13" i="98"/>
  <c r="DF13" i="98"/>
  <c r="AQ31" i="101" s="1"/>
  <c r="CU13" i="98"/>
  <c r="CT13" i="98"/>
  <c r="CK13" i="98"/>
  <c r="CD13" i="98"/>
  <c r="CW45" i="97"/>
  <c r="CQ45" i="97"/>
  <c r="CW44" i="97"/>
  <c r="CW46" i="97" s="1"/>
  <c r="CQ44" i="97"/>
  <c r="CQ46" i="97" s="1"/>
  <c r="CQ41" i="97"/>
  <c r="CP41" i="97"/>
  <c r="CQ40" i="97"/>
  <c r="CP40" i="97"/>
  <c r="CQ39" i="97"/>
  <c r="CP39" i="97"/>
  <c r="CQ38" i="97"/>
  <c r="CP38" i="97"/>
  <c r="DA34" i="97"/>
  <c r="CW27" i="97"/>
  <c r="CU27" i="97"/>
  <c r="CT27" i="97"/>
  <c r="CR27" i="97"/>
  <c r="CQ27" i="97"/>
  <c r="CO27" i="97"/>
  <c r="CW26" i="97"/>
  <c r="CU26" i="97"/>
  <c r="CT26" i="97"/>
  <c r="CR26" i="97"/>
  <c r="CQ26" i="97"/>
  <c r="CO26" i="97"/>
  <c r="CW25" i="97"/>
  <c r="CU25" i="97"/>
  <c r="CT25" i="97"/>
  <c r="CR25" i="97"/>
  <c r="CQ25" i="97"/>
  <c r="CO25" i="97"/>
  <c r="CW24" i="97"/>
  <c r="CU24" i="97"/>
  <c r="CT24" i="97"/>
  <c r="CR24" i="97"/>
  <c r="CQ24" i="97"/>
  <c r="CO24" i="97"/>
  <c r="IQ15" i="97"/>
  <c r="IP15" i="97"/>
  <c r="IO15" i="97"/>
  <c r="IN15" i="97"/>
  <c r="HX15" i="97"/>
  <c r="DS15" i="97"/>
  <c r="DR15" i="97"/>
  <c r="DQ15" i="97"/>
  <c r="DP15" i="97"/>
  <c r="DO15" i="97"/>
  <c r="DN15" i="97"/>
  <c r="DM15" i="97" s="1"/>
  <c r="DK15" i="97"/>
  <c r="DJ15" i="97"/>
  <c r="DI15" i="97"/>
  <c r="DH15" i="97"/>
  <c r="DG15" i="97"/>
  <c r="DF15" i="97"/>
  <c r="DE15" i="97"/>
  <c r="CU15" i="97"/>
  <c r="CT15" i="97"/>
  <c r="CK15" i="97"/>
  <c r="CD15" i="97"/>
  <c r="CI15" i="97" s="1"/>
  <c r="IR14" i="97"/>
  <c r="IQ14" i="97"/>
  <c r="IP14" i="97"/>
  <c r="IO14" i="97"/>
  <c r="DS14" i="97"/>
  <c r="DR14" i="97"/>
  <c r="DQ14" i="97"/>
  <c r="DP14" i="97"/>
  <c r="DM14" i="97" s="1"/>
  <c r="DO14" i="97"/>
  <c r="DN14" i="97"/>
  <c r="DK14" i="97"/>
  <c r="DJ14" i="97"/>
  <c r="DI14" i="97"/>
  <c r="DH14" i="97"/>
  <c r="DG14" i="97"/>
  <c r="DF14" i="97"/>
  <c r="DE14" i="97" s="1"/>
  <c r="CU14" i="97"/>
  <c r="CT14" i="97"/>
  <c r="CK14" i="97"/>
  <c r="CD14" i="97"/>
  <c r="CG14" i="97" s="1"/>
  <c r="IV13" i="97"/>
  <c r="IU13" i="97"/>
  <c r="IT13" i="97"/>
  <c r="IS13" i="97"/>
  <c r="IR13" i="97"/>
  <c r="IB13" i="97"/>
  <c r="HW13" i="97"/>
  <c r="DS13" i="97"/>
  <c r="DR13" i="97"/>
  <c r="DQ13" i="97"/>
  <c r="DP13" i="97"/>
  <c r="DO13" i="97"/>
  <c r="DN13" i="97"/>
  <c r="DM13" i="97"/>
  <c r="IQ13" i="97" s="1"/>
  <c r="DK13" i="97"/>
  <c r="DJ13" i="97"/>
  <c r="DI13" i="97"/>
  <c r="DE13" i="97" s="1"/>
  <c r="IC13" i="97" s="1"/>
  <c r="DH13" i="97"/>
  <c r="DG13" i="97"/>
  <c r="DF13" i="97"/>
  <c r="CU13" i="97"/>
  <c r="CT13" i="97"/>
  <c r="CK13" i="97"/>
  <c r="CD13" i="97"/>
  <c r="CW45" i="96"/>
  <c r="CQ45" i="96"/>
  <c r="CW44" i="96"/>
  <c r="CW46" i="96" s="1"/>
  <c r="CQ44" i="96"/>
  <c r="CQ46" i="96" s="1"/>
  <c r="CQ41" i="96"/>
  <c r="CP41" i="96"/>
  <c r="CQ40" i="96"/>
  <c r="CP40" i="96"/>
  <c r="CQ39" i="96"/>
  <c r="CP39" i="96"/>
  <c r="CQ38" i="96"/>
  <c r="CP38" i="96"/>
  <c r="DA34" i="96"/>
  <c r="CW27" i="96"/>
  <c r="CU27" i="96"/>
  <c r="CT27" i="96"/>
  <c r="CR27" i="96"/>
  <c r="CQ27" i="96"/>
  <c r="CO27" i="96"/>
  <c r="CW26" i="96"/>
  <c r="CU26" i="96"/>
  <c r="CT26" i="96"/>
  <c r="CR26" i="96"/>
  <c r="CQ26" i="96"/>
  <c r="CO26" i="96"/>
  <c r="CW25" i="96"/>
  <c r="CU25" i="96"/>
  <c r="CT25" i="96"/>
  <c r="CR25" i="96"/>
  <c r="CQ25" i="96"/>
  <c r="CO25" i="96"/>
  <c r="CW24" i="96"/>
  <c r="CU24" i="96"/>
  <c r="CT24" i="96"/>
  <c r="CR24" i="96"/>
  <c r="CQ24" i="96"/>
  <c r="CO24" i="96"/>
  <c r="IP15" i="96"/>
  <c r="IO15" i="96"/>
  <c r="IN15" i="96"/>
  <c r="IA15" i="96"/>
  <c r="HZ15" i="96"/>
  <c r="DS15" i="96"/>
  <c r="DR15" i="96"/>
  <c r="DQ15" i="96"/>
  <c r="DP15" i="96"/>
  <c r="DM15" i="96" s="1"/>
  <c r="DO15" i="96"/>
  <c r="DN15" i="96"/>
  <c r="DK15" i="96"/>
  <c r="DJ15" i="96"/>
  <c r="DI15" i="96"/>
  <c r="DH15" i="96"/>
  <c r="DG15" i="96"/>
  <c r="DF15" i="96"/>
  <c r="DE15" i="96"/>
  <c r="CU15" i="96"/>
  <c r="CT15" i="96"/>
  <c r="CK15" i="96"/>
  <c r="CD15" i="96"/>
  <c r="CH15" i="96" s="1"/>
  <c r="IV14" i="96"/>
  <c r="IU14" i="96"/>
  <c r="IT14" i="96"/>
  <c r="IS14" i="96"/>
  <c r="IR14" i="96"/>
  <c r="IQ14" i="96"/>
  <c r="IP14" i="96"/>
  <c r="IO14" i="96"/>
  <c r="DS14" i="96"/>
  <c r="DR14" i="96"/>
  <c r="DQ14" i="96"/>
  <c r="DP14" i="96"/>
  <c r="DO14" i="96"/>
  <c r="DN14" i="96"/>
  <c r="DM14" i="96"/>
  <c r="IN14" i="96" s="1"/>
  <c r="DK14" i="96"/>
  <c r="DJ14" i="96"/>
  <c r="DI14" i="96"/>
  <c r="DH14" i="96"/>
  <c r="DG14" i="96"/>
  <c r="DF14" i="96"/>
  <c r="DE14" i="96"/>
  <c r="CU14" i="96"/>
  <c r="CT14" i="96"/>
  <c r="CK14" i="96"/>
  <c r="CD14" i="96"/>
  <c r="CJ14" i="96" s="1"/>
  <c r="DS13" i="96"/>
  <c r="DR13" i="96"/>
  <c r="DQ13" i="96"/>
  <c r="DP13" i="96"/>
  <c r="DO13" i="96"/>
  <c r="DN13" i="96"/>
  <c r="DM13" i="96"/>
  <c r="IU13" i="96" s="1"/>
  <c r="DK13" i="96"/>
  <c r="DJ13" i="96"/>
  <c r="DI13" i="96"/>
  <c r="DH13" i="96"/>
  <c r="DG13" i="96"/>
  <c r="DF13" i="96"/>
  <c r="DE13" i="96"/>
  <c r="CU13" i="96"/>
  <c r="CT13" i="96"/>
  <c r="CK13" i="96"/>
  <c r="CD13" i="96"/>
  <c r="CE13" i="96" s="1"/>
  <c r="CW45" i="95"/>
  <c r="CQ45" i="95"/>
  <c r="CW44" i="95"/>
  <c r="CW46" i="95" s="1"/>
  <c r="CQ44" i="95"/>
  <c r="CQ46" i="95" s="1"/>
  <c r="CQ41" i="95"/>
  <c r="CP41" i="95"/>
  <c r="CQ40" i="95"/>
  <c r="CP40" i="95"/>
  <c r="CQ39" i="95"/>
  <c r="CP39" i="95"/>
  <c r="CQ38" i="95"/>
  <c r="CP38" i="95"/>
  <c r="DA34" i="95"/>
  <c r="CW27" i="95"/>
  <c r="CU27" i="95"/>
  <c r="CT27" i="95"/>
  <c r="CR27" i="95"/>
  <c r="CQ27" i="95"/>
  <c r="CO27" i="95"/>
  <c r="CW26" i="95"/>
  <c r="CU26" i="95"/>
  <c r="CT26" i="95"/>
  <c r="CR26" i="95"/>
  <c r="CQ26" i="95"/>
  <c r="CO26" i="95"/>
  <c r="CW25" i="95"/>
  <c r="CU25" i="95"/>
  <c r="CT25" i="95"/>
  <c r="CR25" i="95"/>
  <c r="CQ25" i="95"/>
  <c r="CO25" i="95"/>
  <c r="CW24" i="95"/>
  <c r="CU24" i="95"/>
  <c r="CT24" i="95"/>
  <c r="CR24" i="95"/>
  <c r="CQ24" i="95"/>
  <c r="CO24" i="95"/>
  <c r="IV15" i="95"/>
  <c r="IU15" i="95"/>
  <c r="IT15" i="95"/>
  <c r="IS15" i="95"/>
  <c r="IR15" i="95"/>
  <c r="IQ15" i="95"/>
  <c r="IP15" i="95"/>
  <c r="IO15" i="95"/>
  <c r="IN15" i="95"/>
  <c r="HX15" i="95"/>
  <c r="HW15" i="95"/>
  <c r="DS15" i="95"/>
  <c r="DR15" i="95"/>
  <c r="DQ15" i="95"/>
  <c r="DP15" i="95"/>
  <c r="DO15" i="95"/>
  <c r="DN15" i="95"/>
  <c r="DM15" i="95"/>
  <c r="IM15" i="95" s="1"/>
  <c r="DK15" i="95"/>
  <c r="DJ15" i="95"/>
  <c r="DI15" i="95"/>
  <c r="DH15" i="95"/>
  <c r="DG15" i="95"/>
  <c r="DF15" i="95"/>
  <c r="DE15" i="95"/>
  <c r="IB15" i="95" s="1"/>
  <c r="CU15" i="95"/>
  <c r="CT15" i="95"/>
  <c r="CK15" i="95"/>
  <c r="CD15" i="95"/>
  <c r="CI15" i="95" s="1"/>
  <c r="IV14" i="95"/>
  <c r="IU14" i="95"/>
  <c r="IT14" i="95"/>
  <c r="IS14" i="95"/>
  <c r="IR14" i="95"/>
  <c r="IQ14" i="95"/>
  <c r="IP14" i="95"/>
  <c r="IO14" i="95"/>
  <c r="HW14" i="95"/>
  <c r="DS14" i="95"/>
  <c r="DR14" i="95"/>
  <c r="DQ14" i="95"/>
  <c r="DP14" i="95"/>
  <c r="DO14" i="95"/>
  <c r="DN14" i="95"/>
  <c r="DM14" i="95"/>
  <c r="IN14" i="95" s="1"/>
  <c r="DK14" i="95"/>
  <c r="DJ14" i="95"/>
  <c r="DI14" i="95"/>
  <c r="DH14" i="95"/>
  <c r="DG14" i="95"/>
  <c r="DF14" i="95"/>
  <c r="DE14" i="95"/>
  <c r="IE14" i="95" s="1"/>
  <c r="CU14" i="95"/>
  <c r="CT14" i="95"/>
  <c r="CK14" i="95"/>
  <c r="CD14" i="95"/>
  <c r="CJ14" i="95" s="1"/>
  <c r="IV13" i="95"/>
  <c r="IU13" i="95"/>
  <c r="IT13" i="95"/>
  <c r="IS13" i="95"/>
  <c r="IR13" i="95"/>
  <c r="HW13" i="95"/>
  <c r="DS13" i="95"/>
  <c r="DR13" i="95"/>
  <c r="DQ13" i="95"/>
  <c r="DP13" i="95"/>
  <c r="DO13" i="95"/>
  <c r="DN13" i="95"/>
  <c r="DM13" i="95"/>
  <c r="IQ13" i="95" s="1"/>
  <c r="DK13" i="95"/>
  <c r="DJ13" i="95"/>
  <c r="DI13" i="95"/>
  <c r="DH13" i="95"/>
  <c r="DG13" i="95"/>
  <c r="DF13" i="95"/>
  <c r="DE13" i="95"/>
  <c r="IG13" i="95" s="1"/>
  <c r="CU13" i="95"/>
  <c r="CT13" i="95"/>
  <c r="CK13" i="95"/>
  <c r="CD13" i="95"/>
  <c r="CJ13" i="95" s="1"/>
  <c r="CW45" i="94"/>
  <c r="CQ45" i="94"/>
  <c r="CW44" i="94"/>
  <c r="CW46" i="94" s="1"/>
  <c r="CQ44" i="94"/>
  <c r="CQ46" i="94" s="1"/>
  <c r="CQ41" i="94"/>
  <c r="CP41" i="94"/>
  <c r="CQ40" i="94"/>
  <c r="CP40" i="94"/>
  <c r="CQ39" i="94"/>
  <c r="CP39" i="94"/>
  <c r="CQ38" i="94"/>
  <c r="CP38" i="94"/>
  <c r="DA34" i="94"/>
  <c r="CW27" i="94"/>
  <c r="CU27" i="94"/>
  <c r="CT27" i="94"/>
  <c r="CR27" i="94"/>
  <c r="CQ27" i="94"/>
  <c r="CO27" i="94"/>
  <c r="CW26" i="94"/>
  <c r="CU26" i="94"/>
  <c r="CT26" i="94"/>
  <c r="CR26" i="94"/>
  <c r="CQ26" i="94"/>
  <c r="CO26" i="94"/>
  <c r="CW25" i="94"/>
  <c r="CU25" i="94"/>
  <c r="CT25" i="94"/>
  <c r="CR25" i="94"/>
  <c r="CQ25" i="94"/>
  <c r="CO25" i="94"/>
  <c r="CW24" i="94"/>
  <c r="CU24" i="94"/>
  <c r="CT24" i="94"/>
  <c r="CR24" i="94"/>
  <c r="CQ24" i="94"/>
  <c r="CO24" i="94"/>
  <c r="IR15" i="94"/>
  <c r="IQ15" i="94"/>
  <c r="IP15" i="94"/>
  <c r="IO15" i="94"/>
  <c r="IN15" i="94"/>
  <c r="HY15" i="94"/>
  <c r="DS15" i="94"/>
  <c r="DR15" i="94"/>
  <c r="DQ15" i="94"/>
  <c r="DP15" i="94"/>
  <c r="DO15" i="94"/>
  <c r="DN15" i="94"/>
  <c r="DM15" i="94" s="1"/>
  <c r="DK15" i="94"/>
  <c r="DJ15" i="94"/>
  <c r="DI15" i="94"/>
  <c r="DH15" i="94"/>
  <c r="DG15" i="94"/>
  <c r="DF15" i="94"/>
  <c r="DE15" i="94" s="1"/>
  <c r="CU15" i="94"/>
  <c r="CT15" i="94"/>
  <c r="CK15" i="94"/>
  <c r="CD15" i="94"/>
  <c r="CE15" i="94" s="1"/>
  <c r="IV14" i="94"/>
  <c r="IU14" i="94"/>
  <c r="IT14" i="94"/>
  <c r="IS14" i="94"/>
  <c r="IR14" i="94"/>
  <c r="IQ14" i="94"/>
  <c r="IP14" i="94"/>
  <c r="IO14" i="94"/>
  <c r="HZ14" i="94"/>
  <c r="DS14" i="94"/>
  <c r="DR14" i="94"/>
  <c r="DQ14" i="94"/>
  <c r="DP14" i="94"/>
  <c r="DO14" i="94"/>
  <c r="DN14" i="94"/>
  <c r="DM14" i="94"/>
  <c r="IN14" i="94" s="1"/>
  <c r="DK14" i="94"/>
  <c r="DJ14" i="94"/>
  <c r="DI14" i="94"/>
  <c r="DH14" i="94"/>
  <c r="DG14" i="94"/>
  <c r="DE14" i="94" s="1"/>
  <c r="DF14" i="94"/>
  <c r="CU14" i="94"/>
  <c r="CT14" i="94"/>
  <c r="CK14" i="94"/>
  <c r="CD14" i="94"/>
  <c r="CI14" i="94" s="1"/>
  <c r="IV13" i="94"/>
  <c r="IU13" i="94"/>
  <c r="IT13" i="94"/>
  <c r="IS13" i="94"/>
  <c r="IR13" i="94"/>
  <c r="HW13" i="94"/>
  <c r="DS13" i="94"/>
  <c r="DR13" i="94"/>
  <c r="DQ13" i="94"/>
  <c r="DP13" i="94"/>
  <c r="DO13" i="94"/>
  <c r="DN13" i="94"/>
  <c r="DM13" i="94"/>
  <c r="IQ13" i="94" s="1"/>
  <c r="DK13" i="94"/>
  <c r="DJ13" i="94"/>
  <c r="DI13" i="94"/>
  <c r="DH13" i="94"/>
  <c r="DG13" i="94"/>
  <c r="DF13" i="94"/>
  <c r="DE13" i="94"/>
  <c r="CU13" i="94"/>
  <c r="CT13" i="94"/>
  <c r="CK13" i="94"/>
  <c r="CD13" i="94"/>
  <c r="CF13" i="94" s="1"/>
  <c r="CW45" i="93"/>
  <c r="CQ45" i="93"/>
  <c r="CW44" i="93"/>
  <c r="CW46" i="93" s="1"/>
  <c r="CQ44" i="93"/>
  <c r="CQ46" i="93" s="1"/>
  <c r="CQ41" i="93"/>
  <c r="CP41" i="93"/>
  <c r="CQ40" i="93"/>
  <c r="CP40" i="93"/>
  <c r="CQ39" i="93"/>
  <c r="CP39" i="93"/>
  <c r="CQ38" i="93"/>
  <c r="CP38" i="93"/>
  <c r="DA34" i="93"/>
  <c r="CW27" i="93"/>
  <c r="CU27" i="93"/>
  <c r="CT27" i="93"/>
  <c r="CR27" i="93"/>
  <c r="CQ27" i="93"/>
  <c r="CO27" i="93"/>
  <c r="CW26" i="93"/>
  <c r="CU26" i="93"/>
  <c r="CT26" i="93"/>
  <c r="CR26" i="93"/>
  <c r="CQ26" i="93"/>
  <c r="CO26" i="93"/>
  <c r="CW25" i="93"/>
  <c r="CU25" i="93"/>
  <c r="CT25" i="93"/>
  <c r="CR25" i="93"/>
  <c r="CQ25" i="93"/>
  <c r="CO25" i="93"/>
  <c r="CW24" i="93"/>
  <c r="CU24" i="93"/>
  <c r="CT24" i="93"/>
  <c r="CR24" i="93"/>
  <c r="CQ24" i="93"/>
  <c r="CO24" i="93"/>
  <c r="IV15" i="93"/>
  <c r="IU15" i="93"/>
  <c r="IT15" i="93"/>
  <c r="IS15" i="93"/>
  <c r="IR15" i="93"/>
  <c r="IQ15" i="93"/>
  <c r="IP15" i="93"/>
  <c r="IO15" i="93"/>
  <c r="IN15" i="93"/>
  <c r="DS15" i="93"/>
  <c r="DR15" i="93"/>
  <c r="DQ15" i="93"/>
  <c r="DP15" i="93"/>
  <c r="DO15" i="93"/>
  <c r="DN15" i="93"/>
  <c r="DM15" i="93"/>
  <c r="IM15" i="93" s="1"/>
  <c r="DK15" i="93"/>
  <c r="DJ15" i="93"/>
  <c r="DI15" i="93"/>
  <c r="DH15" i="93"/>
  <c r="DG15" i="93"/>
  <c r="DE15" i="93" s="1"/>
  <c r="DF15" i="93"/>
  <c r="CU15" i="93"/>
  <c r="CT15" i="93"/>
  <c r="CK15" i="93"/>
  <c r="CD15" i="93"/>
  <c r="CI15" i="93" s="1"/>
  <c r="IV14" i="93"/>
  <c r="IU14" i="93"/>
  <c r="IT14" i="93"/>
  <c r="IS14" i="93"/>
  <c r="IR14" i="93"/>
  <c r="IQ14" i="93"/>
  <c r="IP14" i="93"/>
  <c r="IO14" i="93"/>
  <c r="HW14" i="93"/>
  <c r="DS14" i="93"/>
  <c r="DR14" i="93"/>
  <c r="DQ14" i="93"/>
  <c r="DP14" i="93"/>
  <c r="DO14" i="93"/>
  <c r="DN14" i="93"/>
  <c r="DM14" i="93"/>
  <c r="IN14" i="93" s="1"/>
  <c r="DK14" i="93"/>
  <c r="DJ14" i="93"/>
  <c r="DI14" i="93"/>
  <c r="DH14" i="93"/>
  <c r="DG14" i="93"/>
  <c r="DF14" i="93"/>
  <c r="DE14" i="93"/>
  <c r="IC14" i="93" s="1"/>
  <c r="CU14" i="93"/>
  <c r="CT14" i="93"/>
  <c r="CK14" i="93"/>
  <c r="CD14" i="93"/>
  <c r="CJ14" i="93" s="1"/>
  <c r="IV13" i="93"/>
  <c r="IU13" i="93"/>
  <c r="IR13" i="93"/>
  <c r="HW13" i="93"/>
  <c r="DS13" i="93"/>
  <c r="DR13" i="93"/>
  <c r="DQ13" i="93"/>
  <c r="DP13" i="93"/>
  <c r="DO13" i="93"/>
  <c r="DN13" i="93"/>
  <c r="DM13" i="93"/>
  <c r="IQ13" i="93" s="1"/>
  <c r="DK13" i="93"/>
  <c r="DJ13" i="93"/>
  <c r="DI13" i="93"/>
  <c r="DH13" i="93"/>
  <c r="DG13" i="93"/>
  <c r="DF13" i="93"/>
  <c r="DE13" i="93"/>
  <c r="ID13" i="93" s="1"/>
  <c r="CU13" i="93"/>
  <c r="CT13" i="93"/>
  <c r="CK13" i="93"/>
  <c r="CD13" i="93"/>
  <c r="CG13" i="93" s="1"/>
  <c r="CW45" i="92"/>
  <c r="CQ45" i="92"/>
  <c r="CW44" i="92"/>
  <c r="CW46" i="92" s="1"/>
  <c r="CQ44" i="92"/>
  <c r="CQ46" i="92" s="1"/>
  <c r="CQ41" i="92"/>
  <c r="CP41" i="92"/>
  <c r="CQ40" i="92"/>
  <c r="CP40" i="92"/>
  <c r="CQ39" i="92"/>
  <c r="CP39" i="92"/>
  <c r="CQ38" i="92"/>
  <c r="CP38" i="92"/>
  <c r="DA34" i="92"/>
  <c r="CW27" i="92"/>
  <c r="CU27" i="92"/>
  <c r="CT27" i="92"/>
  <c r="CR27" i="92"/>
  <c r="CQ27" i="92"/>
  <c r="CO27" i="92"/>
  <c r="CW26" i="92"/>
  <c r="CU26" i="92"/>
  <c r="CT26" i="92"/>
  <c r="CR26" i="92"/>
  <c r="CQ26" i="92"/>
  <c r="CO26" i="92"/>
  <c r="CW25" i="92"/>
  <c r="CU25" i="92"/>
  <c r="CT25" i="92"/>
  <c r="CR25" i="92"/>
  <c r="CQ25" i="92"/>
  <c r="CO25" i="92"/>
  <c r="CW24" i="92"/>
  <c r="CU24" i="92"/>
  <c r="CT24" i="92"/>
  <c r="CR24" i="92"/>
  <c r="CQ24" i="92"/>
  <c r="CO24" i="92"/>
  <c r="DS15" i="92"/>
  <c r="DR15" i="92"/>
  <c r="DQ15" i="92"/>
  <c r="DP15" i="92"/>
  <c r="DO15" i="92"/>
  <c r="DN15" i="92"/>
  <c r="DM15" i="92" s="1"/>
  <c r="DK15" i="92"/>
  <c r="DJ15" i="92"/>
  <c r="DI15" i="92"/>
  <c r="DH15" i="92"/>
  <c r="DE15" i="92" s="1"/>
  <c r="DG15" i="92"/>
  <c r="DF15" i="92"/>
  <c r="CU15" i="92"/>
  <c r="CT15" i="92"/>
  <c r="CK15" i="92"/>
  <c r="CD15" i="92"/>
  <c r="CJ15" i="92" s="1"/>
  <c r="IV14" i="92"/>
  <c r="IU14" i="92"/>
  <c r="IT14" i="92"/>
  <c r="IS14" i="92"/>
  <c r="IR14" i="92"/>
  <c r="IQ14" i="92"/>
  <c r="IP14" i="92"/>
  <c r="IO14" i="92"/>
  <c r="HW14" i="92"/>
  <c r="DS14" i="92"/>
  <c r="DR14" i="92"/>
  <c r="DQ14" i="92"/>
  <c r="DP14" i="92"/>
  <c r="DO14" i="92"/>
  <c r="DN14" i="92"/>
  <c r="DM14" i="92"/>
  <c r="IN14" i="92" s="1"/>
  <c r="DK14" i="92"/>
  <c r="DJ14" i="92"/>
  <c r="DI14" i="92"/>
  <c r="DH14" i="92"/>
  <c r="DG14" i="92"/>
  <c r="DF14" i="92"/>
  <c r="DE14" i="92"/>
  <c r="IH14" i="92" s="1"/>
  <c r="CU14" i="92"/>
  <c r="CT14" i="92"/>
  <c r="CK14" i="92"/>
  <c r="CD14" i="92"/>
  <c r="CE14" i="92" s="1"/>
  <c r="IV13" i="92"/>
  <c r="IU13" i="92"/>
  <c r="IT13" i="92"/>
  <c r="IS13" i="92"/>
  <c r="IR13" i="92"/>
  <c r="HW13" i="92"/>
  <c r="DS13" i="92"/>
  <c r="DR13" i="92"/>
  <c r="DQ13" i="92"/>
  <c r="DP13" i="92"/>
  <c r="DO13" i="92"/>
  <c r="DN13" i="92"/>
  <c r="DM13" i="92"/>
  <c r="IQ13" i="92" s="1"/>
  <c r="DK13" i="92"/>
  <c r="DJ13" i="92"/>
  <c r="DI13" i="92"/>
  <c r="DH13" i="92"/>
  <c r="DG13" i="92"/>
  <c r="DF13" i="92"/>
  <c r="DE13" i="92"/>
  <c r="HX13" i="92" s="1"/>
  <c r="CU13" i="92"/>
  <c r="CT13" i="92"/>
  <c r="CK13" i="92"/>
  <c r="CD13" i="92"/>
  <c r="CG13" i="92" s="1"/>
  <c r="CW45" i="91"/>
  <c r="CQ45" i="91"/>
  <c r="CW44" i="91"/>
  <c r="CW46" i="91" s="1"/>
  <c r="CQ44" i="91"/>
  <c r="CQ46" i="91" s="1"/>
  <c r="CQ41" i="91"/>
  <c r="CP41" i="91"/>
  <c r="CQ40" i="91"/>
  <c r="CP40" i="91"/>
  <c r="CQ39" i="91"/>
  <c r="CP39" i="91"/>
  <c r="CQ38" i="91"/>
  <c r="CP38" i="91"/>
  <c r="DA34" i="91"/>
  <c r="CW27" i="91"/>
  <c r="CU27" i="91"/>
  <c r="CT27" i="91"/>
  <c r="CR27" i="91"/>
  <c r="CQ27" i="91"/>
  <c r="CO27" i="91"/>
  <c r="CW26" i="91"/>
  <c r="CU26" i="91"/>
  <c r="CT26" i="91"/>
  <c r="CR26" i="91"/>
  <c r="CQ26" i="91"/>
  <c r="CO26" i="91"/>
  <c r="CW25" i="91"/>
  <c r="CU25" i="91"/>
  <c r="CT25" i="91"/>
  <c r="CR25" i="91"/>
  <c r="CQ25" i="91"/>
  <c r="CO25" i="91"/>
  <c r="CW24" i="91"/>
  <c r="CU24" i="91"/>
  <c r="CT24" i="91"/>
  <c r="CR24" i="91"/>
  <c r="CQ24" i="91"/>
  <c r="CO24" i="91"/>
  <c r="HW15" i="91"/>
  <c r="DS15" i="91"/>
  <c r="DR15" i="91"/>
  <c r="DQ15" i="91"/>
  <c r="DP15" i="91"/>
  <c r="DO15" i="91"/>
  <c r="DN15" i="91"/>
  <c r="DM15" i="91" s="1"/>
  <c r="IS15" i="91" s="1"/>
  <c r="DK15" i="91"/>
  <c r="DJ15" i="91"/>
  <c r="DI15" i="91"/>
  <c r="DH15" i="91"/>
  <c r="DG15" i="91"/>
  <c r="DF15" i="91"/>
  <c r="DE15" i="91"/>
  <c r="IH15" i="91" s="1"/>
  <c r="CU15" i="91"/>
  <c r="CT15" i="91"/>
  <c r="CK15" i="91"/>
  <c r="CD15" i="91"/>
  <c r="CI15" i="91" s="1"/>
  <c r="DS14" i="91"/>
  <c r="DR14" i="91"/>
  <c r="DQ14" i="91"/>
  <c r="BF77" i="101" s="1"/>
  <c r="DP14" i="91"/>
  <c r="BE77" i="101" s="1"/>
  <c r="DO14" i="91"/>
  <c r="DN14" i="91"/>
  <c r="DK14" i="91"/>
  <c r="DJ14" i="91"/>
  <c r="DI14" i="91"/>
  <c r="AT77" i="101" s="1"/>
  <c r="DH14" i="91"/>
  <c r="AS77" i="101" s="1"/>
  <c r="AW77" i="101" s="1"/>
  <c r="DG14" i="91"/>
  <c r="DF14" i="91"/>
  <c r="CU14" i="91"/>
  <c r="CT14" i="91"/>
  <c r="CK14" i="91"/>
  <c r="CD14" i="91"/>
  <c r="CF14" i="91" s="1"/>
  <c r="DS13" i="91"/>
  <c r="DR13" i="91"/>
  <c r="DQ13" i="91"/>
  <c r="DP13" i="91"/>
  <c r="DO13" i="91"/>
  <c r="DN13" i="91"/>
  <c r="DM13" i="91" s="1"/>
  <c r="IR13" i="91" s="1"/>
  <c r="DK13" i="91"/>
  <c r="DJ13" i="91"/>
  <c r="DI13" i="91"/>
  <c r="DH13" i="91"/>
  <c r="DG13" i="91"/>
  <c r="DF13" i="91"/>
  <c r="DE13" i="91"/>
  <c r="CU13" i="91"/>
  <c r="CT13" i="91"/>
  <c r="CK13" i="91"/>
  <c r="CD13" i="91"/>
  <c r="CE13" i="91" s="1"/>
  <c r="CW45" i="90"/>
  <c r="CQ45" i="90"/>
  <c r="CW44" i="90"/>
  <c r="CW46" i="90" s="1"/>
  <c r="CQ44" i="90"/>
  <c r="CQ46" i="90" s="1"/>
  <c r="CQ41" i="90"/>
  <c r="CP41" i="90"/>
  <c r="CQ40" i="90"/>
  <c r="CP40" i="90"/>
  <c r="CQ39" i="90"/>
  <c r="CP39" i="90"/>
  <c r="CQ38" i="90"/>
  <c r="CP38" i="90"/>
  <c r="DA34" i="90"/>
  <c r="CW27" i="90"/>
  <c r="CU27" i="90"/>
  <c r="CT27" i="90"/>
  <c r="CR27" i="90"/>
  <c r="CQ27" i="90"/>
  <c r="CO27" i="90"/>
  <c r="CW26" i="90"/>
  <c r="CU26" i="90"/>
  <c r="CT26" i="90"/>
  <c r="CR26" i="90"/>
  <c r="CQ26" i="90"/>
  <c r="CO26" i="90"/>
  <c r="CW25" i="90"/>
  <c r="CU25" i="90"/>
  <c r="CT25" i="90"/>
  <c r="CR25" i="90"/>
  <c r="CQ25" i="90"/>
  <c r="CO25" i="90"/>
  <c r="CW24" i="90"/>
  <c r="CU24" i="90"/>
  <c r="CT24" i="90"/>
  <c r="CR24" i="90"/>
  <c r="CQ24" i="90"/>
  <c r="CO24" i="90"/>
  <c r="IV15" i="90"/>
  <c r="DS15" i="90"/>
  <c r="DR15" i="90"/>
  <c r="DQ15" i="90"/>
  <c r="DP15" i="90"/>
  <c r="DO15" i="90"/>
  <c r="DN15" i="90"/>
  <c r="DM15" i="90"/>
  <c r="DK15" i="90"/>
  <c r="DJ15" i="90"/>
  <c r="DI15" i="90"/>
  <c r="DH15" i="90"/>
  <c r="DG15" i="90"/>
  <c r="DF15" i="90"/>
  <c r="DE15" i="90"/>
  <c r="CU15" i="90"/>
  <c r="CT15" i="90"/>
  <c r="IU15" i="90"/>
  <c r="CK15" i="90"/>
  <c r="CD15" i="90"/>
  <c r="DS14" i="90"/>
  <c r="DR14" i="90"/>
  <c r="DQ14" i="90"/>
  <c r="DP14" i="90"/>
  <c r="DO14" i="90"/>
  <c r="DN14" i="90"/>
  <c r="DK14" i="90"/>
  <c r="DJ14" i="90"/>
  <c r="DI14" i="90"/>
  <c r="DH14" i="90"/>
  <c r="DG14" i="90"/>
  <c r="DF14" i="90"/>
  <c r="DE14" i="90"/>
  <c r="CU14" i="90"/>
  <c r="CT14" i="90"/>
  <c r="CP14" i="90"/>
  <c r="CR14" i="90" s="1"/>
  <c r="IH14" i="90"/>
  <c r="CK14" i="90"/>
  <c r="CD14" i="90"/>
  <c r="CH14" i="90" s="1"/>
  <c r="DS13" i="90"/>
  <c r="DR13" i="90"/>
  <c r="DQ13" i="90"/>
  <c r="DP13" i="90"/>
  <c r="BE23" i="101" s="1"/>
  <c r="BI23" i="101" s="1"/>
  <c r="DO13" i="90"/>
  <c r="DN13" i="90"/>
  <c r="DK13" i="90"/>
  <c r="DJ13" i="90"/>
  <c r="DI13" i="90"/>
  <c r="DH13" i="90"/>
  <c r="AS23" i="101" s="1"/>
  <c r="DG13" i="90"/>
  <c r="DF13" i="90"/>
  <c r="CU13" i="90"/>
  <c r="CT13" i="90"/>
  <c r="CK13" i="90"/>
  <c r="CD13" i="90"/>
  <c r="CW45" i="89"/>
  <c r="CQ45" i="89"/>
  <c r="CW44" i="89"/>
  <c r="CW46" i="89" s="1"/>
  <c r="CQ44" i="89"/>
  <c r="CQ46" i="89" s="1"/>
  <c r="CQ41" i="89"/>
  <c r="CP41" i="89"/>
  <c r="CQ40" i="89"/>
  <c r="CP40" i="89"/>
  <c r="CQ39" i="89"/>
  <c r="CP39" i="89"/>
  <c r="CQ38" i="89"/>
  <c r="CP38" i="89"/>
  <c r="DA34" i="89"/>
  <c r="CW27" i="89"/>
  <c r="CU27" i="89"/>
  <c r="CT27" i="89"/>
  <c r="CR27" i="89"/>
  <c r="CQ27" i="89"/>
  <c r="CO27" i="89"/>
  <c r="CW26" i="89"/>
  <c r="CU26" i="89"/>
  <c r="CT26" i="89"/>
  <c r="CR26" i="89"/>
  <c r="CQ26" i="89"/>
  <c r="CO26" i="89"/>
  <c r="CW25" i="89"/>
  <c r="CU25" i="89"/>
  <c r="CT25" i="89"/>
  <c r="CR25" i="89"/>
  <c r="CQ25" i="89"/>
  <c r="CO25" i="89"/>
  <c r="CW24" i="89"/>
  <c r="CU24" i="89"/>
  <c r="CT24" i="89"/>
  <c r="CR24" i="89"/>
  <c r="CQ24" i="89"/>
  <c r="CO24" i="89"/>
  <c r="DS15" i="89"/>
  <c r="DR15" i="89"/>
  <c r="DQ15" i="89"/>
  <c r="DP15" i="89"/>
  <c r="DO15" i="89"/>
  <c r="DN15" i="89"/>
  <c r="DM15" i="89" s="1"/>
  <c r="DK15" i="89"/>
  <c r="DJ15" i="89"/>
  <c r="DI15" i="89"/>
  <c r="DH15" i="89"/>
  <c r="DG15" i="89"/>
  <c r="DE15" i="89" s="1"/>
  <c r="DF15" i="89"/>
  <c r="CU15" i="89"/>
  <c r="CT15" i="89"/>
  <c r="CK15" i="89"/>
  <c r="CD15" i="89"/>
  <c r="CF15" i="89" s="1"/>
  <c r="IV14" i="89"/>
  <c r="IU14" i="89"/>
  <c r="IT14" i="89"/>
  <c r="IS14" i="89"/>
  <c r="IR14" i="89"/>
  <c r="IQ14" i="89"/>
  <c r="IP14" i="89"/>
  <c r="IO14" i="89"/>
  <c r="DS14" i="89"/>
  <c r="DR14" i="89"/>
  <c r="DQ14" i="89"/>
  <c r="DP14" i="89"/>
  <c r="DO14" i="89"/>
  <c r="DN14" i="89"/>
  <c r="DM14" i="89"/>
  <c r="IN14" i="89" s="1"/>
  <c r="DK14" i="89"/>
  <c r="DJ14" i="89"/>
  <c r="DI14" i="89"/>
  <c r="DH14" i="89"/>
  <c r="DG14" i="89"/>
  <c r="DF14" i="89"/>
  <c r="DE14" i="89" s="1"/>
  <c r="CU14" i="89"/>
  <c r="CT14" i="89"/>
  <c r="CK14" i="89"/>
  <c r="CD14" i="89"/>
  <c r="CI14" i="89" s="1"/>
  <c r="IV13" i="89"/>
  <c r="IU13" i="89"/>
  <c r="IT13" i="89"/>
  <c r="IS13" i="89"/>
  <c r="IR13" i="89"/>
  <c r="DS13" i="89"/>
  <c r="DR13" i="89"/>
  <c r="DQ13" i="89"/>
  <c r="DP13" i="89"/>
  <c r="DO13" i="89"/>
  <c r="DN13" i="89"/>
  <c r="DM13" i="89"/>
  <c r="IQ13" i="89" s="1"/>
  <c r="DK13" i="89"/>
  <c r="DE13" i="89" s="1"/>
  <c r="DJ13" i="89"/>
  <c r="DI13" i="89"/>
  <c r="DH13" i="89"/>
  <c r="DG13" i="89"/>
  <c r="DF13" i="89"/>
  <c r="CU13" i="89"/>
  <c r="CT13" i="89"/>
  <c r="CK13" i="89"/>
  <c r="CD13" i="89"/>
  <c r="CJ13" i="89" s="1"/>
  <c r="CW45" i="88"/>
  <c r="CQ45" i="88"/>
  <c r="CW44" i="88"/>
  <c r="CW46" i="88" s="1"/>
  <c r="CQ44" i="88"/>
  <c r="CQ46" i="88" s="1"/>
  <c r="CQ41" i="88"/>
  <c r="CP41" i="88"/>
  <c r="CQ40" i="88"/>
  <c r="CP40" i="88"/>
  <c r="CQ39" i="88"/>
  <c r="CP39" i="88"/>
  <c r="CQ38" i="88"/>
  <c r="CP38" i="88"/>
  <c r="DA34" i="88"/>
  <c r="CW27" i="88"/>
  <c r="CU27" i="88"/>
  <c r="CT27" i="88"/>
  <c r="CR27" i="88"/>
  <c r="CQ27" i="88"/>
  <c r="CO27" i="88"/>
  <c r="CW26" i="88"/>
  <c r="CU26" i="88"/>
  <c r="CT26" i="88"/>
  <c r="CR26" i="88"/>
  <c r="CQ26" i="88"/>
  <c r="CO26" i="88"/>
  <c r="CW25" i="88"/>
  <c r="CU25" i="88"/>
  <c r="CT25" i="88"/>
  <c r="CR25" i="88"/>
  <c r="CQ25" i="88"/>
  <c r="CO25" i="88"/>
  <c r="CW24" i="88"/>
  <c r="CU24" i="88"/>
  <c r="CT24" i="88"/>
  <c r="CR24" i="88"/>
  <c r="CQ24" i="88"/>
  <c r="CO24" i="88"/>
  <c r="IS15" i="88"/>
  <c r="DS15" i="88"/>
  <c r="DR15" i="88"/>
  <c r="DQ15" i="88"/>
  <c r="DP15" i="88"/>
  <c r="DO15" i="88"/>
  <c r="DN15" i="88"/>
  <c r="DM15" i="88" s="1"/>
  <c r="DK15" i="88"/>
  <c r="DJ15" i="88"/>
  <c r="DI15" i="88"/>
  <c r="DH15" i="88"/>
  <c r="DG15" i="88"/>
  <c r="DE15" i="88" s="1"/>
  <c r="DF15" i="88"/>
  <c r="CU15" i="88"/>
  <c r="CT15" i="88"/>
  <c r="CK15" i="88"/>
  <c r="CD15" i="88"/>
  <c r="CG15" i="88" s="1"/>
  <c r="IV14" i="88"/>
  <c r="IU14" i="88"/>
  <c r="IT14" i="88"/>
  <c r="IR14" i="88"/>
  <c r="IQ14" i="88"/>
  <c r="IP14" i="88"/>
  <c r="IO14" i="88"/>
  <c r="HW14" i="88"/>
  <c r="DS14" i="88"/>
  <c r="DR14" i="88"/>
  <c r="DQ14" i="88"/>
  <c r="DP14" i="88"/>
  <c r="DO14" i="88"/>
  <c r="DN14" i="88"/>
  <c r="DM14" i="88"/>
  <c r="IN14" i="88" s="1"/>
  <c r="DK14" i="88"/>
  <c r="DJ14" i="88"/>
  <c r="DI14" i="88"/>
  <c r="DH14" i="88"/>
  <c r="DG14" i="88"/>
  <c r="DF14" i="88"/>
  <c r="DE14" i="88"/>
  <c r="IA14" i="88" s="1"/>
  <c r="CU14" i="88"/>
  <c r="CT14" i="88"/>
  <c r="IS14" i="88"/>
  <c r="CK14" i="88"/>
  <c r="CD14" i="88"/>
  <c r="IR13" i="88"/>
  <c r="HX13" i="88"/>
  <c r="DS13" i="88"/>
  <c r="DR13" i="88"/>
  <c r="DQ13" i="88"/>
  <c r="DP13" i="88"/>
  <c r="DO13" i="88"/>
  <c r="DN13" i="88"/>
  <c r="DM13" i="88" s="1"/>
  <c r="DK13" i="88"/>
  <c r="DJ13" i="88"/>
  <c r="DI13" i="88"/>
  <c r="DH13" i="88"/>
  <c r="DG13" i="88"/>
  <c r="DF13" i="88"/>
  <c r="DE13" i="88"/>
  <c r="CU13" i="88"/>
  <c r="CT13" i="88"/>
  <c r="CK13" i="88"/>
  <c r="CD13" i="88"/>
  <c r="CJ13" i="88" s="1"/>
  <c r="CW45" i="87"/>
  <c r="CQ45" i="87"/>
  <c r="CW44" i="87"/>
  <c r="CW46" i="87" s="1"/>
  <c r="CQ44" i="87"/>
  <c r="CQ46" i="87" s="1"/>
  <c r="CQ41" i="87"/>
  <c r="CP41" i="87"/>
  <c r="CQ40" i="87"/>
  <c r="CP40" i="87"/>
  <c r="CQ39" i="87"/>
  <c r="CP39" i="87"/>
  <c r="CQ38" i="87"/>
  <c r="CP38" i="87"/>
  <c r="DA34" i="87"/>
  <c r="CW27" i="87"/>
  <c r="CU27" i="87"/>
  <c r="CT27" i="87"/>
  <c r="CR27" i="87"/>
  <c r="CQ27" i="87"/>
  <c r="CO27" i="87"/>
  <c r="CW26" i="87"/>
  <c r="CU26" i="87"/>
  <c r="CT26" i="87"/>
  <c r="CR26" i="87"/>
  <c r="CQ26" i="87"/>
  <c r="CO26" i="87"/>
  <c r="CW25" i="87"/>
  <c r="CU25" i="87"/>
  <c r="CT25" i="87"/>
  <c r="CR25" i="87"/>
  <c r="CQ25" i="87"/>
  <c r="CO25" i="87"/>
  <c r="CW24" i="87"/>
  <c r="CU24" i="87"/>
  <c r="CT24" i="87"/>
  <c r="CR24" i="87"/>
  <c r="CQ24" i="87"/>
  <c r="CO24" i="87"/>
  <c r="IV15" i="87"/>
  <c r="IU15" i="87"/>
  <c r="IT15" i="87"/>
  <c r="IS15" i="87"/>
  <c r="IR15" i="87"/>
  <c r="IQ15" i="87"/>
  <c r="IP15" i="87"/>
  <c r="IO15" i="87"/>
  <c r="IN15" i="87"/>
  <c r="HW15" i="87"/>
  <c r="DS15" i="87"/>
  <c r="DR15" i="87"/>
  <c r="DQ15" i="87"/>
  <c r="DP15" i="87"/>
  <c r="DO15" i="87"/>
  <c r="DN15" i="87"/>
  <c r="DM15" i="87"/>
  <c r="IM15" i="87" s="1"/>
  <c r="DK15" i="87"/>
  <c r="DJ15" i="87"/>
  <c r="DI15" i="87"/>
  <c r="DH15" i="87"/>
  <c r="DG15" i="87"/>
  <c r="DF15" i="87"/>
  <c r="DE15" i="87"/>
  <c r="IG15" i="87" s="1"/>
  <c r="CU15" i="87"/>
  <c r="CT15" i="87"/>
  <c r="CK15" i="87"/>
  <c r="CD15" i="87"/>
  <c r="CH15" i="87" s="1"/>
  <c r="IV14" i="87"/>
  <c r="IU14" i="87"/>
  <c r="IT14" i="87"/>
  <c r="IS14" i="87"/>
  <c r="IR14" i="87"/>
  <c r="IQ14" i="87"/>
  <c r="IP14" i="87"/>
  <c r="IO14" i="87"/>
  <c r="HW14" i="87"/>
  <c r="DS14" i="87"/>
  <c r="DR14" i="87"/>
  <c r="DQ14" i="87"/>
  <c r="DP14" i="87"/>
  <c r="DO14" i="87"/>
  <c r="DN14" i="87"/>
  <c r="DM14" i="87"/>
  <c r="IN14" i="87" s="1"/>
  <c r="DK14" i="87"/>
  <c r="DJ14" i="87"/>
  <c r="DI14" i="87"/>
  <c r="DH14" i="87"/>
  <c r="DG14" i="87"/>
  <c r="DF14" i="87"/>
  <c r="DE14" i="87"/>
  <c r="ID14" i="87" s="1"/>
  <c r="CU14" i="87"/>
  <c r="CT14" i="87"/>
  <c r="CK14" i="87"/>
  <c r="CD14" i="87"/>
  <c r="CH14" i="87" s="1"/>
  <c r="IV13" i="87"/>
  <c r="IU13" i="87"/>
  <c r="IT13" i="87"/>
  <c r="IS13" i="87"/>
  <c r="IR13" i="87"/>
  <c r="HW13" i="87"/>
  <c r="DS13" i="87"/>
  <c r="DR13" i="87"/>
  <c r="DQ13" i="87"/>
  <c r="DP13" i="87"/>
  <c r="DO13" i="87"/>
  <c r="DN13" i="87"/>
  <c r="DM13" i="87"/>
  <c r="IQ13" i="87" s="1"/>
  <c r="DK13" i="87"/>
  <c r="DJ13" i="87"/>
  <c r="DI13" i="87"/>
  <c r="DH13" i="87"/>
  <c r="DG13" i="87"/>
  <c r="DF13" i="87"/>
  <c r="DE13" i="87"/>
  <c r="ID13" i="87" s="1"/>
  <c r="CU13" i="87"/>
  <c r="CT13" i="87"/>
  <c r="CK13" i="87"/>
  <c r="CD13" i="87"/>
  <c r="CW45" i="86"/>
  <c r="CQ45" i="86"/>
  <c r="CW44" i="86"/>
  <c r="CW46" i="86" s="1"/>
  <c r="CQ44" i="86"/>
  <c r="CQ46" i="86" s="1"/>
  <c r="CQ41" i="86"/>
  <c r="CP41" i="86"/>
  <c r="CQ40" i="86"/>
  <c r="CP40" i="86"/>
  <c r="CQ39" i="86"/>
  <c r="CP39" i="86"/>
  <c r="CQ38" i="86"/>
  <c r="CP38" i="86"/>
  <c r="DA34" i="86"/>
  <c r="CW27" i="86"/>
  <c r="CU27" i="86"/>
  <c r="CT27" i="86"/>
  <c r="CR27" i="86"/>
  <c r="CQ27" i="86"/>
  <c r="CO27" i="86"/>
  <c r="CW26" i="86"/>
  <c r="CU26" i="86"/>
  <c r="CT26" i="86"/>
  <c r="CR26" i="86"/>
  <c r="CQ26" i="86"/>
  <c r="CO26" i="86"/>
  <c r="CW25" i="86"/>
  <c r="CU25" i="86"/>
  <c r="CT25" i="86"/>
  <c r="CR25" i="86"/>
  <c r="CQ25" i="86"/>
  <c r="CO25" i="86"/>
  <c r="CW24" i="86"/>
  <c r="CU24" i="86"/>
  <c r="CT24" i="86"/>
  <c r="CR24" i="86"/>
  <c r="CQ24" i="86"/>
  <c r="CO24" i="86"/>
  <c r="IV15" i="86"/>
  <c r="IU15" i="86"/>
  <c r="IT15" i="86"/>
  <c r="IS15" i="86"/>
  <c r="IR15" i="86"/>
  <c r="IQ15" i="86"/>
  <c r="IP15" i="86"/>
  <c r="IO15" i="86"/>
  <c r="IN15" i="86"/>
  <c r="HW15" i="86"/>
  <c r="DS15" i="86"/>
  <c r="DR15" i="86"/>
  <c r="DQ15" i="86"/>
  <c r="DP15" i="86"/>
  <c r="DO15" i="86"/>
  <c r="DN15" i="86"/>
  <c r="DM15" i="86"/>
  <c r="IM15" i="86" s="1"/>
  <c r="DK15" i="86"/>
  <c r="DJ15" i="86"/>
  <c r="DI15" i="86"/>
  <c r="DH15" i="86"/>
  <c r="DG15" i="86"/>
  <c r="DF15" i="86"/>
  <c r="DE15" i="86"/>
  <c r="IC15" i="86" s="1"/>
  <c r="CU15" i="86"/>
  <c r="CT15" i="86"/>
  <c r="CK15" i="86"/>
  <c r="CD15" i="86"/>
  <c r="CJ15" i="86" s="1"/>
  <c r="IV14" i="86"/>
  <c r="IU14" i="86"/>
  <c r="IT14" i="86"/>
  <c r="IS14" i="86"/>
  <c r="IR14" i="86"/>
  <c r="IQ14" i="86"/>
  <c r="IP14" i="86"/>
  <c r="IO14" i="86"/>
  <c r="HW14" i="86"/>
  <c r="DS14" i="86"/>
  <c r="DR14" i="86"/>
  <c r="DQ14" i="86"/>
  <c r="DP14" i="86"/>
  <c r="DO14" i="86"/>
  <c r="DN14" i="86"/>
  <c r="DM14" i="86"/>
  <c r="IN14" i="86" s="1"/>
  <c r="DK14" i="86"/>
  <c r="DJ14" i="86"/>
  <c r="DI14" i="86"/>
  <c r="DH14" i="86"/>
  <c r="DG14" i="86"/>
  <c r="DF14" i="86"/>
  <c r="DE14" i="86"/>
  <c r="IH14" i="86" s="1"/>
  <c r="CU14" i="86"/>
  <c r="CT14" i="86"/>
  <c r="CK14" i="86"/>
  <c r="CD14" i="86"/>
  <c r="IV13" i="86"/>
  <c r="IU13" i="86"/>
  <c r="IT13" i="86"/>
  <c r="IS13" i="86"/>
  <c r="IR13" i="86"/>
  <c r="HX13" i="86"/>
  <c r="HW13" i="86"/>
  <c r="DS13" i="86"/>
  <c r="DR13" i="86"/>
  <c r="DQ13" i="86"/>
  <c r="DP13" i="86"/>
  <c r="DO13" i="86"/>
  <c r="DN13" i="86"/>
  <c r="DM13" i="86"/>
  <c r="IQ13" i="86" s="1"/>
  <c r="DK13" i="86"/>
  <c r="DJ13" i="86"/>
  <c r="DI13" i="86"/>
  <c r="DH13" i="86"/>
  <c r="DG13" i="86"/>
  <c r="DF13" i="86"/>
  <c r="DE13" i="86"/>
  <c r="CU13" i="86"/>
  <c r="CT13" i="86"/>
  <c r="CK13" i="86"/>
  <c r="CD13" i="86"/>
  <c r="CW45" i="85"/>
  <c r="CQ45" i="85"/>
  <c r="CW44" i="85"/>
  <c r="CW46" i="85" s="1"/>
  <c r="CQ44" i="85"/>
  <c r="CQ46" i="85" s="1"/>
  <c r="CQ41" i="85"/>
  <c r="CP41" i="85"/>
  <c r="CQ40" i="85"/>
  <c r="CP40" i="85"/>
  <c r="CQ39" i="85"/>
  <c r="CP39" i="85"/>
  <c r="CQ38" i="85"/>
  <c r="CP38" i="85"/>
  <c r="DA34" i="85"/>
  <c r="CW27" i="85"/>
  <c r="CU27" i="85"/>
  <c r="CT27" i="85"/>
  <c r="CR27" i="85"/>
  <c r="CQ27" i="85"/>
  <c r="CO27" i="85"/>
  <c r="CW26" i="85"/>
  <c r="CU26" i="85"/>
  <c r="CT26" i="85"/>
  <c r="CR26" i="85"/>
  <c r="CQ26" i="85"/>
  <c r="CO26" i="85"/>
  <c r="CW25" i="85"/>
  <c r="CU25" i="85"/>
  <c r="CT25" i="85"/>
  <c r="CR25" i="85"/>
  <c r="CQ25" i="85"/>
  <c r="CO25" i="85"/>
  <c r="CW24" i="85"/>
  <c r="CU24" i="85"/>
  <c r="CT24" i="85"/>
  <c r="CR24" i="85"/>
  <c r="CQ24" i="85"/>
  <c r="CO24" i="85"/>
  <c r="IV15" i="85"/>
  <c r="IU15" i="85"/>
  <c r="IT15" i="85"/>
  <c r="IS15" i="85"/>
  <c r="IR15" i="85"/>
  <c r="IQ15" i="85"/>
  <c r="IO15" i="85"/>
  <c r="IN15" i="85"/>
  <c r="DS15" i="85"/>
  <c r="DR15" i="85"/>
  <c r="DQ15" i="85"/>
  <c r="DP15" i="85"/>
  <c r="DO15" i="85"/>
  <c r="DN15" i="85"/>
  <c r="DM15" i="85"/>
  <c r="IM15" i="85" s="1"/>
  <c r="DK15" i="85"/>
  <c r="DJ15" i="85"/>
  <c r="DI15" i="85"/>
  <c r="DH15" i="85"/>
  <c r="DG15" i="85"/>
  <c r="DE15" i="85" s="1"/>
  <c r="DF15" i="85"/>
  <c r="CU15" i="85"/>
  <c r="CT15" i="85"/>
  <c r="CK15" i="85"/>
  <c r="CD15" i="85"/>
  <c r="CI15" i="85" s="1"/>
  <c r="IV14" i="85"/>
  <c r="IU14" i="85"/>
  <c r="IT14" i="85"/>
  <c r="IS14" i="85"/>
  <c r="IR14" i="85"/>
  <c r="IP14" i="85"/>
  <c r="IO14" i="85"/>
  <c r="HW14" i="85"/>
  <c r="DS14" i="85"/>
  <c r="DR14" i="85"/>
  <c r="DQ14" i="85"/>
  <c r="DP14" i="85"/>
  <c r="DO14" i="85"/>
  <c r="DN14" i="85"/>
  <c r="DM14" i="85"/>
  <c r="IN14" i="85" s="1"/>
  <c r="DK14" i="85"/>
  <c r="DJ14" i="85"/>
  <c r="DI14" i="85"/>
  <c r="DH14" i="85"/>
  <c r="DG14" i="85"/>
  <c r="DF14" i="85"/>
  <c r="DE14" i="85"/>
  <c r="IF14" i="85" s="1"/>
  <c r="CU14" i="85"/>
  <c r="CT14" i="85"/>
  <c r="CK14" i="85"/>
  <c r="CD14" i="85"/>
  <c r="CF14" i="85" s="1"/>
  <c r="IV13" i="85"/>
  <c r="IU13" i="85"/>
  <c r="IR13" i="85"/>
  <c r="HW13" i="85"/>
  <c r="DS13" i="85"/>
  <c r="DR13" i="85"/>
  <c r="DQ13" i="85"/>
  <c r="DP13" i="85"/>
  <c r="DO13" i="85"/>
  <c r="DN13" i="85"/>
  <c r="DM13" i="85"/>
  <c r="IQ13" i="85" s="1"/>
  <c r="DK13" i="85"/>
  <c r="DJ13" i="85"/>
  <c r="DI13" i="85"/>
  <c r="DH13" i="85"/>
  <c r="DG13" i="85"/>
  <c r="DF13" i="85"/>
  <c r="DE13" i="85"/>
  <c r="IH13" i="85" s="1"/>
  <c r="CU13" i="85"/>
  <c r="CT13" i="85"/>
  <c r="CK13" i="85"/>
  <c r="CD13" i="85"/>
  <c r="CH13" i="85" s="1"/>
  <c r="CW45" i="84"/>
  <c r="CQ45" i="84"/>
  <c r="CW44" i="84"/>
  <c r="CW46" i="84" s="1"/>
  <c r="CQ44" i="84"/>
  <c r="CQ46" i="84" s="1"/>
  <c r="CQ41" i="84"/>
  <c r="CP41" i="84"/>
  <c r="CQ40" i="84"/>
  <c r="CP40" i="84"/>
  <c r="CQ39" i="84"/>
  <c r="CP39" i="84"/>
  <c r="CQ38" i="84"/>
  <c r="CP38" i="84"/>
  <c r="DA34" i="84"/>
  <c r="CW27" i="84"/>
  <c r="CU27" i="84"/>
  <c r="CT27" i="84"/>
  <c r="CR27" i="84"/>
  <c r="CQ27" i="84"/>
  <c r="CO27" i="84"/>
  <c r="CW26" i="84"/>
  <c r="CU26" i="84"/>
  <c r="CT26" i="84"/>
  <c r="CR26" i="84"/>
  <c r="CQ26" i="84"/>
  <c r="CO26" i="84"/>
  <c r="CW25" i="84"/>
  <c r="CU25" i="84"/>
  <c r="CT25" i="84"/>
  <c r="CR25" i="84"/>
  <c r="CQ25" i="84"/>
  <c r="CO25" i="84"/>
  <c r="CW24" i="84"/>
  <c r="CU24" i="84"/>
  <c r="CT24" i="84"/>
  <c r="CR24" i="84"/>
  <c r="CQ24" i="84"/>
  <c r="CO24" i="84"/>
  <c r="IV15" i="84"/>
  <c r="IU15" i="84"/>
  <c r="IT15" i="84"/>
  <c r="IS15" i="84"/>
  <c r="IR15" i="84"/>
  <c r="IQ15" i="84"/>
  <c r="IP15" i="84"/>
  <c r="IO15" i="84"/>
  <c r="IN15" i="84"/>
  <c r="DS15" i="84"/>
  <c r="DR15" i="84"/>
  <c r="DQ15" i="84"/>
  <c r="DP15" i="84"/>
  <c r="DO15" i="84"/>
  <c r="DN15" i="84"/>
  <c r="DM15" i="84"/>
  <c r="IM15" i="84" s="1"/>
  <c r="DK15" i="84"/>
  <c r="DJ15" i="84"/>
  <c r="DI15" i="84"/>
  <c r="DH15" i="84"/>
  <c r="DG15" i="84"/>
  <c r="DE15" i="84" s="1"/>
  <c r="DF15" i="84"/>
  <c r="CU15" i="84"/>
  <c r="CT15" i="84"/>
  <c r="CK15" i="84"/>
  <c r="CD15" i="84"/>
  <c r="CI15" i="84" s="1"/>
  <c r="IV14" i="84"/>
  <c r="IU14" i="84"/>
  <c r="IT14" i="84"/>
  <c r="IS14" i="84"/>
  <c r="IR14" i="84"/>
  <c r="IQ14" i="84"/>
  <c r="IP14" i="84"/>
  <c r="IO14" i="84"/>
  <c r="DS14" i="84"/>
  <c r="DR14" i="84"/>
  <c r="DQ14" i="84"/>
  <c r="DP14" i="84"/>
  <c r="DO14" i="84"/>
  <c r="DN14" i="84"/>
  <c r="DM14" i="84"/>
  <c r="IN14" i="84" s="1"/>
  <c r="DK14" i="84"/>
  <c r="DE14" i="84" s="1"/>
  <c r="DJ14" i="84"/>
  <c r="DI14" i="84"/>
  <c r="DH14" i="84"/>
  <c r="DG14" i="84"/>
  <c r="DF14" i="84"/>
  <c r="CU14" i="84"/>
  <c r="CT14" i="84"/>
  <c r="CK14" i="84"/>
  <c r="CD14" i="84"/>
  <c r="CE14" i="84" s="1"/>
  <c r="HW13" i="84"/>
  <c r="DS13" i="84"/>
  <c r="DR13" i="84"/>
  <c r="DQ13" i="84"/>
  <c r="DP13" i="84"/>
  <c r="DO13" i="84"/>
  <c r="DM13" i="84" s="1"/>
  <c r="DN13" i="84"/>
  <c r="DK13" i="84"/>
  <c r="DJ13" i="84"/>
  <c r="DI13" i="84"/>
  <c r="DH13" i="84"/>
  <c r="DG13" i="84"/>
  <c r="DF13" i="84"/>
  <c r="DE13" i="84"/>
  <c r="HY13" i="84" s="1"/>
  <c r="CU13" i="84"/>
  <c r="CT13" i="84"/>
  <c r="CK13" i="84"/>
  <c r="CD13" i="84"/>
  <c r="CE13" i="84" s="1"/>
  <c r="CW45" i="83"/>
  <c r="CQ45" i="83"/>
  <c r="CW44" i="83"/>
  <c r="CW46" i="83" s="1"/>
  <c r="CQ44" i="83"/>
  <c r="CQ46" i="83" s="1"/>
  <c r="CQ41" i="83"/>
  <c r="CP41" i="83"/>
  <c r="CQ40" i="83"/>
  <c r="CP40" i="83"/>
  <c r="CQ39" i="83"/>
  <c r="CP39" i="83"/>
  <c r="CQ38" i="83"/>
  <c r="CP38" i="83"/>
  <c r="DA34" i="83"/>
  <c r="CW27" i="83"/>
  <c r="CU27" i="83"/>
  <c r="CT27" i="83"/>
  <c r="CR27" i="83"/>
  <c r="CQ27" i="83"/>
  <c r="CO27" i="83"/>
  <c r="CW26" i="83"/>
  <c r="CU26" i="83"/>
  <c r="CT26" i="83"/>
  <c r="CR26" i="83"/>
  <c r="CQ26" i="83"/>
  <c r="CO26" i="83"/>
  <c r="CW25" i="83"/>
  <c r="CU25" i="83"/>
  <c r="CT25" i="83"/>
  <c r="CR25" i="83"/>
  <c r="CQ25" i="83"/>
  <c r="CO25" i="83"/>
  <c r="CW24" i="83"/>
  <c r="CU24" i="83"/>
  <c r="CT24" i="83"/>
  <c r="CR24" i="83"/>
  <c r="CQ24" i="83"/>
  <c r="CO24" i="83"/>
  <c r="IV15" i="83"/>
  <c r="IU15" i="83"/>
  <c r="IT15" i="83"/>
  <c r="IS15" i="83"/>
  <c r="IR15" i="83"/>
  <c r="IQ15" i="83"/>
  <c r="IP15" i="83"/>
  <c r="IO15" i="83"/>
  <c r="IN15" i="83"/>
  <c r="HX15" i="83"/>
  <c r="DS15" i="83"/>
  <c r="DR15" i="83"/>
  <c r="DQ15" i="83"/>
  <c r="DP15" i="83"/>
  <c r="DO15" i="83"/>
  <c r="DN15" i="83"/>
  <c r="DM15" i="83"/>
  <c r="IM15" i="83" s="1"/>
  <c r="DK15" i="83"/>
  <c r="DJ15" i="83"/>
  <c r="DI15" i="83"/>
  <c r="DH15" i="83"/>
  <c r="DG15" i="83"/>
  <c r="DF15" i="83"/>
  <c r="DE15" i="83"/>
  <c r="HZ15" i="83" s="1"/>
  <c r="CU15" i="83"/>
  <c r="CT15" i="83"/>
  <c r="CK15" i="83"/>
  <c r="CD15" i="83"/>
  <c r="CJ15" i="83" s="1"/>
  <c r="IV14" i="83"/>
  <c r="IU14" i="83"/>
  <c r="IT14" i="83"/>
  <c r="IS14" i="83"/>
  <c r="IR14" i="83"/>
  <c r="IQ14" i="83"/>
  <c r="IP14" i="83"/>
  <c r="IO14" i="83"/>
  <c r="DS14" i="83"/>
  <c r="DR14" i="83"/>
  <c r="DQ14" i="83"/>
  <c r="DP14" i="83"/>
  <c r="DO14" i="83"/>
  <c r="DN14" i="83"/>
  <c r="DM14" i="83"/>
  <c r="IN14" i="83" s="1"/>
  <c r="DK14" i="83"/>
  <c r="DJ14" i="83"/>
  <c r="DI14" i="83"/>
  <c r="DH14" i="83"/>
  <c r="DG14" i="83"/>
  <c r="DF14" i="83"/>
  <c r="DE14" i="83" s="1"/>
  <c r="CU14" i="83"/>
  <c r="CT14" i="83"/>
  <c r="CK14" i="83"/>
  <c r="CD14" i="83"/>
  <c r="CJ14" i="83" s="1"/>
  <c r="IV13" i="83"/>
  <c r="IU13" i="83"/>
  <c r="IT13" i="83"/>
  <c r="IS13" i="83"/>
  <c r="IR13" i="83"/>
  <c r="HW13" i="83"/>
  <c r="DS13" i="83"/>
  <c r="DR13" i="83"/>
  <c r="DQ13" i="83"/>
  <c r="DP13" i="83"/>
  <c r="DO13" i="83"/>
  <c r="DN13" i="83"/>
  <c r="DM13" i="83"/>
  <c r="IQ13" i="83" s="1"/>
  <c r="DK13" i="83"/>
  <c r="DJ13" i="83"/>
  <c r="DI13" i="83"/>
  <c r="DH13" i="83"/>
  <c r="DG13" i="83"/>
  <c r="DF13" i="83"/>
  <c r="DE13" i="83"/>
  <c r="IH13" i="83" s="1"/>
  <c r="CU13" i="83"/>
  <c r="CT13" i="83"/>
  <c r="CK13" i="83"/>
  <c r="CD13" i="83"/>
  <c r="CF13" i="83" s="1"/>
  <c r="CW45" i="82"/>
  <c r="CQ45" i="82"/>
  <c r="CW44" i="82"/>
  <c r="CW46" i="82" s="1"/>
  <c r="CQ44" i="82"/>
  <c r="CQ46" i="82" s="1"/>
  <c r="CQ41" i="82"/>
  <c r="CP41" i="82"/>
  <c r="CQ40" i="82"/>
  <c r="CP40" i="82"/>
  <c r="CQ39" i="82"/>
  <c r="CP39" i="82"/>
  <c r="CQ38" i="82"/>
  <c r="CP38" i="82"/>
  <c r="DA34" i="82"/>
  <c r="CW27" i="82"/>
  <c r="CU27" i="82"/>
  <c r="CT27" i="82"/>
  <c r="CR27" i="82"/>
  <c r="CQ27" i="82"/>
  <c r="CO27" i="82"/>
  <c r="CW26" i="82"/>
  <c r="CU26" i="82"/>
  <c r="CT26" i="82"/>
  <c r="CR26" i="82"/>
  <c r="CQ26" i="82"/>
  <c r="CO26" i="82"/>
  <c r="CW25" i="82"/>
  <c r="CU25" i="82"/>
  <c r="CT25" i="82"/>
  <c r="CR25" i="82"/>
  <c r="CQ25" i="82"/>
  <c r="CO25" i="82"/>
  <c r="CW24" i="82"/>
  <c r="CU24" i="82"/>
  <c r="CT24" i="82"/>
  <c r="CR24" i="82"/>
  <c r="CQ24" i="82"/>
  <c r="CO24" i="82"/>
  <c r="DS15" i="82"/>
  <c r="DR15" i="82"/>
  <c r="DQ15" i="82"/>
  <c r="DP15" i="82"/>
  <c r="DO15" i="82"/>
  <c r="DN15" i="82"/>
  <c r="BC60" i="101" s="1"/>
  <c r="BI60" i="101" s="1"/>
  <c r="DK15" i="82"/>
  <c r="DJ15" i="82"/>
  <c r="DI15" i="82"/>
  <c r="DH15" i="82"/>
  <c r="DG15" i="82"/>
  <c r="DF15" i="82"/>
  <c r="CU15" i="82"/>
  <c r="CT15" i="82"/>
  <c r="CK15" i="82"/>
  <c r="DS14" i="82"/>
  <c r="DR14" i="82"/>
  <c r="DQ14" i="82"/>
  <c r="DP14" i="82"/>
  <c r="DO14" i="82"/>
  <c r="DN14" i="82"/>
  <c r="BC59" i="101" s="1"/>
  <c r="BI59" i="101" s="1"/>
  <c r="DK14" i="82"/>
  <c r="DJ14" i="82"/>
  <c r="DI14" i="82"/>
  <c r="DH14" i="82"/>
  <c r="DG14" i="82"/>
  <c r="DF14" i="82"/>
  <c r="AQ59" i="101" s="1"/>
  <c r="AW59" i="101" s="1"/>
  <c r="CU14" i="82"/>
  <c r="CT14" i="82"/>
  <c r="CK14" i="82"/>
  <c r="DS13" i="82"/>
  <c r="DR13" i="82"/>
  <c r="DQ13" i="82"/>
  <c r="DP13" i="82"/>
  <c r="DO13" i="82"/>
  <c r="DN13" i="82"/>
  <c r="BC15" i="101" s="1"/>
  <c r="BI15" i="101" s="1"/>
  <c r="DM13" i="82"/>
  <c r="DK13" i="82"/>
  <c r="DJ13" i="82"/>
  <c r="DI13" i="82"/>
  <c r="DH13" i="82"/>
  <c r="DG13" i="82"/>
  <c r="DF13" i="82"/>
  <c r="AQ15" i="101" s="1"/>
  <c r="CU13" i="82"/>
  <c r="CT13" i="82"/>
  <c r="CK13" i="82"/>
  <c r="CW45" i="81"/>
  <c r="CQ45" i="81"/>
  <c r="CW44" i="81"/>
  <c r="CW46" i="81" s="1"/>
  <c r="CQ44" i="81"/>
  <c r="CQ46" i="81" s="1"/>
  <c r="CQ41" i="81"/>
  <c r="CP41" i="81"/>
  <c r="CQ40" i="81"/>
  <c r="CP40" i="81"/>
  <c r="CQ39" i="81"/>
  <c r="CP39" i="81"/>
  <c r="CQ38" i="81"/>
  <c r="CP38" i="81"/>
  <c r="DA34" i="81"/>
  <c r="CW27" i="81"/>
  <c r="CU27" i="81"/>
  <c r="CT27" i="81"/>
  <c r="CR27" i="81"/>
  <c r="CQ27" i="81"/>
  <c r="CO27" i="81"/>
  <c r="CW26" i="81"/>
  <c r="CU26" i="81"/>
  <c r="CT26" i="81"/>
  <c r="CR26" i="81"/>
  <c r="CQ26" i="81"/>
  <c r="CO26" i="81"/>
  <c r="CW25" i="81"/>
  <c r="CU25" i="81"/>
  <c r="CT25" i="81"/>
  <c r="CR25" i="81"/>
  <c r="CQ25" i="81"/>
  <c r="CO25" i="81"/>
  <c r="CW24" i="81"/>
  <c r="CU24" i="81"/>
  <c r="CT24" i="81"/>
  <c r="CR24" i="81"/>
  <c r="CQ24" i="81"/>
  <c r="CO24" i="81"/>
  <c r="DS15" i="81"/>
  <c r="DR15" i="81"/>
  <c r="DQ15" i="81"/>
  <c r="DP15" i="81"/>
  <c r="DO15" i="81"/>
  <c r="DM15" i="81" s="1"/>
  <c r="DN15" i="81"/>
  <c r="DK15" i="81"/>
  <c r="DJ15" i="81"/>
  <c r="DI15" i="81"/>
  <c r="DH15" i="81"/>
  <c r="DG15" i="81"/>
  <c r="DF15" i="81"/>
  <c r="DE15" i="81" s="1"/>
  <c r="CU15" i="81"/>
  <c r="CT15" i="81"/>
  <c r="CK15" i="81"/>
  <c r="CD15" i="81"/>
  <c r="CJ15" i="81" s="1"/>
  <c r="IV14" i="81"/>
  <c r="IU14" i="81"/>
  <c r="IT14" i="81"/>
  <c r="IS14" i="81"/>
  <c r="IR14" i="81"/>
  <c r="IQ14" i="81"/>
  <c r="IP14" i="81"/>
  <c r="IO14" i="81"/>
  <c r="DS14" i="81"/>
  <c r="DR14" i="81"/>
  <c r="DQ14" i="81"/>
  <c r="DP14" i="81"/>
  <c r="DO14" i="81"/>
  <c r="DN14" i="81"/>
  <c r="DM14" i="81"/>
  <c r="IN14" i="81" s="1"/>
  <c r="DK14" i="81"/>
  <c r="DJ14" i="81"/>
  <c r="DI14" i="81"/>
  <c r="DH14" i="81"/>
  <c r="DG14" i="81"/>
  <c r="DE14" i="81" s="1"/>
  <c r="DF14" i="81"/>
  <c r="CU14" i="81"/>
  <c r="CT14" i="81"/>
  <c r="CK14" i="81"/>
  <c r="CD14" i="81"/>
  <c r="CJ14" i="81" s="1"/>
  <c r="IV13" i="81"/>
  <c r="IU13" i="81"/>
  <c r="IT13" i="81"/>
  <c r="IS13" i="81"/>
  <c r="IR13" i="81"/>
  <c r="HW13" i="81"/>
  <c r="DS13" i="81"/>
  <c r="DR13" i="81"/>
  <c r="DQ13" i="81"/>
  <c r="DP13" i="81"/>
  <c r="DO13" i="81"/>
  <c r="DN13" i="81"/>
  <c r="DM13" i="81"/>
  <c r="IQ13" i="81" s="1"/>
  <c r="DK13" i="81"/>
  <c r="DJ13" i="81"/>
  <c r="DI13" i="81"/>
  <c r="DH13" i="81"/>
  <c r="DG13" i="81"/>
  <c r="DF13" i="81"/>
  <c r="DE13" i="81"/>
  <c r="IE13" i="81" s="1"/>
  <c r="CU13" i="81"/>
  <c r="CT13" i="81"/>
  <c r="CK13" i="81"/>
  <c r="CD13" i="81"/>
  <c r="CF13" i="81" s="1"/>
  <c r="CW45" i="74"/>
  <c r="CQ45" i="74"/>
  <c r="CW44" i="74"/>
  <c r="CW46" i="74" s="1"/>
  <c r="CQ44" i="74"/>
  <c r="CQ46" i="74" s="1"/>
  <c r="CQ41" i="74"/>
  <c r="CP41" i="74"/>
  <c r="CQ40" i="74"/>
  <c r="CP40" i="74"/>
  <c r="CQ39" i="74"/>
  <c r="CP39" i="74"/>
  <c r="CQ38" i="74"/>
  <c r="CP38" i="74"/>
  <c r="DA34" i="74"/>
  <c r="CW27" i="74"/>
  <c r="CU27" i="74"/>
  <c r="CT27" i="74"/>
  <c r="CR27" i="74"/>
  <c r="CQ27" i="74"/>
  <c r="CO27" i="74"/>
  <c r="CW26" i="74"/>
  <c r="CU26" i="74"/>
  <c r="CT26" i="74"/>
  <c r="CR26" i="74"/>
  <c r="CQ26" i="74"/>
  <c r="CO26" i="74"/>
  <c r="CW25" i="74"/>
  <c r="CU25" i="74"/>
  <c r="CT25" i="74"/>
  <c r="CR25" i="74"/>
  <c r="CQ25" i="74"/>
  <c r="CO25" i="74"/>
  <c r="CW24" i="74"/>
  <c r="CU24" i="74"/>
  <c r="CT24" i="74"/>
  <c r="CR24" i="74"/>
  <c r="CQ24" i="74"/>
  <c r="CO24" i="74"/>
  <c r="IV15" i="74"/>
  <c r="IU15" i="74"/>
  <c r="IT15" i="74"/>
  <c r="IS15" i="74"/>
  <c r="IR15" i="74"/>
  <c r="IQ15" i="74"/>
  <c r="IP15" i="74"/>
  <c r="IO15" i="74"/>
  <c r="IN15" i="74"/>
  <c r="HW15" i="74"/>
  <c r="DS15" i="74"/>
  <c r="DR15" i="74"/>
  <c r="DQ15" i="74"/>
  <c r="DP15" i="74"/>
  <c r="DO15" i="74"/>
  <c r="DN15" i="74"/>
  <c r="DM15" i="74"/>
  <c r="IM15" i="74" s="1"/>
  <c r="DK15" i="74"/>
  <c r="DJ15" i="74"/>
  <c r="DI15" i="74"/>
  <c r="DH15" i="74"/>
  <c r="DG15" i="74"/>
  <c r="DF15" i="74"/>
  <c r="DE15" i="74"/>
  <c r="ID15" i="74" s="1"/>
  <c r="CU15" i="74"/>
  <c r="CT15" i="74"/>
  <c r="CK15" i="74"/>
  <c r="CD15" i="74"/>
  <c r="CF15" i="74" s="1"/>
  <c r="IV14" i="74"/>
  <c r="IU14" i="74"/>
  <c r="IT14" i="74"/>
  <c r="IS14" i="74"/>
  <c r="IR14" i="74"/>
  <c r="IQ14" i="74"/>
  <c r="IP14" i="74"/>
  <c r="IO14" i="74"/>
  <c r="HW14" i="74"/>
  <c r="DS14" i="74"/>
  <c r="DR14" i="74"/>
  <c r="DQ14" i="74"/>
  <c r="DP14" i="74"/>
  <c r="DO14" i="74"/>
  <c r="DN14" i="74"/>
  <c r="DM14" i="74"/>
  <c r="IN14" i="74" s="1"/>
  <c r="DK14" i="74"/>
  <c r="DJ14" i="74"/>
  <c r="DI14" i="74"/>
  <c r="DH14" i="74"/>
  <c r="DG14" i="74"/>
  <c r="DF14" i="74"/>
  <c r="DE14" i="74"/>
  <c r="IA14" i="74" s="1"/>
  <c r="CU14" i="74"/>
  <c r="CT14" i="74"/>
  <c r="CK14" i="74"/>
  <c r="CD14" i="74"/>
  <c r="CH14" i="74" s="1"/>
  <c r="IV13" i="74"/>
  <c r="IU13" i="74"/>
  <c r="IT13" i="74"/>
  <c r="IS13" i="74"/>
  <c r="IR13" i="74"/>
  <c r="DS13" i="74"/>
  <c r="DR13" i="74"/>
  <c r="DQ13" i="74"/>
  <c r="DP13" i="74"/>
  <c r="DO13" i="74"/>
  <c r="DN13" i="74"/>
  <c r="DM13" i="74"/>
  <c r="IQ13" i="74" s="1"/>
  <c r="DK13" i="74"/>
  <c r="DJ13" i="74"/>
  <c r="DI13" i="74"/>
  <c r="DH13" i="74"/>
  <c r="DG13" i="74"/>
  <c r="DE13" i="74" s="1"/>
  <c r="DF13" i="74"/>
  <c r="CU13" i="74"/>
  <c r="CT13" i="74"/>
  <c r="CK13" i="74"/>
  <c r="CD13" i="74"/>
  <c r="CJ13" i="74" s="1"/>
  <c r="CW45" i="72"/>
  <c r="CQ45" i="72"/>
  <c r="CW44" i="72"/>
  <c r="CW46" i="72" s="1"/>
  <c r="CQ44" i="72"/>
  <c r="CQ46" i="72" s="1"/>
  <c r="CQ41" i="72"/>
  <c r="CP41" i="72"/>
  <c r="CQ40" i="72"/>
  <c r="CP40" i="72"/>
  <c r="CQ39" i="72"/>
  <c r="CP39" i="72"/>
  <c r="CQ38" i="72"/>
  <c r="CP38" i="72"/>
  <c r="DA34" i="72"/>
  <c r="CW27" i="72"/>
  <c r="CU27" i="72"/>
  <c r="CT27" i="72"/>
  <c r="CR27" i="72"/>
  <c r="CQ27" i="72"/>
  <c r="CO27" i="72"/>
  <c r="CW26" i="72"/>
  <c r="CU26" i="72"/>
  <c r="CT26" i="72"/>
  <c r="CR26" i="72"/>
  <c r="CQ26" i="72"/>
  <c r="CO26" i="72"/>
  <c r="CW25" i="72"/>
  <c r="CU25" i="72"/>
  <c r="CT25" i="72"/>
  <c r="CR25" i="72"/>
  <c r="CQ25" i="72"/>
  <c r="CO25" i="72"/>
  <c r="CW24" i="72"/>
  <c r="CU24" i="72"/>
  <c r="CT24" i="72"/>
  <c r="CR24" i="72"/>
  <c r="CQ24" i="72"/>
  <c r="CO24" i="72"/>
  <c r="HW15" i="72"/>
  <c r="DS15" i="72"/>
  <c r="DR15" i="72"/>
  <c r="DQ15" i="72"/>
  <c r="DP15" i="72"/>
  <c r="BE52" i="101" s="1"/>
  <c r="BI52" i="101" s="1"/>
  <c r="DO15" i="72"/>
  <c r="DN15" i="72"/>
  <c r="DM15" i="72"/>
  <c r="IV15" i="72" s="1"/>
  <c r="DK15" i="72"/>
  <c r="DJ15" i="72"/>
  <c r="DI15" i="72"/>
  <c r="DH15" i="72"/>
  <c r="AS52" i="101" s="1"/>
  <c r="AW52" i="101" s="1"/>
  <c r="DG15" i="72"/>
  <c r="DF15" i="72"/>
  <c r="DE15" i="72"/>
  <c r="CU15" i="72"/>
  <c r="CT15" i="72"/>
  <c r="CK15" i="72"/>
  <c r="CD15" i="72"/>
  <c r="CF15" i="72" s="1"/>
  <c r="IV14" i="72"/>
  <c r="IU14" i="72"/>
  <c r="IT14" i="72"/>
  <c r="IS14" i="72"/>
  <c r="IR14" i="72"/>
  <c r="IQ14" i="72"/>
  <c r="IP14" i="72"/>
  <c r="DS14" i="72"/>
  <c r="DR14" i="72"/>
  <c r="DQ14" i="72"/>
  <c r="DP14" i="72"/>
  <c r="BE51" i="101" s="1"/>
  <c r="BI51" i="101" s="1"/>
  <c r="DO14" i="72"/>
  <c r="DN14" i="72"/>
  <c r="DM14" i="72"/>
  <c r="DK14" i="72"/>
  <c r="DJ14" i="72"/>
  <c r="DI14" i="72"/>
  <c r="DH14" i="72"/>
  <c r="AS51" i="101" s="1"/>
  <c r="AW51" i="101" s="1"/>
  <c r="DG14" i="72"/>
  <c r="DF14" i="72"/>
  <c r="DE14" i="72"/>
  <c r="HW14" i="72" s="1"/>
  <c r="CU14" i="72"/>
  <c r="CT14" i="72"/>
  <c r="CK14" i="72"/>
  <c r="CD14" i="72"/>
  <c r="CH14" i="72" s="1"/>
  <c r="IV13" i="72"/>
  <c r="IU13" i="72"/>
  <c r="IT13" i="72"/>
  <c r="IS13" i="72"/>
  <c r="IR13" i="72"/>
  <c r="HW13" i="72"/>
  <c r="DS13" i="72"/>
  <c r="DR13" i="72"/>
  <c r="DQ13" i="72"/>
  <c r="DP13" i="72"/>
  <c r="DO13" i="72"/>
  <c r="DN13" i="72"/>
  <c r="DM13" i="72"/>
  <c r="IQ13" i="72" s="1"/>
  <c r="DK13" i="72"/>
  <c r="DJ13" i="72"/>
  <c r="DI13" i="72"/>
  <c r="DH13" i="72"/>
  <c r="DG13" i="72"/>
  <c r="DF13" i="72"/>
  <c r="DE13" i="72"/>
  <c r="HX13" i="72" s="1"/>
  <c r="CU13" i="72"/>
  <c r="CT13" i="72"/>
  <c r="CK13" i="72"/>
  <c r="CD13" i="72"/>
  <c r="CE13" i="72" s="1"/>
  <c r="CW45" i="71"/>
  <c r="CQ45" i="71"/>
  <c r="CQ46" i="71" s="1"/>
  <c r="CW44" i="71"/>
  <c r="CW46" i="71" s="1"/>
  <c r="CQ44" i="71"/>
  <c r="CQ41" i="71"/>
  <c r="CP41" i="71"/>
  <c r="CQ40" i="71"/>
  <c r="CP40" i="71"/>
  <c r="CQ39" i="71"/>
  <c r="CP39" i="71"/>
  <c r="CQ38" i="71"/>
  <c r="CP38" i="71"/>
  <c r="DA34" i="71"/>
  <c r="CW27" i="71"/>
  <c r="CU27" i="71"/>
  <c r="CT27" i="71"/>
  <c r="CR27" i="71"/>
  <c r="CQ27" i="71"/>
  <c r="CO27" i="71"/>
  <c r="CW26" i="71"/>
  <c r="CU26" i="71"/>
  <c r="CT26" i="71"/>
  <c r="CR26" i="71"/>
  <c r="CQ26" i="71"/>
  <c r="CO26" i="71"/>
  <c r="CW25" i="71"/>
  <c r="CU25" i="71"/>
  <c r="CT25" i="71"/>
  <c r="CR25" i="71"/>
  <c r="CQ25" i="71"/>
  <c r="CO25" i="71"/>
  <c r="CW24" i="71"/>
  <c r="CU24" i="71"/>
  <c r="CT24" i="71"/>
  <c r="CR24" i="71"/>
  <c r="CQ24" i="71"/>
  <c r="CO24" i="71"/>
  <c r="IU15" i="71"/>
  <c r="IT15" i="71"/>
  <c r="IS15" i="71"/>
  <c r="IR15" i="71"/>
  <c r="IQ15" i="71"/>
  <c r="IP15" i="71"/>
  <c r="IO15" i="71"/>
  <c r="IN15" i="71"/>
  <c r="IA15" i="71"/>
  <c r="HZ15" i="71"/>
  <c r="DS15" i="71"/>
  <c r="DR15" i="71"/>
  <c r="DQ15" i="71"/>
  <c r="DP15" i="71"/>
  <c r="DM15" i="71" s="1"/>
  <c r="DO15" i="71"/>
  <c r="DN15" i="71"/>
  <c r="DK15" i="71"/>
  <c r="DJ15" i="71"/>
  <c r="DI15" i="71"/>
  <c r="DH15" i="71"/>
  <c r="DG15" i="71"/>
  <c r="DE15" i="71" s="1"/>
  <c r="DF15" i="71"/>
  <c r="CU15" i="71"/>
  <c r="CT15" i="71"/>
  <c r="CK15" i="71"/>
  <c r="CD15" i="71"/>
  <c r="CH15" i="71" s="1"/>
  <c r="IV14" i="71"/>
  <c r="IU14" i="71"/>
  <c r="IT14" i="71"/>
  <c r="IS14" i="71"/>
  <c r="IR14" i="71"/>
  <c r="IQ14" i="71"/>
  <c r="IP14" i="71"/>
  <c r="IO14" i="71"/>
  <c r="IB14" i="71"/>
  <c r="IA14" i="71"/>
  <c r="HX14" i="71"/>
  <c r="HW14" i="71"/>
  <c r="DS14" i="71"/>
  <c r="DR14" i="71"/>
  <c r="DQ14" i="71"/>
  <c r="DP14" i="71"/>
  <c r="DO14" i="71"/>
  <c r="DN14" i="71"/>
  <c r="DM14" i="71"/>
  <c r="IN14" i="71" s="1"/>
  <c r="DK14" i="71"/>
  <c r="DJ14" i="71"/>
  <c r="DI14" i="71"/>
  <c r="DH14" i="71"/>
  <c r="DG14" i="71"/>
  <c r="DF14" i="71"/>
  <c r="DE14" i="71"/>
  <c r="CU14" i="71"/>
  <c r="CT14" i="71"/>
  <c r="CK14" i="71"/>
  <c r="CD14" i="71"/>
  <c r="CG14" i="71" s="1"/>
  <c r="DS13" i="71"/>
  <c r="BH10" i="101" s="1"/>
  <c r="DR13" i="71"/>
  <c r="BG10" i="101" s="1"/>
  <c r="DQ13" i="71"/>
  <c r="BF10" i="101" s="1"/>
  <c r="DP13" i="71"/>
  <c r="BE10" i="101" s="1"/>
  <c r="DO13" i="71"/>
  <c r="BD10" i="101" s="1"/>
  <c r="DN13" i="71"/>
  <c r="BC10" i="101" s="1"/>
  <c r="DK13" i="71"/>
  <c r="AV10" i="101" s="1"/>
  <c r="DJ13" i="71"/>
  <c r="AU10" i="101" s="1"/>
  <c r="DI13" i="71"/>
  <c r="AT10" i="101" s="1"/>
  <c r="DH13" i="71"/>
  <c r="AS10" i="101" s="1"/>
  <c r="DG13" i="71"/>
  <c r="AR10" i="101" s="1"/>
  <c r="DF13" i="71"/>
  <c r="AQ10" i="101" s="1"/>
  <c r="CU13" i="71"/>
  <c r="CT13" i="71"/>
  <c r="CK13" i="71"/>
  <c r="CD13" i="71"/>
  <c r="CJ13" i="71" s="1"/>
  <c r="CW45" i="70"/>
  <c r="CQ45" i="70"/>
  <c r="CW44" i="70"/>
  <c r="CW46" i="70" s="1"/>
  <c r="CQ44" i="70"/>
  <c r="CQ46" i="70" s="1"/>
  <c r="CQ41" i="70"/>
  <c r="CP41" i="70"/>
  <c r="CQ40" i="70"/>
  <c r="CP40" i="70"/>
  <c r="CQ39" i="70"/>
  <c r="CP39" i="70"/>
  <c r="CQ38" i="70"/>
  <c r="CP38" i="70"/>
  <c r="DA34" i="70"/>
  <c r="CW27" i="70"/>
  <c r="CU27" i="70"/>
  <c r="CT27" i="70"/>
  <c r="CR27" i="70"/>
  <c r="CQ27" i="70"/>
  <c r="CO27" i="70"/>
  <c r="CW26" i="70"/>
  <c r="CU26" i="70"/>
  <c r="CT26" i="70"/>
  <c r="CR26" i="70"/>
  <c r="CQ26" i="70"/>
  <c r="CO26" i="70"/>
  <c r="CW25" i="70"/>
  <c r="CU25" i="70"/>
  <c r="CT25" i="70"/>
  <c r="CR25" i="70"/>
  <c r="CQ25" i="70"/>
  <c r="CO25" i="70"/>
  <c r="CW24" i="70"/>
  <c r="CU24" i="70"/>
  <c r="CT24" i="70"/>
  <c r="CR24" i="70"/>
  <c r="CQ24" i="70"/>
  <c r="CO24" i="70"/>
  <c r="HW15" i="70"/>
  <c r="DS15" i="70"/>
  <c r="DR15" i="70"/>
  <c r="DQ15" i="70"/>
  <c r="DP15" i="70"/>
  <c r="DO15" i="70"/>
  <c r="DN15" i="70"/>
  <c r="DM15" i="70" s="1"/>
  <c r="DK15" i="70"/>
  <c r="DJ15" i="70"/>
  <c r="DI15" i="70"/>
  <c r="DH15" i="70"/>
  <c r="DG15" i="70"/>
  <c r="DF15" i="70"/>
  <c r="DE15" i="70"/>
  <c r="CP15" i="70" s="1"/>
  <c r="CR15" i="70" s="1"/>
  <c r="CU15" i="70"/>
  <c r="CT15" i="70"/>
  <c r="CK15" i="70"/>
  <c r="CD15" i="70"/>
  <c r="CG15" i="70" s="1"/>
  <c r="HX14" i="70"/>
  <c r="HW14" i="70"/>
  <c r="DS14" i="70"/>
  <c r="DR14" i="70"/>
  <c r="DQ14" i="70"/>
  <c r="DP14" i="70"/>
  <c r="BE47" i="101" s="1"/>
  <c r="BI47" i="101" s="1"/>
  <c r="DO14" i="70"/>
  <c r="DN14" i="70"/>
  <c r="DK14" i="70"/>
  <c r="DJ14" i="70"/>
  <c r="DI14" i="70"/>
  <c r="DH14" i="70"/>
  <c r="AS47" i="101" s="1"/>
  <c r="AW47" i="101" s="1"/>
  <c r="DG14" i="70"/>
  <c r="DF14" i="70"/>
  <c r="DE14" i="70"/>
  <c r="CU14" i="70"/>
  <c r="CT14" i="70"/>
  <c r="CK14" i="70"/>
  <c r="CD14" i="70"/>
  <c r="CI14" i="70" s="1"/>
  <c r="DS13" i="70"/>
  <c r="DR13" i="70"/>
  <c r="DQ13" i="70"/>
  <c r="DP13" i="70"/>
  <c r="BE9" i="101" s="1"/>
  <c r="DO13" i="70"/>
  <c r="BD9" i="101" s="1"/>
  <c r="DN13" i="70"/>
  <c r="DK13" i="70"/>
  <c r="DJ13" i="70"/>
  <c r="DI13" i="70"/>
  <c r="DH13" i="70"/>
  <c r="AS9" i="101" s="1"/>
  <c r="DG13" i="70"/>
  <c r="AR9" i="101" s="1"/>
  <c r="DF13" i="70"/>
  <c r="AQ9" i="101" s="1"/>
  <c r="CU13" i="70"/>
  <c r="CT13" i="70"/>
  <c r="CK13" i="70"/>
  <c r="CD13" i="70"/>
  <c r="CH13" i="70" s="1"/>
  <c r="CW45" i="69"/>
  <c r="CQ45" i="69"/>
  <c r="CW44" i="69"/>
  <c r="CW46" i="69" s="1"/>
  <c r="CQ44" i="69"/>
  <c r="CQ46" i="69" s="1"/>
  <c r="CQ41" i="69"/>
  <c r="CP41" i="69"/>
  <c r="CQ40" i="69"/>
  <c r="CP40" i="69"/>
  <c r="CQ39" i="69"/>
  <c r="CP39" i="69"/>
  <c r="CQ38" i="69"/>
  <c r="CP38" i="69"/>
  <c r="DA34" i="69"/>
  <c r="CW27" i="69"/>
  <c r="CU27" i="69"/>
  <c r="CT27" i="69"/>
  <c r="CR27" i="69"/>
  <c r="CQ27" i="69"/>
  <c r="CO27" i="69"/>
  <c r="CW26" i="69"/>
  <c r="CU26" i="69"/>
  <c r="CT26" i="69"/>
  <c r="CR26" i="69"/>
  <c r="CQ26" i="69"/>
  <c r="CO26" i="69"/>
  <c r="CW25" i="69"/>
  <c r="CU25" i="69"/>
  <c r="CT25" i="69"/>
  <c r="CR25" i="69"/>
  <c r="CQ25" i="69"/>
  <c r="CO25" i="69"/>
  <c r="CW24" i="69"/>
  <c r="CU24" i="69"/>
  <c r="CT24" i="69"/>
  <c r="CR24" i="69"/>
  <c r="CQ24" i="69"/>
  <c r="CO24" i="69"/>
  <c r="DS15" i="69"/>
  <c r="DR15" i="69"/>
  <c r="DQ15" i="69"/>
  <c r="DP15" i="69"/>
  <c r="DO15" i="69"/>
  <c r="DN15" i="69"/>
  <c r="DK15" i="69"/>
  <c r="DJ15" i="69"/>
  <c r="DI15" i="69"/>
  <c r="DH15" i="69"/>
  <c r="AS46" i="101" s="1"/>
  <c r="AW46" i="101" s="1"/>
  <c r="DG15" i="69"/>
  <c r="DF15" i="69"/>
  <c r="DE15" i="69" s="1"/>
  <c r="BN46" i="101" s="1"/>
  <c r="CU15" i="69"/>
  <c r="CT15" i="69"/>
  <c r="CK15" i="69"/>
  <c r="CD15" i="69"/>
  <c r="CH15" i="69" s="1"/>
  <c r="IV14" i="69"/>
  <c r="IU14" i="69"/>
  <c r="IT14" i="69"/>
  <c r="DS14" i="69"/>
  <c r="DR14" i="69"/>
  <c r="DQ14" i="69"/>
  <c r="DP14" i="69"/>
  <c r="DO14" i="69"/>
  <c r="BD45" i="101" s="1"/>
  <c r="BI45" i="101" s="1"/>
  <c r="DN14" i="69"/>
  <c r="DM14" i="69"/>
  <c r="IQ14" i="69" s="1"/>
  <c r="DK14" i="69"/>
  <c r="DJ14" i="69"/>
  <c r="DI14" i="69"/>
  <c r="DH14" i="69"/>
  <c r="DG14" i="69"/>
  <c r="AR45" i="101" s="1"/>
  <c r="AW45" i="101" s="1"/>
  <c r="DF14" i="69"/>
  <c r="CU14" i="69"/>
  <c r="CT14" i="69"/>
  <c r="CK14" i="69"/>
  <c r="CD14" i="69"/>
  <c r="CF14" i="69" s="1"/>
  <c r="IV13" i="69"/>
  <c r="IU13" i="69"/>
  <c r="IT13" i="69"/>
  <c r="IR13" i="69"/>
  <c r="HW13" i="69"/>
  <c r="DS13" i="69"/>
  <c r="DR13" i="69"/>
  <c r="DQ13" i="69"/>
  <c r="DP13" i="69"/>
  <c r="DO13" i="69"/>
  <c r="DN13" i="69"/>
  <c r="DM13" i="69"/>
  <c r="IQ13" i="69" s="1"/>
  <c r="DK13" i="69"/>
  <c r="DJ13" i="69"/>
  <c r="DI13" i="69"/>
  <c r="DH13" i="69"/>
  <c r="DG13" i="69"/>
  <c r="DF13" i="69"/>
  <c r="DE13" i="69"/>
  <c r="IE13" i="69" s="1"/>
  <c r="CU13" i="69"/>
  <c r="CT13" i="69"/>
  <c r="CK13" i="69"/>
  <c r="CD13" i="69"/>
  <c r="CE13" i="69" s="1"/>
  <c r="CW45" i="68"/>
  <c r="CQ45" i="68"/>
  <c r="CW44" i="68"/>
  <c r="CW46" i="68" s="1"/>
  <c r="CQ44" i="68"/>
  <c r="CQ46" i="68" s="1"/>
  <c r="CQ41" i="68"/>
  <c r="CP41" i="68"/>
  <c r="CQ40" i="68"/>
  <c r="CP40" i="68"/>
  <c r="CQ39" i="68"/>
  <c r="CP39" i="68"/>
  <c r="CQ38" i="68"/>
  <c r="CP38" i="68"/>
  <c r="DA34" i="68"/>
  <c r="CW27" i="68"/>
  <c r="CU27" i="68"/>
  <c r="CT27" i="68"/>
  <c r="CR27" i="68"/>
  <c r="CQ27" i="68"/>
  <c r="CO27" i="68"/>
  <c r="CW26" i="68"/>
  <c r="CU26" i="68"/>
  <c r="CT26" i="68"/>
  <c r="CR26" i="68"/>
  <c r="CQ26" i="68"/>
  <c r="CO26" i="68"/>
  <c r="CW25" i="68"/>
  <c r="CU25" i="68"/>
  <c r="CT25" i="68"/>
  <c r="CR25" i="68"/>
  <c r="CQ25" i="68"/>
  <c r="CO25" i="68"/>
  <c r="CW24" i="68"/>
  <c r="CU24" i="68"/>
  <c r="CT24" i="68"/>
  <c r="CR24" i="68"/>
  <c r="CQ24" i="68"/>
  <c r="CO24" i="68"/>
  <c r="DS15" i="68"/>
  <c r="DR15" i="68"/>
  <c r="DQ15" i="68"/>
  <c r="BF44" i="101" s="1"/>
  <c r="DP15" i="68"/>
  <c r="BE44" i="101" s="1"/>
  <c r="DO15" i="68"/>
  <c r="BD44" i="101" s="1"/>
  <c r="DN15" i="68"/>
  <c r="BC44" i="101" s="1"/>
  <c r="BI44" i="101" s="1"/>
  <c r="DK15" i="68"/>
  <c r="DJ15" i="68"/>
  <c r="DI15" i="68"/>
  <c r="AT44" i="101" s="1"/>
  <c r="DH15" i="68"/>
  <c r="AS44" i="101" s="1"/>
  <c r="DG15" i="68"/>
  <c r="AR44" i="101" s="1"/>
  <c r="DF15" i="68"/>
  <c r="AQ44" i="101" s="1"/>
  <c r="CU15" i="68"/>
  <c r="CT15" i="68"/>
  <c r="CK15" i="68"/>
  <c r="CD15" i="68"/>
  <c r="CJ15" i="68" s="1"/>
  <c r="DS14" i="68"/>
  <c r="DR14" i="68"/>
  <c r="DQ14" i="68"/>
  <c r="BF43" i="101" s="1"/>
  <c r="DP14" i="68"/>
  <c r="BE43" i="101" s="1"/>
  <c r="DO14" i="68"/>
  <c r="BD43" i="101" s="1"/>
  <c r="DN14" i="68"/>
  <c r="BC43" i="101" s="1"/>
  <c r="DK14" i="68"/>
  <c r="DJ14" i="68"/>
  <c r="DI14" i="68"/>
  <c r="AT43" i="101" s="1"/>
  <c r="DH14" i="68"/>
  <c r="AS43" i="101" s="1"/>
  <c r="DG14" i="68"/>
  <c r="AR43" i="101" s="1"/>
  <c r="DF14" i="68"/>
  <c r="AQ43" i="101" s="1"/>
  <c r="CU14" i="68"/>
  <c r="CT14" i="68"/>
  <c r="CK14" i="68"/>
  <c r="CD14" i="68"/>
  <c r="CJ14" i="68" s="1"/>
  <c r="DS13" i="68"/>
  <c r="BH7" i="101" s="1"/>
  <c r="DR13" i="68"/>
  <c r="BG7" i="101" s="1"/>
  <c r="DQ13" i="68"/>
  <c r="BF7" i="101" s="1"/>
  <c r="DP13" i="68"/>
  <c r="BE7" i="101" s="1"/>
  <c r="DO13" i="68"/>
  <c r="BD7" i="101" s="1"/>
  <c r="DN13" i="68"/>
  <c r="BC7" i="101" s="1"/>
  <c r="DK13" i="68"/>
  <c r="AV7" i="101" s="1"/>
  <c r="DJ13" i="68"/>
  <c r="AU7" i="101" s="1"/>
  <c r="DI13" i="68"/>
  <c r="AT7" i="101" s="1"/>
  <c r="DH13" i="68"/>
  <c r="AS7" i="101" s="1"/>
  <c r="DG13" i="68"/>
  <c r="AR7" i="101" s="1"/>
  <c r="DF13" i="68"/>
  <c r="AQ7" i="101" s="1"/>
  <c r="CU13" i="68"/>
  <c r="CT13" i="68"/>
  <c r="CK13" i="68"/>
  <c r="CD13" i="68"/>
  <c r="CG13" i="68" s="1"/>
  <c r="CW45" i="67"/>
  <c r="CQ45" i="67"/>
  <c r="CW44" i="67"/>
  <c r="CW46" i="67" s="1"/>
  <c r="CQ44" i="67"/>
  <c r="CQ46" i="67" s="1"/>
  <c r="CQ41" i="67"/>
  <c r="CP41" i="67"/>
  <c r="CQ40" i="67"/>
  <c r="CP40" i="67"/>
  <c r="CQ39" i="67"/>
  <c r="CP39" i="67"/>
  <c r="CQ38" i="67"/>
  <c r="CP38" i="67"/>
  <c r="DA34" i="67"/>
  <c r="CW27" i="67"/>
  <c r="CU27" i="67"/>
  <c r="CT27" i="67"/>
  <c r="CR27" i="67"/>
  <c r="CQ27" i="67"/>
  <c r="CO27" i="67"/>
  <c r="CW26" i="67"/>
  <c r="CU26" i="67"/>
  <c r="CT26" i="67"/>
  <c r="CR26" i="67"/>
  <c r="CQ26" i="67"/>
  <c r="CO26" i="67"/>
  <c r="CW25" i="67"/>
  <c r="CU25" i="67"/>
  <c r="CT25" i="67"/>
  <c r="CR25" i="67"/>
  <c r="CQ25" i="67"/>
  <c r="CO25" i="67"/>
  <c r="CW24" i="67"/>
  <c r="CU24" i="67"/>
  <c r="CT24" i="67"/>
  <c r="CR24" i="67"/>
  <c r="CQ24" i="67"/>
  <c r="CO24" i="67"/>
  <c r="DS15" i="67"/>
  <c r="BH42" i="101" s="1"/>
  <c r="DR15" i="67"/>
  <c r="BG42" i="101" s="1"/>
  <c r="DQ15" i="67"/>
  <c r="BF42" i="101" s="1"/>
  <c r="DP15" i="67"/>
  <c r="BE42" i="101" s="1"/>
  <c r="DO15" i="67"/>
  <c r="BD42" i="101" s="1"/>
  <c r="DN15" i="67"/>
  <c r="BC42" i="101" s="1"/>
  <c r="DK15" i="67"/>
  <c r="AV42" i="101" s="1"/>
  <c r="DJ15" i="67"/>
  <c r="AU42" i="101" s="1"/>
  <c r="DI15" i="67"/>
  <c r="AT42" i="101" s="1"/>
  <c r="DH15" i="67"/>
  <c r="AS42" i="101" s="1"/>
  <c r="DG15" i="67"/>
  <c r="AR42" i="101" s="1"/>
  <c r="DF15" i="67"/>
  <c r="CU15" i="67"/>
  <c r="CT15" i="67"/>
  <c r="CK15" i="67"/>
  <c r="CD15" i="67"/>
  <c r="CG15" i="67" s="1"/>
  <c r="DS14" i="67"/>
  <c r="BH41" i="101" s="1"/>
  <c r="DR14" i="67"/>
  <c r="BG41" i="101" s="1"/>
  <c r="DQ14" i="67"/>
  <c r="BF41" i="101" s="1"/>
  <c r="DP14" i="67"/>
  <c r="BE41" i="101" s="1"/>
  <c r="DO14" i="67"/>
  <c r="BD41" i="101" s="1"/>
  <c r="DN14" i="67"/>
  <c r="DK14" i="67"/>
  <c r="AV41" i="101" s="1"/>
  <c r="DJ14" i="67"/>
  <c r="AU41" i="101" s="1"/>
  <c r="DI14" i="67"/>
  <c r="AT41" i="101" s="1"/>
  <c r="DH14" i="67"/>
  <c r="AS41" i="101" s="1"/>
  <c r="DG14" i="67"/>
  <c r="AR41" i="101" s="1"/>
  <c r="DF14" i="67"/>
  <c r="AQ41" i="101" s="1"/>
  <c r="AW41" i="101" s="1"/>
  <c r="CU14" i="67"/>
  <c r="CT14" i="67"/>
  <c r="CK14" i="67"/>
  <c r="CD14" i="67"/>
  <c r="CH14" i="67" s="1"/>
  <c r="DS13" i="67"/>
  <c r="BH6" i="101" s="1"/>
  <c r="DR13" i="67"/>
  <c r="BG6" i="101" s="1"/>
  <c r="DQ13" i="67"/>
  <c r="BF6" i="101" s="1"/>
  <c r="DP13" i="67"/>
  <c r="BE6" i="101" s="1"/>
  <c r="DO13" i="67"/>
  <c r="BD6" i="101" s="1"/>
  <c r="DN13" i="67"/>
  <c r="BC6" i="101" s="1"/>
  <c r="DK13" i="67"/>
  <c r="AV6" i="101" s="1"/>
  <c r="DJ13" i="67"/>
  <c r="AU6" i="101" s="1"/>
  <c r="DI13" i="67"/>
  <c r="AT6" i="101" s="1"/>
  <c r="DH13" i="67"/>
  <c r="AS6" i="101" s="1"/>
  <c r="DG13" i="67"/>
  <c r="AR6" i="101" s="1"/>
  <c r="DF13" i="67"/>
  <c r="AQ6" i="101" s="1"/>
  <c r="CU13" i="67"/>
  <c r="CT13" i="67"/>
  <c r="CK13" i="67"/>
  <c r="CD13" i="67"/>
  <c r="CJ13" i="67" s="1"/>
  <c r="CW45" i="66"/>
  <c r="CQ45" i="66"/>
  <c r="CW44" i="66"/>
  <c r="CW46" i="66" s="1"/>
  <c r="CQ44" i="66"/>
  <c r="CQ46" i="66" s="1"/>
  <c r="CQ41" i="66"/>
  <c r="CP41" i="66"/>
  <c r="CQ40" i="66"/>
  <c r="CP40" i="66"/>
  <c r="CQ39" i="66"/>
  <c r="CP39" i="66"/>
  <c r="CQ38" i="66"/>
  <c r="CP38" i="66"/>
  <c r="DA34" i="66"/>
  <c r="CW27" i="66"/>
  <c r="CU27" i="66"/>
  <c r="CT27" i="66"/>
  <c r="CR27" i="66"/>
  <c r="CQ27" i="66"/>
  <c r="CO27" i="66"/>
  <c r="CW26" i="66"/>
  <c r="CU26" i="66"/>
  <c r="CT26" i="66"/>
  <c r="CR26" i="66"/>
  <c r="CQ26" i="66"/>
  <c r="CO26" i="66"/>
  <c r="CW25" i="66"/>
  <c r="CU25" i="66"/>
  <c r="CT25" i="66"/>
  <c r="CR25" i="66"/>
  <c r="CQ25" i="66"/>
  <c r="CO25" i="66"/>
  <c r="CW24" i="66"/>
  <c r="CU24" i="66"/>
  <c r="CT24" i="66"/>
  <c r="CR24" i="66"/>
  <c r="CQ24" i="66"/>
  <c r="CO24" i="66"/>
  <c r="DS15" i="66"/>
  <c r="BH40" i="101" s="1"/>
  <c r="DR15" i="66"/>
  <c r="BG40" i="101" s="1"/>
  <c r="DQ15" i="66"/>
  <c r="BF40" i="101" s="1"/>
  <c r="DP15" i="66"/>
  <c r="DO15" i="66"/>
  <c r="BD40" i="101" s="1"/>
  <c r="DN15" i="66"/>
  <c r="BC40" i="101" s="1"/>
  <c r="DK15" i="66"/>
  <c r="AV40" i="101" s="1"/>
  <c r="DJ15" i="66"/>
  <c r="AU40" i="101" s="1"/>
  <c r="DI15" i="66"/>
  <c r="AT40" i="101" s="1"/>
  <c r="DH15" i="66"/>
  <c r="DG15" i="66"/>
  <c r="AR40" i="101" s="1"/>
  <c r="DF15" i="66"/>
  <c r="AQ40" i="101" s="1"/>
  <c r="CU15" i="66"/>
  <c r="CT15" i="66"/>
  <c r="CK15" i="66"/>
  <c r="CD15" i="66"/>
  <c r="CE15" i="66" s="1"/>
  <c r="DS14" i="66"/>
  <c r="BH39" i="101" s="1"/>
  <c r="DR14" i="66"/>
  <c r="DQ14" i="66"/>
  <c r="BF39" i="101" s="1"/>
  <c r="DP14" i="66"/>
  <c r="BE39" i="101" s="1"/>
  <c r="DO14" i="66"/>
  <c r="BD39" i="101" s="1"/>
  <c r="DN14" i="66"/>
  <c r="BC39" i="101" s="1"/>
  <c r="DK14" i="66"/>
  <c r="AV39" i="101" s="1"/>
  <c r="DJ14" i="66"/>
  <c r="DI14" i="66"/>
  <c r="AT39" i="101" s="1"/>
  <c r="DH14" i="66"/>
  <c r="AS39" i="101" s="1"/>
  <c r="DG14" i="66"/>
  <c r="AR39" i="101" s="1"/>
  <c r="DF14" i="66"/>
  <c r="AQ39" i="101" s="1"/>
  <c r="CU14" i="66"/>
  <c r="CT14" i="66"/>
  <c r="CK14" i="66"/>
  <c r="CD14" i="66"/>
  <c r="CG14" i="66" s="1"/>
  <c r="DS13" i="66"/>
  <c r="BH5" i="101" s="1"/>
  <c r="DR13" i="66"/>
  <c r="BG5" i="101" s="1"/>
  <c r="DQ13" i="66"/>
  <c r="BF5" i="101" s="1"/>
  <c r="DP13" i="66"/>
  <c r="BE5" i="101" s="1"/>
  <c r="DO13" i="66"/>
  <c r="BD5" i="101" s="1"/>
  <c r="DN13" i="66"/>
  <c r="DK13" i="66"/>
  <c r="AV5" i="101" s="1"/>
  <c r="DJ13" i="66"/>
  <c r="AU5" i="101" s="1"/>
  <c r="DI13" i="66"/>
  <c r="AT5" i="101" s="1"/>
  <c r="DH13" i="66"/>
  <c r="AS5" i="101" s="1"/>
  <c r="DG13" i="66"/>
  <c r="AR5" i="101" s="1"/>
  <c r="DF13" i="66"/>
  <c r="AQ5" i="101" s="1"/>
  <c r="CU13" i="66"/>
  <c r="CT13" i="66"/>
  <c r="CK13" i="66"/>
  <c r="CD13" i="66"/>
  <c r="CI13" i="66" s="1"/>
  <c r="EI15" i="73" l="1"/>
  <c r="AA9" i="101"/>
  <c r="AX9" i="101"/>
  <c r="AA8" i="101"/>
  <c r="AX8" i="101"/>
  <c r="AA10" i="101"/>
  <c r="AX10" i="101"/>
  <c r="AA7" i="101"/>
  <c r="AX7" i="101"/>
  <c r="AA4" i="101"/>
  <c r="AW43" i="101"/>
  <c r="AW44" i="101"/>
  <c r="BI77" i="101"/>
  <c r="AX77" i="101" s="1"/>
  <c r="AY77" i="101" s="1"/>
  <c r="GG13" i="73"/>
  <c r="HG13" i="73"/>
  <c r="CZ14" i="73"/>
  <c r="DE14" i="91"/>
  <c r="HX14" i="91" s="1"/>
  <c r="DM14" i="91"/>
  <c r="IN14" i="91" s="1"/>
  <c r="DM13" i="90"/>
  <c r="IN14" i="72"/>
  <c r="BO51" i="101"/>
  <c r="HZ14" i="72"/>
  <c r="BN51" i="101"/>
  <c r="HX14" i="72"/>
  <c r="IO14" i="72"/>
  <c r="IO15" i="72"/>
  <c r="IP15" i="72"/>
  <c r="IQ15" i="72"/>
  <c r="IR15" i="72"/>
  <c r="IS15" i="72"/>
  <c r="IT15" i="72"/>
  <c r="IU15" i="72"/>
  <c r="HY15" i="72"/>
  <c r="BN52" i="101"/>
  <c r="IM15" i="72"/>
  <c r="BO52" i="101"/>
  <c r="IN15" i="72"/>
  <c r="HZ14" i="70"/>
  <c r="BN47" i="101"/>
  <c r="DM14" i="70"/>
  <c r="DM15" i="69"/>
  <c r="BO46" i="101" s="1"/>
  <c r="BE46" i="101"/>
  <c r="BI46" i="101" s="1"/>
  <c r="DE14" i="69"/>
  <c r="BN45" i="101" s="1"/>
  <c r="IO14" i="69"/>
  <c r="IN14" i="69"/>
  <c r="BO45" i="101"/>
  <c r="IR14" i="69"/>
  <c r="IS14" i="69"/>
  <c r="DE14" i="68"/>
  <c r="DM14" i="68"/>
  <c r="BI43" i="101"/>
  <c r="AW40" i="101"/>
  <c r="DE13" i="98"/>
  <c r="DM13" i="98"/>
  <c r="DE13" i="99"/>
  <c r="BN32" i="101" s="1"/>
  <c r="AQ32" i="101"/>
  <c r="AW32" i="101" s="1"/>
  <c r="IH14" i="68"/>
  <c r="BN43" i="101"/>
  <c r="IN14" i="68"/>
  <c r="BO43" i="101"/>
  <c r="IQ14" i="68"/>
  <c r="IR14" i="68"/>
  <c r="IS14" i="68"/>
  <c r="IT14" i="68"/>
  <c r="IO14" i="68"/>
  <c r="IP14" i="68"/>
  <c r="IU14" i="68"/>
  <c r="IV14" i="68"/>
  <c r="GT13" i="73"/>
  <c r="HT13" i="73"/>
  <c r="EV13" i="73"/>
  <c r="GT14" i="73"/>
  <c r="HG14" i="73"/>
  <c r="EI13" i="73"/>
  <c r="EI14" i="73"/>
  <c r="DU15" i="73"/>
  <c r="DA15" i="73" s="1"/>
  <c r="BI40" i="101"/>
  <c r="BI7" i="101"/>
  <c r="BI10" i="101"/>
  <c r="BI39" i="101"/>
  <c r="DM15" i="68"/>
  <c r="IV15" i="68" s="1"/>
  <c r="IM15" i="68"/>
  <c r="BO44" i="101"/>
  <c r="IR15" i="68"/>
  <c r="IS15" i="68"/>
  <c r="IO15" i="68"/>
  <c r="DE15" i="68"/>
  <c r="ID15" i="68" s="1"/>
  <c r="IU15" i="68"/>
  <c r="IN15" i="68"/>
  <c r="HT14" i="73"/>
  <c r="DV14" i="73"/>
  <c r="CX14" i="73" s="1"/>
  <c r="EV14" i="73"/>
  <c r="GG14" i="73"/>
  <c r="AW39" i="101"/>
  <c r="DV13" i="73"/>
  <c r="CX13" i="73" s="1"/>
  <c r="CE14" i="68"/>
  <c r="CF14" i="68"/>
  <c r="CG14" i="68"/>
  <c r="CH14" i="68"/>
  <c r="CJ14" i="71"/>
  <c r="CF14" i="71"/>
  <c r="CH15" i="83"/>
  <c r="CI15" i="83"/>
  <c r="CG15" i="83"/>
  <c r="CF13" i="88"/>
  <c r="CG13" i="88"/>
  <c r="CH13" i="88"/>
  <c r="CI13" i="88"/>
  <c r="DU13" i="73"/>
  <c r="BI6" i="101"/>
  <c r="BI42" i="101"/>
  <c r="DE14" i="67"/>
  <c r="BN41" i="101" s="1"/>
  <c r="DE15" i="67"/>
  <c r="BN42" i="101" s="1"/>
  <c r="AQ42" i="101"/>
  <c r="AW42" i="101" s="1"/>
  <c r="HZ14" i="67"/>
  <c r="DM14" i="67"/>
  <c r="BO41" i="101" s="1"/>
  <c r="BC41" i="101"/>
  <c r="BI41" i="101" s="1"/>
  <c r="DE15" i="82"/>
  <c r="BN60" i="101" s="1"/>
  <c r="AQ60" i="101"/>
  <c r="AW60" i="101" s="1"/>
  <c r="DM15" i="82"/>
  <c r="BO60" i="101" s="1"/>
  <c r="DE14" i="82"/>
  <c r="BN59" i="101" s="1"/>
  <c r="DM14" i="82"/>
  <c r="BO59" i="101" s="1"/>
  <c r="DE13" i="82"/>
  <c r="DE14" i="66"/>
  <c r="BN39" i="101" s="1"/>
  <c r="DM14" i="66"/>
  <c r="IR14" i="66" s="1"/>
  <c r="DE15" i="66"/>
  <c r="IA15" i="66" s="1"/>
  <c r="DE13" i="67"/>
  <c r="HW13" i="67" s="1"/>
  <c r="DM13" i="67"/>
  <c r="IL13" i="67" s="1"/>
  <c r="DM13" i="66"/>
  <c r="BO5" i="101" s="1"/>
  <c r="BC5" i="101"/>
  <c r="BI5" i="101" s="1"/>
  <c r="DE13" i="66"/>
  <c r="IH13" i="66" s="1"/>
  <c r="DM15" i="67"/>
  <c r="BO42" i="101" s="1"/>
  <c r="DM15" i="66"/>
  <c r="IM15" i="66" s="1"/>
  <c r="IO15" i="66"/>
  <c r="IQ13" i="82"/>
  <c r="BO15" i="101"/>
  <c r="IT13" i="82"/>
  <c r="IU13" i="82"/>
  <c r="IV13" i="82"/>
  <c r="CG15" i="99"/>
  <c r="CH15" i="99"/>
  <c r="CI15" i="99"/>
  <c r="CJ15" i="99"/>
  <c r="CH14" i="97"/>
  <c r="CJ14" i="97"/>
  <c r="CJ15" i="97"/>
  <c r="CI14" i="97"/>
  <c r="CG15" i="97"/>
  <c r="CH15" i="97"/>
  <c r="CE15" i="97"/>
  <c r="CF15" i="97"/>
  <c r="CG14" i="96"/>
  <c r="CH15" i="94"/>
  <c r="CJ15" i="94"/>
  <c r="CF15" i="94"/>
  <c r="CG15" i="94"/>
  <c r="CI15" i="94"/>
  <c r="CH13" i="91"/>
  <c r="CI13" i="91"/>
  <c r="CJ13" i="91"/>
  <c r="CF13" i="91"/>
  <c r="CG13" i="91"/>
  <c r="CF14" i="90"/>
  <c r="CG14" i="90"/>
  <c r="CE15" i="89"/>
  <c r="CJ15" i="89"/>
  <c r="CG15" i="89"/>
  <c r="CI15" i="89"/>
  <c r="CJ14" i="89"/>
  <c r="CH15" i="89"/>
  <c r="CJ15" i="84"/>
  <c r="CE15" i="83"/>
  <c r="CF15" i="83"/>
  <c r="CF15" i="81"/>
  <c r="CH15" i="81"/>
  <c r="CG15" i="81"/>
  <c r="CG14" i="74"/>
  <c r="CF14" i="74"/>
  <c r="DM13" i="70"/>
  <c r="BO9" i="101" s="1"/>
  <c r="BC9" i="101"/>
  <c r="BI9" i="101" s="1"/>
  <c r="DE13" i="70"/>
  <c r="BN9" i="101" s="1"/>
  <c r="CG14" i="70"/>
  <c r="AW28" i="101"/>
  <c r="AW22" i="101"/>
  <c r="AW30" i="101"/>
  <c r="AW29" i="101"/>
  <c r="AW17" i="101"/>
  <c r="AW26" i="101"/>
  <c r="AW12" i="101"/>
  <c r="AW16" i="101"/>
  <c r="AW27" i="101"/>
  <c r="AW24" i="101"/>
  <c r="AW15" i="101"/>
  <c r="AW11" i="101"/>
  <c r="AW21" i="101"/>
  <c r="AW8" i="101"/>
  <c r="AW10" i="101"/>
  <c r="AW18" i="101"/>
  <c r="AW5" i="101"/>
  <c r="AW19" i="101"/>
  <c r="AW23" i="101"/>
  <c r="AW20" i="101"/>
  <c r="AW25" i="101"/>
  <c r="AW14" i="101"/>
  <c r="AW13" i="101"/>
  <c r="AW9" i="101"/>
  <c r="AW31" i="101"/>
  <c r="AW33" i="101"/>
  <c r="AW6" i="101"/>
  <c r="AW7" i="101"/>
  <c r="DM13" i="71"/>
  <c r="IN13" i="71" s="1"/>
  <c r="DE13" i="71"/>
  <c r="BN10" i="101" s="1"/>
  <c r="CE14" i="71"/>
  <c r="CF14" i="70"/>
  <c r="CG15" i="69"/>
  <c r="DE13" i="68"/>
  <c r="BN7" i="101" s="1"/>
  <c r="DM13" i="68"/>
  <c r="BO7" i="101" s="1"/>
  <c r="IH13" i="100"/>
  <c r="IE13" i="100"/>
  <c r="IG13" i="100"/>
  <c r="IF13" i="100"/>
  <c r="CG13" i="100"/>
  <c r="CF14" i="100"/>
  <c r="CH13" i="100"/>
  <c r="CG14" i="100"/>
  <c r="CJ13" i="100"/>
  <c r="CI14" i="100"/>
  <c r="CJ14" i="100"/>
  <c r="IC13" i="100"/>
  <c r="IH15" i="100"/>
  <c r="IG15" i="100"/>
  <c r="IB15" i="100"/>
  <c r="CP15" i="100"/>
  <c r="CR15" i="100" s="1"/>
  <c r="IF15" i="100"/>
  <c r="IE15" i="100"/>
  <c r="ID15" i="100"/>
  <c r="IC15" i="100"/>
  <c r="IA15" i="100"/>
  <c r="HZ15" i="100"/>
  <c r="IH14" i="100"/>
  <c r="IG14" i="100"/>
  <c r="IF14" i="100"/>
  <c r="ID14" i="100"/>
  <c r="IB14" i="100"/>
  <c r="CP14" i="100"/>
  <c r="CR14" i="100" s="1"/>
  <c r="IE14" i="100"/>
  <c r="IC14" i="100"/>
  <c r="IA14" i="100"/>
  <c r="HV14" i="100" s="1"/>
  <c r="CV14" i="100" s="1"/>
  <c r="CJ15" i="100"/>
  <c r="CI15" i="100"/>
  <c r="CH15" i="100"/>
  <c r="CG15" i="100"/>
  <c r="CE15" i="100"/>
  <c r="ID13" i="100"/>
  <c r="CE13" i="100"/>
  <c r="CF13" i="100"/>
  <c r="CE14" i="100"/>
  <c r="CF15" i="100"/>
  <c r="HW13" i="100"/>
  <c r="HW15" i="100"/>
  <c r="IL13" i="100"/>
  <c r="IM13" i="100"/>
  <c r="IO13" i="100"/>
  <c r="IL14" i="100"/>
  <c r="CQ15" i="100"/>
  <c r="CS15" i="100" s="1"/>
  <c r="IK15" i="100"/>
  <c r="IK13" i="100"/>
  <c r="IP13" i="100"/>
  <c r="IM14" i="100"/>
  <c r="IL15" i="100"/>
  <c r="CQ14" i="100"/>
  <c r="CS14" i="100" s="1"/>
  <c r="IN13" i="100"/>
  <c r="IK14" i="100"/>
  <c r="IJ14" i="100" s="1"/>
  <c r="CW14" i="100" s="1"/>
  <c r="IF13" i="99"/>
  <c r="IH13" i="99"/>
  <c r="IG13" i="99"/>
  <c r="IC13" i="99"/>
  <c r="IB13" i="99"/>
  <c r="IA13" i="99"/>
  <c r="HZ13" i="99"/>
  <c r="HY13" i="99"/>
  <c r="IE13" i="99"/>
  <c r="ID13" i="99"/>
  <c r="HW13" i="99"/>
  <c r="HX13" i="99"/>
  <c r="IQ13" i="99"/>
  <c r="IP13" i="99"/>
  <c r="IO13" i="99"/>
  <c r="IN13" i="99"/>
  <c r="IM13" i="99"/>
  <c r="IL13" i="99"/>
  <c r="IK13" i="99"/>
  <c r="IT13" i="99"/>
  <c r="IS13" i="99"/>
  <c r="IR13" i="99"/>
  <c r="CJ13" i="99"/>
  <c r="CI13" i="99"/>
  <c r="CH13" i="99"/>
  <c r="ID14" i="99"/>
  <c r="IC14" i="99"/>
  <c r="IF14" i="99"/>
  <c r="IE14" i="99"/>
  <c r="IH14" i="99"/>
  <c r="IG14" i="99"/>
  <c r="CP14" i="99"/>
  <c r="CR14" i="99" s="1"/>
  <c r="HZ14" i="99"/>
  <c r="HY14" i="99"/>
  <c r="HX14" i="99"/>
  <c r="HW14" i="99"/>
  <c r="CE13" i="99"/>
  <c r="CF13" i="99"/>
  <c r="CG13" i="99"/>
  <c r="IA14" i="99"/>
  <c r="IB14" i="99"/>
  <c r="IU13" i="99"/>
  <c r="IV13" i="99"/>
  <c r="CI14" i="99"/>
  <c r="CH14" i="99"/>
  <c r="CG14" i="99"/>
  <c r="CF14" i="99"/>
  <c r="CE14" i="99"/>
  <c r="IB15" i="99"/>
  <c r="CP15" i="99"/>
  <c r="CR15" i="99" s="1"/>
  <c r="ID15" i="99"/>
  <c r="IC15" i="99"/>
  <c r="IH15" i="99"/>
  <c r="IE15" i="99"/>
  <c r="IG15" i="99"/>
  <c r="IF15" i="99"/>
  <c r="HY15" i="99"/>
  <c r="HX15" i="99"/>
  <c r="HW15" i="99"/>
  <c r="IO14" i="99"/>
  <c r="IP14" i="99"/>
  <c r="IO15" i="99"/>
  <c r="IQ14" i="99"/>
  <c r="IP15" i="99"/>
  <c r="CE15" i="99"/>
  <c r="CQ14" i="99"/>
  <c r="CS14" i="99" s="1"/>
  <c r="IK14" i="99"/>
  <c r="IL14" i="99"/>
  <c r="CQ15" i="99"/>
  <c r="CS15" i="99" s="1"/>
  <c r="IK15" i="99"/>
  <c r="IM14" i="99"/>
  <c r="IL15" i="99"/>
  <c r="IM15" i="98"/>
  <c r="IL15" i="98"/>
  <c r="IK15" i="98"/>
  <c r="CQ15" i="98"/>
  <c r="CS15" i="98" s="1"/>
  <c r="IV15" i="98"/>
  <c r="IU15" i="98"/>
  <c r="IT15" i="98"/>
  <c r="IS15" i="98"/>
  <c r="IR15" i="98"/>
  <c r="IN15" i="98"/>
  <c r="IO15" i="98"/>
  <c r="CG13" i="98"/>
  <c r="CI13" i="98"/>
  <c r="CH13" i="98"/>
  <c r="CF13" i="98"/>
  <c r="CJ13" i="98"/>
  <c r="CE13" i="98"/>
  <c r="IN14" i="98"/>
  <c r="CQ14" i="98"/>
  <c r="CS14" i="98" s="1"/>
  <c r="IU14" i="98"/>
  <c r="IM14" i="98"/>
  <c r="IL14" i="98"/>
  <c r="IV14" i="98"/>
  <c r="IK14" i="98"/>
  <c r="IT14" i="98"/>
  <c r="CE14" i="98"/>
  <c r="ID13" i="98"/>
  <c r="HZ15" i="98"/>
  <c r="IA15" i="98"/>
  <c r="IF13" i="98"/>
  <c r="IC14" i="98"/>
  <c r="IG13" i="98"/>
  <c r="ID14" i="98"/>
  <c r="CJ15" i="98"/>
  <c r="IC15" i="98"/>
  <c r="IH13" i="98"/>
  <c r="IE14" i="98"/>
  <c r="ID15" i="98"/>
  <c r="IF14" i="98"/>
  <c r="IE15" i="98"/>
  <c r="HX13" i="98"/>
  <c r="HZ13" i="98"/>
  <c r="CF14" i="98"/>
  <c r="IC13" i="98"/>
  <c r="CF15" i="98"/>
  <c r="CJ14" i="98"/>
  <c r="IE13" i="98"/>
  <c r="CH15" i="98"/>
  <c r="IB15" i="98"/>
  <c r="IK13" i="98"/>
  <c r="IL13" i="98"/>
  <c r="IN13" i="98"/>
  <c r="CP15" i="98"/>
  <c r="CR15" i="98" s="1"/>
  <c r="IA13" i="98"/>
  <c r="CG14" i="98"/>
  <c r="HX14" i="98"/>
  <c r="IB13" i="98"/>
  <c r="HX15" i="98"/>
  <c r="HZ14" i="98"/>
  <c r="HY15" i="98"/>
  <c r="CG15" i="98"/>
  <c r="CP14" i="98"/>
  <c r="CR14" i="98" s="1"/>
  <c r="IG14" i="98"/>
  <c r="IM13" i="98"/>
  <c r="IO13" i="98"/>
  <c r="CI14" i="98"/>
  <c r="IA14" i="98"/>
  <c r="CI15" i="98"/>
  <c r="IP13" i="98"/>
  <c r="HY14" i="98"/>
  <c r="IB14" i="98"/>
  <c r="IF15" i="98"/>
  <c r="IG15" i="98"/>
  <c r="IG15" i="97"/>
  <c r="IH15" i="97"/>
  <c r="CP15" i="97"/>
  <c r="CR15" i="97" s="1"/>
  <c r="IB15" i="97"/>
  <c r="IA15" i="97"/>
  <c r="IF15" i="97"/>
  <c r="ID15" i="97"/>
  <c r="IC15" i="97"/>
  <c r="IE15" i="97"/>
  <c r="HW15" i="97"/>
  <c r="IG13" i="97"/>
  <c r="IF13" i="97"/>
  <c r="IH13" i="97"/>
  <c r="IE13" i="97"/>
  <c r="IA13" i="97"/>
  <c r="HZ13" i="97"/>
  <c r="HY13" i="97"/>
  <c r="HX13" i="97"/>
  <c r="HZ15" i="97"/>
  <c r="IN14" i="97"/>
  <c r="IM14" i="97"/>
  <c r="IL14" i="97"/>
  <c r="IK14" i="97"/>
  <c r="CQ14" i="97"/>
  <c r="CS14" i="97" s="1"/>
  <c r="IV14" i="97"/>
  <c r="IU14" i="97"/>
  <c r="IT14" i="97"/>
  <c r="CI13" i="97"/>
  <c r="CH13" i="97"/>
  <c r="CG13" i="97"/>
  <c r="CF13" i="97"/>
  <c r="CJ13" i="97"/>
  <c r="HY15" i="97"/>
  <c r="IH14" i="97"/>
  <c r="IG14" i="97"/>
  <c r="CP14" i="97"/>
  <c r="CR14" i="97" s="1"/>
  <c r="IE14" i="97"/>
  <c r="ID14" i="97"/>
  <c r="IC14" i="97"/>
  <c r="IF14" i="97"/>
  <c r="IB14" i="97"/>
  <c r="HX14" i="97"/>
  <c r="HW14" i="97"/>
  <c r="HZ14" i="97"/>
  <c r="CE13" i="97"/>
  <c r="IS14" i="97"/>
  <c r="ID13" i="97"/>
  <c r="HY14" i="97"/>
  <c r="IA14" i="97"/>
  <c r="IM15" i="97"/>
  <c r="IL15" i="97"/>
  <c r="IK15" i="97"/>
  <c r="CQ15" i="97"/>
  <c r="CS15" i="97" s="1"/>
  <c r="IV15" i="97"/>
  <c r="IU15" i="97"/>
  <c r="IT15" i="97"/>
  <c r="IS15" i="97"/>
  <c r="IR15" i="97"/>
  <c r="CE14" i="97"/>
  <c r="CF14" i="97"/>
  <c r="IK13" i="97"/>
  <c r="IN13" i="97"/>
  <c r="IO13" i="97"/>
  <c r="IL13" i="97"/>
  <c r="IM13" i="97"/>
  <c r="IP13" i="97"/>
  <c r="IH13" i="96"/>
  <c r="IG13" i="96"/>
  <c r="IF13" i="96"/>
  <c r="HZ13" i="96"/>
  <c r="CF15" i="96"/>
  <c r="IM15" i="96"/>
  <c r="IL15" i="96"/>
  <c r="IK15" i="96"/>
  <c r="CQ15" i="96"/>
  <c r="CS15" i="96" s="1"/>
  <c r="IQ15" i="96"/>
  <c r="CF13" i="96"/>
  <c r="IC13" i="96"/>
  <c r="CG13" i="96"/>
  <c r="IU15" i="96"/>
  <c r="CH13" i="96"/>
  <c r="ID14" i="96"/>
  <c r="IC14" i="96"/>
  <c r="IH14" i="96"/>
  <c r="IG14" i="96"/>
  <c r="CP14" i="96"/>
  <c r="CR14" i="96" s="1"/>
  <c r="IF14" i="96"/>
  <c r="IE14" i="96"/>
  <c r="IT13" i="96"/>
  <c r="HX14" i="96"/>
  <c r="IV13" i="96"/>
  <c r="HY14" i="96"/>
  <c r="HZ14" i="96"/>
  <c r="CE14" i="96"/>
  <c r="IA14" i="96"/>
  <c r="CF14" i="96"/>
  <c r="IB14" i="96"/>
  <c r="HW13" i="96"/>
  <c r="IR15" i="96"/>
  <c r="IB13" i="96"/>
  <c r="IS15" i="96"/>
  <c r="IE13" i="96"/>
  <c r="IV15" i="96"/>
  <c r="CI13" i="96"/>
  <c r="IR13" i="96"/>
  <c r="CJ13" i="96"/>
  <c r="IS13" i="96"/>
  <c r="HW14" i="96"/>
  <c r="CH14" i="96"/>
  <c r="IC15" i="96"/>
  <c r="IB15" i="96"/>
  <c r="CP15" i="96"/>
  <c r="CR15" i="96" s="1"/>
  <c r="IH15" i="96"/>
  <c r="IG15" i="96"/>
  <c r="IF15" i="96"/>
  <c r="IE15" i="96"/>
  <c r="ID15" i="96"/>
  <c r="CI14" i="96"/>
  <c r="HW15" i="96"/>
  <c r="HX15" i="96"/>
  <c r="HX13" i="96"/>
  <c r="CJ15" i="96"/>
  <c r="CI15" i="96"/>
  <c r="HY13" i="96"/>
  <c r="CE15" i="96"/>
  <c r="IA13" i="96"/>
  <c r="CG15" i="96"/>
  <c r="IQ13" i="96"/>
  <c r="IM13" i="96"/>
  <c r="IP13" i="96"/>
  <c r="IO13" i="96"/>
  <c r="IN13" i="96"/>
  <c r="IL13" i="96"/>
  <c r="IK13" i="96"/>
  <c r="IT15" i="96"/>
  <c r="ID13" i="96"/>
  <c r="HY15" i="96"/>
  <c r="CQ14" i="96"/>
  <c r="CS14" i="96" s="1"/>
  <c r="IK14" i="96"/>
  <c r="IL14" i="96"/>
  <c r="IM14" i="96"/>
  <c r="HX13" i="95"/>
  <c r="HY13" i="95"/>
  <c r="CH13" i="95"/>
  <c r="CF14" i="95"/>
  <c r="CI13" i="95"/>
  <c r="HZ14" i="95"/>
  <c r="ID14" i="95"/>
  <c r="IK13" i="95"/>
  <c r="CP14" i="95"/>
  <c r="CR14" i="95" s="1"/>
  <c r="IG14" i="95"/>
  <c r="IF15" i="95"/>
  <c r="CF13" i="95"/>
  <c r="IA13" i="95"/>
  <c r="CF15" i="95"/>
  <c r="IA14" i="95"/>
  <c r="IB14" i="95"/>
  <c r="IH13" i="95"/>
  <c r="IL13" i="95"/>
  <c r="CQ14" i="95"/>
  <c r="CS14" i="95" s="1"/>
  <c r="IH14" i="95"/>
  <c r="IG15" i="95"/>
  <c r="CI14" i="95"/>
  <c r="ID13" i="95"/>
  <c r="IE13" i="95"/>
  <c r="CH15" i="95"/>
  <c r="IF13" i="95"/>
  <c r="IC14" i="95"/>
  <c r="ID15" i="95"/>
  <c r="IF14" i="95"/>
  <c r="IE15" i="95"/>
  <c r="IM13" i="95"/>
  <c r="IH15" i="95"/>
  <c r="CH14" i="95"/>
  <c r="HY14" i="95"/>
  <c r="IN13" i="95"/>
  <c r="IK14" i="95"/>
  <c r="CP15" i="95"/>
  <c r="CR15" i="95" s="1"/>
  <c r="HX14" i="95"/>
  <c r="CE15" i="95"/>
  <c r="IA15" i="95"/>
  <c r="IO13" i="95"/>
  <c r="IL14" i="95"/>
  <c r="CQ15" i="95"/>
  <c r="CS15" i="95" s="1"/>
  <c r="IK15" i="95"/>
  <c r="IJ15" i="95" s="1"/>
  <c r="CW15" i="95" s="1"/>
  <c r="CE13" i="95"/>
  <c r="CG13" i="95"/>
  <c r="CG14" i="95"/>
  <c r="IC13" i="95"/>
  <c r="HY15" i="95"/>
  <c r="CJ15" i="95"/>
  <c r="IC15" i="95"/>
  <c r="IP13" i="95"/>
  <c r="IM14" i="95"/>
  <c r="IL15" i="95"/>
  <c r="CE14" i="95"/>
  <c r="HZ13" i="95"/>
  <c r="IB13" i="95"/>
  <c r="CG15" i="95"/>
  <c r="HZ15" i="95"/>
  <c r="CE13" i="94"/>
  <c r="ID13" i="94"/>
  <c r="IH13" i="94"/>
  <c r="IF13" i="94"/>
  <c r="IG13" i="94"/>
  <c r="IE13" i="94"/>
  <c r="IB13" i="94"/>
  <c r="IA13" i="94"/>
  <c r="HZ13" i="94"/>
  <c r="HY13" i="94"/>
  <c r="HX13" i="94"/>
  <c r="IC13" i="94"/>
  <c r="HZ15" i="94"/>
  <c r="ID15" i="94"/>
  <c r="CP15" i="94"/>
  <c r="CR15" i="94" s="1"/>
  <c r="IH15" i="94"/>
  <c r="IA15" i="94"/>
  <c r="IG15" i="94"/>
  <c r="IC15" i="94"/>
  <c r="IF15" i="94"/>
  <c r="IB15" i="94"/>
  <c r="IE15" i="94"/>
  <c r="HX15" i="94"/>
  <c r="HW15" i="94"/>
  <c r="IA14" i="94"/>
  <c r="IB14" i="94"/>
  <c r="IE14" i="94"/>
  <c r="IH14" i="94"/>
  <c r="IG14" i="94"/>
  <c r="CP14" i="94"/>
  <c r="CR14" i="94" s="1"/>
  <c r="IC14" i="94"/>
  <c r="IF14" i="94"/>
  <c r="ID14" i="94"/>
  <c r="HY14" i="94"/>
  <c r="HX14" i="94"/>
  <c r="HW14" i="94"/>
  <c r="IM15" i="94"/>
  <c r="IL15" i="94"/>
  <c r="IK15" i="94"/>
  <c r="CQ15" i="94"/>
  <c r="CS15" i="94" s="1"/>
  <c r="IV15" i="94"/>
  <c r="IU15" i="94"/>
  <c r="IT15" i="94"/>
  <c r="IS15" i="94"/>
  <c r="CJ13" i="94"/>
  <c r="CI13" i="94"/>
  <c r="CH13" i="94"/>
  <c r="CG13" i="94"/>
  <c r="CJ14" i="94"/>
  <c r="CH14" i="94"/>
  <c r="CG14" i="94"/>
  <c r="CF14" i="94"/>
  <c r="CE14" i="94"/>
  <c r="IK13" i="94"/>
  <c r="IL13" i="94"/>
  <c r="CQ14" i="94"/>
  <c r="CS14" i="94" s="1"/>
  <c r="IM13" i="94"/>
  <c r="IN13" i="94"/>
  <c r="IK14" i="94"/>
  <c r="IO13" i="94"/>
  <c r="IL14" i="94"/>
  <c r="IP13" i="94"/>
  <c r="IM14" i="94"/>
  <c r="CP15" i="93"/>
  <c r="CR15" i="93" s="1"/>
  <c r="IH15" i="93"/>
  <c r="IG15" i="93"/>
  <c r="IB15" i="93"/>
  <c r="IF15" i="93"/>
  <c r="HZ15" i="93"/>
  <c r="IE15" i="93"/>
  <c r="ID15" i="93"/>
  <c r="IA15" i="93"/>
  <c r="IC15" i="93"/>
  <c r="HY15" i="93"/>
  <c r="HX15" i="93"/>
  <c r="HW15" i="93"/>
  <c r="IS13" i="93"/>
  <c r="IT13" i="93"/>
  <c r="CE13" i="93"/>
  <c r="CH13" i="93"/>
  <c r="CI13" i="93"/>
  <c r="IA13" i="93"/>
  <c r="CG14" i="93"/>
  <c r="HX14" i="93"/>
  <c r="CJ13" i="93"/>
  <c r="IB13" i="93"/>
  <c r="CH14" i="93"/>
  <c r="HY14" i="93"/>
  <c r="CE15" i="93"/>
  <c r="IC13" i="93"/>
  <c r="CI14" i="93"/>
  <c r="HZ14" i="93"/>
  <c r="CF15" i="93"/>
  <c r="HX13" i="93"/>
  <c r="CF14" i="93"/>
  <c r="IG13" i="93"/>
  <c r="ID14" i="93"/>
  <c r="CJ15" i="93"/>
  <c r="CG15" i="93"/>
  <c r="IH13" i="93"/>
  <c r="IE14" i="93"/>
  <c r="CE14" i="93"/>
  <c r="IF14" i="93"/>
  <c r="IK13" i="93"/>
  <c r="CP14" i="93"/>
  <c r="CR14" i="93" s="1"/>
  <c r="IG14" i="93"/>
  <c r="IF13" i="93"/>
  <c r="IL13" i="93"/>
  <c r="CQ14" i="93"/>
  <c r="CS14" i="93" s="1"/>
  <c r="IH14" i="93"/>
  <c r="CF13" i="93"/>
  <c r="HY13" i="93"/>
  <c r="IE13" i="93"/>
  <c r="IM13" i="93"/>
  <c r="IB14" i="93"/>
  <c r="IN13" i="93"/>
  <c r="IK14" i="93"/>
  <c r="HZ13" i="93"/>
  <c r="IO13" i="93"/>
  <c r="IL14" i="93"/>
  <c r="CQ15" i="93"/>
  <c r="CS15" i="93" s="1"/>
  <c r="IK15" i="93"/>
  <c r="IA14" i="93"/>
  <c r="IP13" i="93"/>
  <c r="IM14" i="93"/>
  <c r="IL15" i="93"/>
  <c r="CH15" i="93"/>
  <c r="CP15" i="92"/>
  <c r="CR15" i="92" s="1"/>
  <c r="IH15" i="92"/>
  <c r="IA15" i="92"/>
  <c r="IG15" i="92"/>
  <c r="IF15" i="92"/>
  <c r="IC15" i="92"/>
  <c r="IE15" i="92"/>
  <c r="ID15" i="92"/>
  <c r="IB15" i="92"/>
  <c r="HZ15" i="92"/>
  <c r="HY15" i="92"/>
  <c r="HX15" i="92"/>
  <c r="HW15" i="92"/>
  <c r="IM15" i="92"/>
  <c r="IU15" i="92"/>
  <c r="IT15" i="92"/>
  <c r="IL15" i="92"/>
  <c r="IQ15" i="92"/>
  <c r="IK15" i="92"/>
  <c r="CQ15" i="92"/>
  <c r="CS15" i="92" s="1"/>
  <c r="IR15" i="92"/>
  <c r="IS15" i="92"/>
  <c r="IN15" i="92"/>
  <c r="IV15" i="92"/>
  <c r="IP15" i="92"/>
  <c r="IO15" i="92"/>
  <c r="HY13" i="92"/>
  <c r="CH13" i="92"/>
  <c r="HZ13" i="92"/>
  <c r="CF14" i="92"/>
  <c r="CG14" i="92"/>
  <c r="HX14" i="92"/>
  <c r="CJ13" i="92"/>
  <c r="IC13" i="92"/>
  <c r="CI14" i="92"/>
  <c r="HZ14" i="92"/>
  <c r="CF15" i="92"/>
  <c r="IB13" i="92"/>
  <c r="CH14" i="92"/>
  <c r="HY14" i="92"/>
  <c r="CE15" i="92"/>
  <c r="ID13" i="92"/>
  <c r="CJ14" i="92"/>
  <c r="IA14" i="92"/>
  <c r="CG15" i="92"/>
  <c r="CI13" i="92"/>
  <c r="IB14" i="92"/>
  <c r="IF13" i="92"/>
  <c r="IC14" i="92"/>
  <c r="CI15" i="92"/>
  <c r="IG13" i="92"/>
  <c r="IH13" i="92"/>
  <c r="IE14" i="92"/>
  <c r="IE13" i="92"/>
  <c r="CH15" i="92"/>
  <c r="IF14" i="92"/>
  <c r="CE13" i="92"/>
  <c r="IK13" i="92"/>
  <c r="CP14" i="92"/>
  <c r="CR14" i="92" s="1"/>
  <c r="IG14" i="92"/>
  <c r="ID14" i="92"/>
  <c r="IL13" i="92"/>
  <c r="CQ14" i="92"/>
  <c r="CS14" i="92" s="1"/>
  <c r="IM13" i="92"/>
  <c r="IA13" i="92"/>
  <c r="IN13" i="92"/>
  <c r="IK14" i="92"/>
  <c r="IO13" i="92"/>
  <c r="IL14" i="92"/>
  <c r="IP13" i="92"/>
  <c r="IM14" i="92"/>
  <c r="CF13" i="92"/>
  <c r="IM15" i="91"/>
  <c r="IL15" i="91"/>
  <c r="IK15" i="91"/>
  <c r="CQ15" i="91"/>
  <c r="CS15" i="91" s="1"/>
  <c r="IV15" i="91"/>
  <c r="IR15" i="91"/>
  <c r="IQ15" i="91"/>
  <c r="IP15" i="91"/>
  <c r="IO15" i="91"/>
  <c r="IN15" i="91"/>
  <c r="IB13" i="91"/>
  <c r="IG13" i="91"/>
  <c r="IF13" i="91"/>
  <c r="IA13" i="91"/>
  <c r="IH13" i="91"/>
  <c r="IE13" i="91"/>
  <c r="ID13" i="91"/>
  <c r="IC13" i="91"/>
  <c r="HW13" i="91"/>
  <c r="IP14" i="91"/>
  <c r="IU15" i="91"/>
  <c r="HY13" i="91"/>
  <c r="HZ13" i="91"/>
  <c r="IQ13" i="91"/>
  <c r="IP13" i="91"/>
  <c r="IO13" i="91"/>
  <c r="IN13" i="91"/>
  <c r="IM13" i="91"/>
  <c r="IL13" i="91"/>
  <c r="IK13" i="91"/>
  <c r="IV13" i="91"/>
  <c r="IU13" i="91"/>
  <c r="IT13" i="91"/>
  <c r="IS13" i="91"/>
  <c r="HX13" i="91"/>
  <c r="CG14" i="91"/>
  <c r="CJ14" i="91"/>
  <c r="CI14" i="91"/>
  <c r="CH14" i="91"/>
  <c r="CE14" i="91"/>
  <c r="IT15" i="91"/>
  <c r="CE15" i="91"/>
  <c r="HX15" i="91"/>
  <c r="HZ14" i="91"/>
  <c r="CF15" i="91"/>
  <c r="HY15" i="91"/>
  <c r="IA14" i="91"/>
  <c r="CG15" i="91"/>
  <c r="HZ15" i="91"/>
  <c r="IB14" i="91"/>
  <c r="CH15" i="91"/>
  <c r="IA15" i="91"/>
  <c r="IC14" i="91"/>
  <c r="CJ15" i="91"/>
  <c r="IE14" i="91"/>
  <c r="ID15" i="91"/>
  <c r="IE15" i="91"/>
  <c r="IG14" i="91"/>
  <c r="IF15" i="91"/>
  <c r="IH14" i="91"/>
  <c r="IG15" i="91"/>
  <c r="IB15" i="91"/>
  <c r="IC15" i="91"/>
  <c r="CP15" i="91"/>
  <c r="CR15" i="91" s="1"/>
  <c r="IB14" i="90"/>
  <c r="IC14" i="90"/>
  <c r="CP15" i="90"/>
  <c r="CR15" i="90" s="1"/>
  <c r="IH15" i="90"/>
  <c r="IF15" i="90"/>
  <c r="IE15" i="90"/>
  <c r="ID15" i="90"/>
  <c r="IC15" i="90"/>
  <c r="IB15" i="90"/>
  <c r="IA15" i="90"/>
  <c r="IG15" i="90"/>
  <c r="HZ15" i="90"/>
  <c r="HY15" i="90"/>
  <c r="HX15" i="90"/>
  <c r="HW15" i="90"/>
  <c r="HV15" i="90" s="1"/>
  <c r="CV15" i="90" s="1"/>
  <c r="ID14" i="90"/>
  <c r="CJ13" i="90"/>
  <c r="CI13" i="90"/>
  <c r="IQ13" i="90"/>
  <c r="IP13" i="90"/>
  <c r="IO13" i="90"/>
  <c r="IN13" i="90"/>
  <c r="IV13" i="90"/>
  <c r="IU13" i="90"/>
  <c r="IT13" i="90"/>
  <c r="IS13" i="90"/>
  <c r="IR13" i="90"/>
  <c r="IE14" i="90"/>
  <c r="CE13" i="90"/>
  <c r="IF14" i="90"/>
  <c r="CF13" i="90"/>
  <c r="IG14" i="90"/>
  <c r="CG13" i="90"/>
  <c r="CH13" i="90"/>
  <c r="IN15" i="90"/>
  <c r="IO15" i="90"/>
  <c r="IP15" i="90"/>
  <c r="IQ15" i="90"/>
  <c r="IR15" i="90"/>
  <c r="IS15" i="90"/>
  <c r="DE13" i="90"/>
  <c r="BN23" i="101" s="1"/>
  <c r="IT15" i="90"/>
  <c r="DM14" i="90"/>
  <c r="IA14" i="90"/>
  <c r="HZ14" i="90"/>
  <c r="HY14" i="90"/>
  <c r="HX14" i="90"/>
  <c r="HW14" i="90"/>
  <c r="CJ15" i="90"/>
  <c r="CI15" i="90"/>
  <c r="CH15" i="90"/>
  <c r="CG15" i="90"/>
  <c r="CE15" i="90"/>
  <c r="CF15" i="90"/>
  <c r="CJ14" i="90"/>
  <c r="CI14" i="90"/>
  <c r="CE14" i="90"/>
  <c r="IM15" i="90"/>
  <c r="IL15" i="90"/>
  <c r="IK15" i="90"/>
  <c r="CQ15" i="90"/>
  <c r="CS15" i="90" s="1"/>
  <c r="IM15" i="89"/>
  <c r="IL15" i="89"/>
  <c r="IK15" i="89"/>
  <c r="CQ15" i="89"/>
  <c r="CS15" i="89" s="1"/>
  <c r="IP15" i="89"/>
  <c r="IO15" i="89"/>
  <c r="IT15" i="89"/>
  <c r="IS15" i="89"/>
  <c r="IR15" i="89"/>
  <c r="IN15" i="89"/>
  <c r="IV15" i="89"/>
  <c r="IU15" i="89"/>
  <c r="IQ15" i="89"/>
  <c r="IC15" i="89"/>
  <c r="IA15" i="89"/>
  <c r="CP15" i="89"/>
  <c r="CR15" i="89" s="1"/>
  <c r="IH15" i="89"/>
  <c r="ID15" i="89"/>
  <c r="HZ15" i="89"/>
  <c r="IG15" i="89"/>
  <c r="IB15" i="89"/>
  <c r="IF15" i="89"/>
  <c r="IE15" i="89"/>
  <c r="HY15" i="89"/>
  <c r="HX15" i="89"/>
  <c r="HW15" i="89"/>
  <c r="IF13" i="89"/>
  <c r="IH13" i="89"/>
  <c r="IE13" i="89"/>
  <c r="IG13" i="89"/>
  <c r="ID13" i="89"/>
  <c r="IC13" i="89"/>
  <c r="IB13" i="89"/>
  <c r="HY13" i="89"/>
  <c r="HW13" i="89"/>
  <c r="IA13" i="89"/>
  <c r="HZ13" i="89"/>
  <c r="HX13" i="89"/>
  <c r="ID14" i="89"/>
  <c r="IB14" i="89"/>
  <c r="IA14" i="89"/>
  <c r="IC14" i="89"/>
  <c r="IH14" i="89"/>
  <c r="IE14" i="89"/>
  <c r="IG14" i="89"/>
  <c r="CP14" i="89"/>
  <c r="CR14" i="89" s="1"/>
  <c r="IF14" i="89"/>
  <c r="HZ14" i="89"/>
  <c r="HY14" i="89"/>
  <c r="HX14" i="89"/>
  <c r="HW14" i="89"/>
  <c r="CE13" i="89"/>
  <c r="CF14" i="89"/>
  <c r="CI13" i="89"/>
  <c r="CG14" i="89"/>
  <c r="CF13" i="89"/>
  <c r="CG13" i="89"/>
  <c r="CE14" i="89"/>
  <c r="CH13" i="89"/>
  <c r="CH14" i="89"/>
  <c r="IK13" i="89"/>
  <c r="IL13" i="89"/>
  <c r="CQ14" i="89"/>
  <c r="CS14" i="89" s="1"/>
  <c r="IM13" i="89"/>
  <c r="IN13" i="89"/>
  <c r="IK14" i="89"/>
  <c r="IJ14" i="89" s="1"/>
  <c r="CW14" i="89" s="1"/>
  <c r="IO13" i="89"/>
  <c r="IL14" i="89"/>
  <c r="IP13" i="89"/>
  <c r="IM14" i="89"/>
  <c r="CE14" i="88"/>
  <c r="CJ14" i="88"/>
  <c r="CF14" i="88"/>
  <c r="CI14" i="88"/>
  <c r="CH14" i="88"/>
  <c r="CG14" i="88"/>
  <c r="ID13" i="88"/>
  <c r="IF13" i="88"/>
  <c r="HY13" i="88"/>
  <c r="IH13" i="88"/>
  <c r="IG13" i="88"/>
  <c r="HZ13" i="88"/>
  <c r="IE13" i="88"/>
  <c r="IC13" i="88"/>
  <c r="IB13" i="88"/>
  <c r="IA13" i="88"/>
  <c r="HW13" i="88"/>
  <c r="CP15" i="88"/>
  <c r="CR15" i="88" s="1"/>
  <c r="IH15" i="88"/>
  <c r="IG15" i="88"/>
  <c r="IF15" i="88"/>
  <c r="IE15" i="88"/>
  <c r="IB15" i="88"/>
  <c r="ID15" i="88"/>
  <c r="IC15" i="88"/>
  <c r="HZ15" i="88"/>
  <c r="IA15" i="88"/>
  <c r="HY15" i="88"/>
  <c r="HX15" i="88"/>
  <c r="HW15" i="88"/>
  <c r="IQ13" i="88"/>
  <c r="IP13" i="88"/>
  <c r="IO13" i="88"/>
  <c r="IN13" i="88"/>
  <c r="IM13" i="88"/>
  <c r="IL13" i="88"/>
  <c r="IK13" i="88"/>
  <c r="IV13" i="88"/>
  <c r="IU13" i="88"/>
  <c r="IT13" i="88"/>
  <c r="IS13" i="88"/>
  <c r="IM15" i="88"/>
  <c r="IL15" i="88"/>
  <c r="IU15" i="88"/>
  <c r="IK15" i="88"/>
  <c r="CQ15" i="88"/>
  <c r="CS15" i="88" s="1"/>
  <c r="IT15" i="88"/>
  <c r="IV15" i="88"/>
  <c r="IR15" i="88"/>
  <c r="IQ15" i="88"/>
  <c r="IP15" i="88"/>
  <c r="IO15" i="88"/>
  <c r="IN15" i="88"/>
  <c r="CE13" i="88"/>
  <c r="HX14" i="88"/>
  <c r="HY14" i="88"/>
  <c r="CE15" i="88"/>
  <c r="HZ14" i="88"/>
  <c r="CF15" i="88"/>
  <c r="IB14" i="88"/>
  <c r="CH15" i="88"/>
  <c r="ID14" i="88"/>
  <c r="CJ15" i="88"/>
  <c r="IC14" i="88"/>
  <c r="IE14" i="88"/>
  <c r="CI15" i="88"/>
  <c r="IF14" i="88"/>
  <c r="CP14" i="88"/>
  <c r="CR14" i="88" s="1"/>
  <c r="IG14" i="88"/>
  <c r="CQ14" i="88"/>
  <c r="CS14" i="88" s="1"/>
  <c r="IH14" i="88"/>
  <c r="IK14" i="88"/>
  <c r="IL14" i="88"/>
  <c r="IM14" i="88"/>
  <c r="CJ13" i="87"/>
  <c r="CI13" i="87"/>
  <c r="CH13" i="87"/>
  <c r="CG13" i="87"/>
  <c r="CF13" i="87"/>
  <c r="CE13" i="87"/>
  <c r="HX13" i="87"/>
  <c r="HZ13" i="87"/>
  <c r="HZ14" i="87"/>
  <c r="HY15" i="87"/>
  <c r="IE13" i="87"/>
  <c r="IC14" i="87"/>
  <c r="IG13" i="87"/>
  <c r="IC15" i="87"/>
  <c r="CQ14" i="87"/>
  <c r="CS14" i="87" s="1"/>
  <c r="IM13" i="87"/>
  <c r="IH15" i="87"/>
  <c r="HY13" i="87"/>
  <c r="HX14" i="87"/>
  <c r="CI14" i="87"/>
  <c r="CJ14" i="87"/>
  <c r="CG15" i="87"/>
  <c r="IF13" i="87"/>
  <c r="CJ15" i="87"/>
  <c r="IH13" i="87"/>
  <c r="ID15" i="87"/>
  <c r="IF14" i="87"/>
  <c r="CP14" i="87"/>
  <c r="CR14" i="87" s="1"/>
  <c r="IG14" i="87"/>
  <c r="IL13" i="87"/>
  <c r="IN13" i="87"/>
  <c r="IK14" i="87"/>
  <c r="CP15" i="87"/>
  <c r="CR15" i="87" s="1"/>
  <c r="CE14" i="87"/>
  <c r="IA13" i="87"/>
  <c r="HY14" i="87"/>
  <c r="IC13" i="87"/>
  <c r="IA14" i="87"/>
  <c r="HZ15" i="87"/>
  <c r="IB14" i="87"/>
  <c r="CI15" i="87"/>
  <c r="IE14" i="87"/>
  <c r="IE15" i="87"/>
  <c r="IK13" i="87"/>
  <c r="IF15" i="87"/>
  <c r="IH14" i="87"/>
  <c r="IO13" i="87"/>
  <c r="IL14" i="87"/>
  <c r="CQ15" i="87"/>
  <c r="CS15" i="87" s="1"/>
  <c r="IK15" i="87"/>
  <c r="CF14" i="87"/>
  <c r="CG14" i="87"/>
  <c r="IB13" i="87"/>
  <c r="CE15" i="87"/>
  <c r="HX15" i="87"/>
  <c r="CF15" i="87"/>
  <c r="IA15" i="87"/>
  <c r="IB15" i="87"/>
  <c r="IP13" i="87"/>
  <c r="IM14" i="87"/>
  <c r="IL15" i="87"/>
  <c r="IG13" i="86"/>
  <c r="IC13" i="86"/>
  <c r="IE13" i="86"/>
  <c r="IB13" i="86"/>
  <c r="IH13" i="86"/>
  <c r="IF13" i="86"/>
  <c r="IA13" i="86"/>
  <c r="ID13" i="86"/>
  <c r="HZ13" i="86"/>
  <c r="CJ14" i="86"/>
  <c r="CI14" i="86"/>
  <c r="CH14" i="86"/>
  <c r="CG14" i="86"/>
  <c r="CF14" i="86"/>
  <c r="CJ13" i="86"/>
  <c r="CH13" i="86"/>
  <c r="CI13" i="86"/>
  <c r="CE13" i="86"/>
  <c r="HY13" i="86"/>
  <c r="CE14" i="86"/>
  <c r="CF13" i="86"/>
  <c r="CG13" i="86"/>
  <c r="IA14" i="86"/>
  <c r="ID15" i="86"/>
  <c r="CP14" i="86"/>
  <c r="CR14" i="86" s="1"/>
  <c r="IM13" i="86"/>
  <c r="IH15" i="86"/>
  <c r="CF15" i="86"/>
  <c r="CG15" i="86"/>
  <c r="CH15" i="86"/>
  <c r="IC14" i="86"/>
  <c r="IB15" i="86"/>
  <c r="IE14" i="86"/>
  <c r="IK13" i="86"/>
  <c r="IF15" i="86"/>
  <c r="IN13" i="86"/>
  <c r="IK14" i="86"/>
  <c r="IJ14" i="86" s="1"/>
  <c r="CW14" i="86" s="1"/>
  <c r="CP15" i="86"/>
  <c r="CR15" i="86" s="1"/>
  <c r="HY14" i="86"/>
  <c r="HY15" i="86"/>
  <c r="HZ15" i="86"/>
  <c r="IB14" i="86"/>
  <c r="IA15" i="86"/>
  <c r="CI15" i="86"/>
  <c r="ID14" i="86"/>
  <c r="IF14" i="86"/>
  <c r="IE15" i="86"/>
  <c r="IG15" i="86"/>
  <c r="IO13" i="86"/>
  <c r="IL14" i="86"/>
  <c r="CQ15" i="86"/>
  <c r="CS15" i="86" s="1"/>
  <c r="IK15" i="86"/>
  <c r="IP13" i="86"/>
  <c r="IM14" i="86"/>
  <c r="IL15" i="86"/>
  <c r="HX14" i="86"/>
  <c r="CE15" i="86"/>
  <c r="HX15" i="86"/>
  <c r="HZ14" i="86"/>
  <c r="IG14" i="86"/>
  <c r="IL13" i="86"/>
  <c r="CQ14" i="86"/>
  <c r="CS14" i="86" s="1"/>
  <c r="IE15" i="85"/>
  <c r="IH15" i="85"/>
  <c r="ID15" i="85"/>
  <c r="IA15" i="85"/>
  <c r="IC15" i="85"/>
  <c r="CP15" i="85"/>
  <c r="CR15" i="85" s="1"/>
  <c r="HZ15" i="85"/>
  <c r="HW15" i="85"/>
  <c r="IG15" i="85"/>
  <c r="IF15" i="85"/>
  <c r="IB15" i="85"/>
  <c r="HY15" i="85"/>
  <c r="HX15" i="85"/>
  <c r="HZ13" i="85"/>
  <c r="IS13" i="85"/>
  <c r="IT13" i="85"/>
  <c r="IQ14" i="85"/>
  <c r="IP15" i="85"/>
  <c r="CJ13" i="85"/>
  <c r="IB13" i="85"/>
  <c r="CH14" i="85"/>
  <c r="HY14" i="85"/>
  <c r="CE15" i="85"/>
  <c r="IC13" i="85"/>
  <c r="CI14" i="85"/>
  <c r="HZ14" i="85"/>
  <c r="CF15" i="85"/>
  <c r="HX13" i="85"/>
  <c r="IE13" i="85"/>
  <c r="IK13" i="85"/>
  <c r="CP14" i="85"/>
  <c r="CR14" i="85" s="1"/>
  <c r="IG14" i="85"/>
  <c r="IL13" i="85"/>
  <c r="CQ14" i="85"/>
  <c r="CS14" i="85" s="1"/>
  <c r="IH14" i="85"/>
  <c r="CE13" i="85"/>
  <c r="CE14" i="85"/>
  <c r="CI13" i="85"/>
  <c r="CG14" i="85"/>
  <c r="CJ14" i="85"/>
  <c r="CG15" i="85"/>
  <c r="CH15" i="85"/>
  <c r="IG13" i="85"/>
  <c r="ID14" i="85"/>
  <c r="IE14" i="85"/>
  <c r="IN13" i="85"/>
  <c r="IK14" i="85"/>
  <c r="CG13" i="85"/>
  <c r="IA13" i="85"/>
  <c r="ID13" i="85"/>
  <c r="IA14" i="85"/>
  <c r="IF13" i="85"/>
  <c r="CJ15" i="85"/>
  <c r="IM13" i="85"/>
  <c r="IO13" i="85"/>
  <c r="IL14" i="85"/>
  <c r="CQ15" i="85"/>
  <c r="CS15" i="85" s="1"/>
  <c r="IK15" i="85"/>
  <c r="CF13" i="85"/>
  <c r="HY13" i="85"/>
  <c r="IC14" i="85"/>
  <c r="IP13" i="85"/>
  <c r="IM14" i="85"/>
  <c r="IL15" i="85"/>
  <c r="HX14" i="85"/>
  <c r="IB14" i="85"/>
  <c r="IQ13" i="84"/>
  <c r="IS13" i="84"/>
  <c r="IP13" i="84"/>
  <c r="IO13" i="84"/>
  <c r="IN13" i="84"/>
  <c r="IM13" i="84"/>
  <c r="IU13" i="84"/>
  <c r="IL13" i="84"/>
  <c r="IK13" i="84"/>
  <c r="IT13" i="84"/>
  <c r="IV13" i="84"/>
  <c r="IR13" i="84"/>
  <c r="CP15" i="84"/>
  <c r="CR15" i="84" s="1"/>
  <c r="ID15" i="84"/>
  <c r="IH15" i="84"/>
  <c r="IG15" i="84"/>
  <c r="IC15" i="84"/>
  <c r="IF15" i="84"/>
  <c r="IE15" i="84"/>
  <c r="IB15" i="84"/>
  <c r="IA15" i="84"/>
  <c r="HZ15" i="84"/>
  <c r="HY15" i="84"/>
  <c r="HX15" i="84"/>
  <c r="HW15" i="84"/>
  <c r="IF14" i="84"/>
  <c r="IH14" i="84"/>
  <c r="IG14" i="84"/>
  <c r="CP14" i="84"/>
  <c r="CR14" i="84" s="1"/>
  <c r="IE14" i="84"/>
  <c r="ID14" i="84"/>
  <c r="IC14" i="84"/>
  <c r="IB14" i="84"/>
  <c r="IA14" i="84"/>
  <c r="HZ14" i="84"/>
  <c r="HY14" i="84"/>
  <c r="HX14" i="84"/>
  <c r="HW14" i="84"/>
  <c r="CH13" i="84"/>
  <c r="CF14" i="84"/>
  <c r="IA13" i="84"/>
  <c r="CG14" i="84"/>
  <c r="CJ13" i="84"/>
  <c r="IB13" i="84"/>
  <c r="CH14" i="84"/>
  <c r="CE15" i="84"/>
  <c r="HX13" i="84"/>
  <c r="HZ13" i="84"/>
  <c r="CI13" i="84"/>
  <c r="IC13" i="84"/>
  <c r="CI14" i="84"/>
  <c r="CF15" i="84"/>
  <c r="ID13" i="84"/>
  <c r="CJ14" i="84"/>
  <c r="CG15" i="84"/>
  <c r="IE13" i="84"/>
  <c r="CH15" i="84"/>
  <c r="IF13" i="84"/>
  <c r="CG13" i="84"/>
  <c r="IH13" i="84"/>
  <c r="CF13" i="84"/>
  <c r="IG13" i="84"/>
  <c r="CQ14" i="84"/>
  <c r="CS14" i="84" s="1"/>
  <c r="IK14" i="84"/>
  <c r="IL14" i="84"/>
  <c r="CQ15" i="84"/>
  <c r="CS15" i="84" s="1"/>
  <c r="IK15" i="84"/>
  <c r="IM14" i="84"/>
  <c r="IL15" i="84"/>
  <c r="IE14" i="83"/>
  <c r="IB14" i="83"/>
  <c r="HZ14" i="83"/>
  <c r="IH14" i="83"/>
  <c r="IG14" i="83"/>
  <c r="CP14" i="83"/>
  <c r="CR14" i="83" s="1"/>
  <c r="ID14" i="83"/>
  <c r="IF14" i="83"/>
  <c r="IC14" i="83"/>
  <c r="IA14" i="83"/>
  <c r="HY14" i="83"/>
  <c r="HX14" i="83"/>
  <c r="HW14" i="83"/>
  <c r="HV14" i="83" s="1"/>
  <c r="CV14" i="83" s="1"/>
  <c r="CH13" i="83"/>
  <c r="HZ13" i="83"/>
  <c r="CF14" i="83"/>
  <c r="CI13" i="83"/>
  <c r="IA13" i="83"/>
  <c r="CG14" i="83"/>
  <c r="HW15" i="83"/>
  <c r="HY13" i="83"/>
  <c r="IE15" i="83"/>
  <c r="CE13" i="83"/>
  <c r="CH14" i="83"/>
  <c r="CI14" i="83"/>
  <c r="IE13" i="83"/>
  <c r="IF13" i="83"/>
  <c r="IK13" i="83"/>
  <c r="IF15" i="83"/>
  <c r="CJ13" i="83"/>
  <c r="IB13" i="83"/>
  <c r="ID13" i="83"/>
  <c r="IB15" i="83"/>
  <c r="IL13" i="83"/>
  <c r="CQ14" i="83"/>
  <c r="CS14" i="83" s="1"/>
  <c r="IG15" i="83"/>
  <c r="HX13" i="83"/>
  <c r="CG13" i="83"/>
  <c r="IC13" i="83"/>
  <c r="HY15" i="83"/>
  <c r="IM13" i="83"/>
  <c r="IH15" i="83"/>
  <c r="IG13" i="83"/>
  <c r="IC15" i="83"/>
  <c r="IN13" i="83"/>
  <c r="IK14" i="83"/>
  <c r="CP15" i="83"/>
  <c r="CR15" i="83" s="1"/>
  <c r="CE14" i="83"/>
  <c r="IA15" i="83"/>
  <c r="ID15" i="83"/>
  <c r="IO13" i="83"/>
  <c r="IL14" i="83"/>
  <c r="CQ15" i="83"/>
  <c r="CS15" i="83" s="1"/>
  <c r="IK15" i="83"/>
  <c r="IP13" i="83"/>
  <c r="IM14" i="83"/>
  <c r="IL15" i="83"/>
  <c r="IF14" i="82"/>
  <c r="IA14" i="82"/>
  <c r="HZ14" i="82"/>
  <c r="IB14" i="82"/>
  <c r="IH14" i="82"/>
  <c r="ID14" i="82"/>
  <c r="IC14" i="82"/>
  <c r="IG14" i="82"/>
  <c r="CP14" i="82"/>
  <c r="IE14" i="82"/>
  <c r="HY14" i="82"/>
  <c r="HX14" i="82"/>
  <c r="HW14" i="82"/>
  <c r="ID15" i="82"/>
  <c r="IC15" i="82"/>
  <c r="CP15" i="82"/>
  <c r="HY15" i="82"/>
  <c r="IH15" i="82"/>
  <c r="IB15" i="82"/>
  <c r="IG15" i="82"/>
  <c r="IE15" i="82"/>
  <c r="IA15" i="82"/>
  <c r="IF15" i="82"/>
  <c r="HX15" i="82"/>
  <c r="HW15" i="82"/>
  <c r="HZ15" i="82"/>
  <c r="IH13" i="82"/>
  <c r="IF13" i="82"/>
  <c r="ID13" i="82"/>
  <c r="IC13" i="82"/>
  <c r="IE13" i="82"/>
  <c r="IG13" i="82"/>
  <c r="IB13" i="82"/>
  <c r="IA13" i="82"/>
  <c r="HZ13" i="82"/>
  <c r="HY13" i="82"/>
  <c r="HX13" i="82"/>
  <c r="IR13" i="82"/>
  <c r="IN15" i="82"/>
  <c r="IS13" i="82"/>
  <c r="IO15" i="82"/>
  <c r="IK13" i="82"/>
  <c r="IL13" i="82"/>
  <c r="CQ14" i="82"/>
  <c r="IM13" i="82"/>
  <c r="IN13" i="82"/>
  <c r="IK14" i="82"/>
  <c r="IO13" i="82"/>
  <c r="IL14" i="82"/>
  <c r="CQ15" i="82"/>
  <c r="IK15" i="82"/>
  <c r="IP13" i="82"/>
  <c r="IM14" i="82"/>
  <c r="IL15" i="82"/>
  <c r="IM15" i="81"/>
  <c r="IR15" i="81"/>
  <c r="IL15" i="81"/>
  <c r="IK15" i="81"/>
  <c r="CQ15" i="81"/>
  <c r="CS15" i="81" s="1"/>
  <c r="IO15" i="81"/>
  <c r="IS15" i="81"/>
  <c r="IQ15" i="81"/>
  <c r="IN15" i="81"/>
  <c r="IP15" i="81"/>
  <c r="IT15" i="81"/>
  <c r="IV15" i="81"/>
  <c r="IU15" i="81"/>
  <c r="IB14" i="81"/>
  <c r="HZ14" i="81"/>
  <c r="IH14" i="81"/>
  <c r="IG14" i="81"/>
  <c r="CP14" i="81"/>
  <c r="CR14" i="81" s="1"/>
  <c r="IF14" i="81"/>
  <c r="IA14" i="81"/>
  <c r="IE14" i="81"/>
  <c r="ID14" i="81"/>
  <c r="IC14" i="81"/>
  <c r="HY14" i="81"/>
  <c r="HX14" i="81"/>
  <c r="HW14" i="81"/>
  <c r="IA15" i="81"/>
  <c r="CP15" i="81"/>
  <c r="CR15" i="81" s="1"/>
  <c r="IH15" i="81"/>
  <c r="HZ15" i="81"/>
  <c r="IG15" i="81"/>
  <c r="IF15" i="81"/>
  <c r="IE15" i="81"/>
  <c r="ID15" i="81"/>
  <c r="IC15" i="81"/>
  <c r="HY15" i="81"/>
  <c r="IB15" i="81"/>
  <c r="HX15" i="81"/>
  <c r="HW15" i="81"/>
  <c r="CG13" i="81"/>
  <c r="CE14" i="81"/>
  <c r="CH13" i="81"/>
  <c r="HZ13" i="81"/>
  <c r="CF14" i="81"/>
  <c r="CI13" i="81"/>
  <c r="IA13" i="81"/>
  <c r="CG14" i="81"/>
  <c r="CJ13" i="81"/>
  <c r="IB13" i="81"/>
  <c r="CH14" i="81"/>
  <c r="CE15" i="81"/>
  <c r="IF13" i="81"/>
  <c r="CI15" i="81"/>
  <c r="CI14" i="81"/>
  <c r="IG13" i="81"/>
  <c r="IH13" i="81"/>
  <c r="CE13" i="81"/>
  <c r="HX13" i="81"/>
  <c r="IC13" i="81"/>
  <c r="IK13" i="81"/>
  <c r="IL13" i="81"/>
  <c r="CQ14" i="81"/>
  <c r="CS14" i="81" s="1"/>
  <c r="IM13" i="81"/>
  <c r="IN13" i="81"/>
  <c r="IK14" i="81"/>
  <c r="HY13" i="81"/>
  <c r="ID13" i="81"/>
  <c r="IO13" i="81"/>
  <c r="IL14" i="81"/>
  <c r="IP13" i="81"/>
  <c r="IM14" i="81"/>
  <c r="IE13" i="74"/>
  <c r="HW13" i="74"/>
  <c r="IC13" i="74"/>
  <c r="HZ13" i="74"/>
  <c r="IH13" i="74"/>
  <c r="ID13" i="74"/>
  <c r="IB13" i="74"/>
  <c r="IG13" i="74"/>
  <c r="IF13" i="74"/>
  <c r="IA13" i="74"/>
  <c r="HY13" i="74"/>
  <c r="HX13" i="74"/>
  <c r="CE13" i="74"/>
  <c r="CF13" i="74"/>
  <c r="CG13" i="74"/>
  <c r="CE14" i="74"/>
  <c r="HX14" i="74"/>
  <c r="CJ14" i="74"/>
  <c r="CH15" i="74"/>
  <c r="IA15" i="74"/>
  <c r="IC14" i="74"/>
  <c r="CI15" i="74"/>
  <c r="IB15" i="74"/>
  <c r="ID14" i="74"/>
  <c r="CJ15" i="74"/>
  <c r="IC15" i="74"/>
  <c r="CG15" i="74"/>
  <c r="IE15" i="74"/>
  <c r="IK13" i="74"/>
  <c r="CP14" i="74"/>
  <c r="CR14" i="74" s="1"/>
  <c r="IG14" i="74"/>
  <c r="IF15" i="74"/>
  <c r="CI14" i="74"/>
  <c r="IL13" i="74"/>
  <c r="CQ14" i="74"/>
  <c r="CS14" i="74" s="1"/>
  <c r="IH14" i="74"/>
  <c r="IG15" i="74"/>
  <c r="HX15" i="74"/>
  <c r="HZ15" i="74"/>
  <c r="IF14" i="74"/>
  <c r="IM13" i="74"/>
  <c r="IH15" i="74"/>
  <c r="IN13" i="74"/>
  <c r="IK14" i="74"/>
  <c r="CP15" i="74"/>
  <c r="CR15" i="74" s="1"/>
  <c r="CI13" i="74"/>
  <c r="IL14" i="74"/>
  <c r="CQ15" i="74"/>
  <c r="CS15" i="74" s="1"/>
  <c r="IK15" i="74"/>
  <c r="CE15" i="74"/>
  <c r="HZ14" i="74"/>
  <c r="IB14" i="74"/>
  <c r="IE14" i="74"/>
  <c r="IP13" i="74"/>
  <c r="IM14" i="74"/>
  <c r="IL15" i="74"/>
  <c r="CH13" i="74"/>
  <c r="HY14" i="74"/>
  <c r="HY15" i="74"/>
  <c r="IO13" i="74"/>
  <c r="HZ13" i="72"/>
  <c r="HY14" i="72"/>
  <c r="ID13" i="72"/>
  <c r="CJ14" i="72"/>
  <c r="IA14" i="72"/>
  <c r="CG15" i="72"/>
  <c r="HZ15" i="72"/>
  <c r="CG13" i="72"/>
  <c r="CH15" i="72"/>
  <c r="IA15" i="72"/>
  <c r="CH13" i="72"/>
  <c r="IB13" i="72"/>
  <c r="CI14" i="72"/>
  <c r="IF13" i="72"/>
  <c r="IC14" i="72"/>
  <c r="CI15" i="72"/>
  <c r="IB15" i="72"/>
  <c r="HX15" i="72"/>
  <c r="IG13" i="72"/>
  <c r="ID14" i="72"/>
  <c r="CJ15" i="72"/>
  <c r="IC15" i="72"/>
  <c r="IB14" i="72"/>
  <c r="IE14" i="72"/>
  <c r="ID15" i="72"/>
  <c r="CE15" i="72"/>
  <c r="IF14" i="72"/>
  <c r="IE15" i="72"/>
  <c r="CF13" i="72"/>
  <c r="HY13" i="72"/>
  <c r="CF14" i="72"/>
  <c r="CI13" i="72"/>
  <c r="IA13" i="72"/>
  <c r="CJ13" i="72"/>
  <c r="IK13" i="72"/>
  <c r="CP14" i="72"/>
  <c r="IG14" i="72"/>
  <c r="IF15" i="72"/>
  <c r="CE14" i="72"/>
  <c r="CG14" i="72"/>
  <c r="IL13" i="72"/>
  <c r="CQ14" i="72"/>
  <c r="IH14" i="72"/>
  <c r="IG15" i="72"/>
  <c r="IM13" i="72"/>
  <c r="IH15" i="72"/>
  <c r="IC13" i="72"/>
  <c r="IN13" i="72"/>
  <c r="IK14" i="72"/>
  <c r="CP15" i="72"/>
  <c r="IO13" i="72"/>
  <c r="IL14" i="72"/>
  <c r="CQ15" i="72"/>
  <c r="IK15" i="72"/>
  <c r="IE13" i="72"/>
  <c r="IH13" i="72"/>
  <c r="IP13" i="72"/>
  <c r="IM14" i="72"/>
  <c r="IL15" i="72"/>
  <c r="IG13" i="71"/>
  <c r="HZ13" i="71"/>
  <c r="HY13" i="71"/>
  <c r="HX13" i="71"/>
  <c r="CE13" i="71"/>
  <c r="CI13" i="71"/>
  <c r="ID14" i="71"/>
  <c r="IH14" i="71"/>
  <c r="IG14" i="71"/>
  <c r="CP14" i="71"/>
  <c r="IF14" i="71"/>
  <c r="IE14" i="71"/>
  <c r="IC14" i="71"/>
  <c r="HZ14" i="71"/>
  <c r="HY14" i="71"/>
  <c r="IM15" i="71"/>
  <c r="IK15" i="71"/>
  <c r="IL15" i="71"/>
  <c r="CQ15" i="71"/>
  <c r="IV15" i="71"/>
  <c r="IQ13" i="71"/>
  <c r="IM13" i="71"/>
  <c r="IP13" i="71"/>
  <c r="IO13" i="71"/>
  <c r="IK13" i="71"/>
  <c r="CG13" i="71"/>
  <c r="CH13" i="71"/>
  <c r="CJ15" i="71"/>
  <c r="CI15" i="71"/>
  <c r="CF15" i="71"/>
  <c r="CE15" i="71"/>
  <c r="CF13" i="71"/>
  <c r="IC15" i="71"/>
  <c r="IB15" i="71"/>
  <c r="CP15" i="71"/>
  <c r="IH15" i="71"/>
  <c r="IG15" i="71"/>
  <c r="IF15" i="71"/>
  <c r="IE15" i="71"/>
  <c r="ID15" i="71"/>
  <c r="HY15" i="71"/>
  <c r="HX15" i="71"/>
  <c r="HW15" i="71"/>
  <c r="IV13" i="71"/>
  <c r="CI14" i="71"/>
  <c r="CH14" i="71"/>
  <c r="CG15" i="71"/>
  <c r="CQ14" i="71"/>
  <c r="IK14" i="71"/>
  <c r="IL14" i="71"/>
  <c r="IM14" i="71"/>
  <c r="IM15" i="70"/>
  <c r="IU15" i="70"/>
  <c r="IL15" i="70"/>
  <c r="IQ15" i="70"/>
  <c r="IK15" i="70"/>
  <c r="CQ15" i="70"/>
  <c r="CS15" i="70" s="1"/>
  <c r="IP15" i="70"/>
  <c r="IO15" i="70"/>
  <c r="IV15" i="70"/>
  <c r="IN15" i="70"/>
  <c r="IT15" i="70"/>
  <c r="IS15" i="70"/>
  <c r="IR15" i="70"/>
  <c r="IH13" i="70"/>
  <c r="ID13" i="70"/>
  <c r="IB13" i="70"/>
  <c r="IC13" i="70"/>
  <c r="IA13" i="70"/>
  <c r="HW13" i="70"/>
  <c r="IG13" i="70"/>
  <c r="IF13" i="70"/>
  <c r="HZ13" i="70"/>
  <c r="IE13" i="70"/>
  <c r="HY13" i="70"/>
  <c r="HX13" i="70"/>
  <c r="IQ13" i="70"/>
  <c r="IS13" i="70"/>
  <c r="IP13" i="70"/>
  <c r="IU13" i="70"/>
  <c r="IO13" i="70"/>
  <c r="IN13" i="70"/>
  <c r="IT13" i="70"/>
  <c r="IR13" i="70"/>
  <c r="IM13" i="70"/>
  <c r="IL13" i="70"/>
  <c r="IK13" i="70"/>
  <c r="IV13" i="70"/>
  <c r="CF13" i="70"/>
  <c r="CG13" i="70"/>
  <c r="CE14" i="70"/>
  <c r="IB14" i="70"/>
  <c r="CH15" i="70"/>
  <c r="IA15" i="70"/>
  <c r="IA14" i="70"/>
  <c r="IC14" i="70"/>
  <c r="CI15" i="70"/>
  <c r="IB15" i="70"/>
  <c r="ID14" i="70"/>
  <c r="CJ15" i="70"/>
  <c r="IC15" i="70"/>
  <c r="IE14" i="70"/>
  <c r="ID15" i="70"/>
  <c r="HZ15" i="70"/>
  <c r="IF14" i="70"/>
  <c r="IE15" i="70"/>
  <c r="CE13" i="70"/>
  <c r="CI13" i="70"/>
  <c r="CF15" i="70"/>
  <c r="CP14" i="70"/>
  <c r="IG14" i="70"/>
  <c r="IF15" i="70"/>
  <c r="CE15" i="70"/>
  <c r="IH14" i="70"/>
  <c r="IG15" i="70"/>
  <c r="CJ13" i="70"/>
  <c r="CH14" i="70"/>
  <c r="HY14" i="70"/>
  <c r="HX15" i="70"/>
  <c r="CJ14" i="70"/>
  <c r="CQ14" i="70"/>
  <c r="IH15" i="70"/>
  <c r="IL14" i="70"/>
  <c r="HY15" i="70"/>
  <c r="IK14" i="70"/>
  <c r="IM14" i="70"/>
  <c r="IB14" i="69"/>
  <c r="IH14" i="69"/>
  <c r="IG14" i="69"/>
  <c r="CP14" i="69"/>
  <c r="IF14" i="69"/>
  <c r="IE14" i="69"/>
  <c r="IA14" i="69"/>
  <c r="ID14" i="69"/>
  <c r="IC14" i="69"/>
  <c r="HW14" i="69"/>
  <c r="HZ14" i="69"/>
  <c r="HX14" i="69"/>
  <c r="HY14" i="69"/>
  <c r="IM15" i="69"/>
  <c r="IL15" i="69"/>
  <c r="IK15" i="69"/>
  <c r="CQ15" i="69"/>
  <c r="IS15" i="69"/>
  <c r="IP15" i="69"/>
  <c r="IR15" i="69"/>
  <c r="IQ15" i="69"/>
  <c r="IT15" i="69"/>
  <c r="IV15" i="69"/>
  <c r="IU15" i="69"/>
  <c r="IO15" i="69"/>
  <c r="IN15" i="69"/>
  <c r="HZ15" i="69"/>
  <c r="CP15" i="69"/>
  <c r="IH15" i="69"/>
  <c r="IA15" i="69"/>
  <c r="IG15" i="69"/>
  <c r="IF15" i="69"/>
  <c r="IE15" i="69"/>
  <c r="ID15" i="69"/>
  <c r="IC15" i="69"/>
  <c r="IB15" i="69"/>
  <c r="HY15" i="69"/>
  <c r="HX15" i="69"/>
  <c r="HW15" i="69"/>
  <c r="HZ13" i="69"/>
  <c r="IS13" i="69"/>
  <c r="IP14" i="69"/>
  <c r="CJ13" i="69"/>
  <c r="IB13" i="69"/>
  <c r="CH14" i="69"/>
  <c r="CE15" i="69"/>
  <c r="CH13" i="69"/>
  <c r="CI13" i="69"/>
  <c r="IA13" i="69"/>
  <c r="CG14" i="69"/>
  <c r="IC13" i="69"/>
  <c r="CI14" i="69"/>
  <c r="CF15" i="69"/>
  <c r="HX13" i="69"/>
  <c r="IF13" i="69"/>
  <c r="CI15" i="69"/>
  <c r="IG13" i="69"/>
  <c r="CJ15" i="69"/>
  <c r="CG13" i="69"/>
  <c r="IH13" i="69"/>
  <c r="CF13" i="69"/>
  <c r="IK13" i="69"/>
  <c r="IL13" i="69"/>
  <c r="CQ14" i="69"/>
  <c r="CJ14" i="69"/>
  <c r="IN13" i="69"/>
  <c r="IK14" i="69"/>
  <c r="IM13" i="69"/>
  <c r="IO13" i="69"/>
  <c r="IL14" i="69"/>
  <c r="CE14" i="69"/>
  <c r="IP13" i="69"/>
  <c r="IM14" i="69"/>
  <c r="HY13" i="69"/>
  <c r="ID13" i="69"/>
  <c r="CE13" i="68"/>
  <c r="CF13" i="68"/>
  <c r="CH13" i="68"/>
  <c r="HW14" i="68"/>
  <c r="CE15" i="68"/>
  <c r="IA14" i="68"/>
  <c r="CG15" i="68"/>
  <c r="CI14" i="68"/>
  <c r="IB14" i="68"/>
  <c r="CH15" i="68"/>
  <c r="CJ13" i="68"/>
  <c r="IC14" i="68"/>
  <c r="CI15" i="68"/>
  <c r="CF15" i="68"/>
  <c r="ID14" i="68"/>
  <c r="IE14" i="68"/>
  <c r="IF14" i="68"/>
  <c r="HY14" i="68"/>
  <c r="CP14" i="68"/>
  <c r="IG14" i="68"/>
  <c r="CI13" i="68"/>
  <c r="HX14" i="68"/>
  <c r="CQ14" i="68"/>
  <c r="HZ14" i="68"/>
  <c r="IK14" i="68"/>
  <c r="IM14" i="68"/>
  <c r="IL14" i="68"/>
  <c r="CG13" i="67"/>
  <c r="CH13" i="67"/>
  <c r="CF14" i="67"/>
  <c r="CI15" i="67"/>
  <c r="CF15" i="67"/>
  <c r="CJ15" i="67"/>
  <c r="CI13" i="67"/>
  <c r="CH15" i="67"/>
  <c r="CE13" i="67"/>
  <c r="CJ14" i="67"/>
  <c r="CE15" i="67"/>
  <c r="CE14" i="67"/>
  <c r="CI14" i="67"/>
  <c r="CF13" i="67"/>
  <c r="CG14" i="67"/>
  <c r="CF15" i="66"/>
  <c r="CJ14" i="66"/>
  <c r="CG15" i="66"/>
  <c r="CE14" i="66"/>
  <c r="CI14" i="66"/>
  <c r="CH15" i="66"/>
  <c r="CE13" i="66"/>
  <c r="CF14" i="66"/>
  <c r="CI15" i="66"/>
  <c r="CG13" i="66"/>
  <c r="CH13" i="66"/>
  <c r="CJ13" i="66"/>
  <c r="CH14" i="66"/>
  <c r="CJ15" i="66"/>
  <c r="CF13" i="66"/>
  <c r="BT77" i="101" l="1"/>
  <c r="BK77" i="101"/>
  <c r="BB77" i="101"/>
  <c r="AZ77" i="101"/>
  <c r="BL77" i="101"/>
  <c r="BA77" i="101"/>
  <c r="BU77" i="101"/>
  <c r="IB14" i="66"/>
  <c r="IQ14" i="91"/>
  <c r="IR14" i="91"/>
  <c r="CQ14" i="91"/>
  <c r="IV14" i="91"/>
  <c r="IS14" i="91"/>
  <c r="CS14" i="91"/>
  <c r="BQ77" i="101"/>
  <c r="BS77" i="101" s="1"/>
  <c r="HY14" i="91"/>
  <c r="BN77" i="101"/>
  <c r="HW14" i="91"/>
  <c r="CP14" i="91"/>
  <c r="IL14" i="91"/>
  <c r="ID14" i="91"/>
  <c r="IM14" i="91"/>
  <c r="IT14" i="91"/>
  <c r="BO77" i="101"/>
  <c r="IO14" i="91"/>
  <c r="IK14" i="91"/>
  <c r="IF14" i="91"/>
  <c r="IU14" i="91"/>
  <c r="BO23" i="101"/>
  <c r="IM13" i="90"/>
  <c r="IL13" i="90"/>
  <c r="IK13" i="90"/>
  <c r="IJ13" i="90" s="1"/>
  <c r="CW13" i="90" s="1"/>
  <c r="CR14" i="72"/>
  <c r="BP51" i="101"/>
  <c r="BR51" i="101" s="1"/>
  <c r="CS14" i="72"/>
  <c r="BQ51" i="101"/>
  <c r="BS51" i="101" s="1"/>
  <c r="CS15" i="72"/>
  <c r="BQ52" i="101"/>
  <c r="BS52" i="101" s="1"/>
  <c r="CR15" i="72"/>
  <c r="BP52" i="101"/>
  <c r="BR52" i="101" s="1"/>
  <c r="IN14" i="70"/>
  <c r="BO47" i="101"/>
  <c r="IT14" i="70"/>
  <c r="IS14" i="70"/>
  <c r="IR14" i="70"/>
  <c r="IV14" i="70"/>
  <c r="IP14" i="70"/>
  <c r="IU14" i="70"/>
  <c r="IQ14" i="70"/>
  <c r="IO14" i="70"/>
  <c r="CR14" i="70"/>
  <c r="CY14" i="70" s="1"/>
  <c r="BP47" i="101"/>
  <c r="BR47" i="101" s="1"/>
  <c r="CS14" i="70"/>
  <c r="CZ14" i="70" s="1"/>
  <c r="BQ47" i="101"/>
  <c r="BS47" i="101" s="1"/>
  <c r="CS15" i="69"/>
  <c r="CZ15" i="69" s="1"/>
  <c r="BQ46" i="101"/>
  <c r="BS46" i="101" s="1"/>
  <c r="CR15" i="69"/>
  <c r="CY15" i="69" s="1"/>
  <c r="BP46" i="101"/>
  <c r="BR46" i="101" s="1"/>
  <c r="CR14" i="69"/>
  <c r="CY14" i="69" s="1"/>
  <c r="BP45" i="101"/>
  <c r="BR45" i="101" s="1"/>
  <c r="CS14" i="69"/>
  <c r="CZ14" i="69" s="1"/>
  <c r="BQ45" i="101"/>
  <c r="BS45" i="101" s="1"/>
  <c r="IU15" i="66"/>
  <c r="IH14" i="67"/>
  <c r="IB14" i="67"/>
  <c r="CQ15" i="68"/>
  <c r="IK15" i="68"/>
  <c r="IC15" i="68"/>
  <c r="IH15" i="68"/>
  <c r="IB15" i="68"/>
  <c r="HY15" i="68"/>
  <c r="IA15" i="68"/>
  <c r="HX15" i="68"/>
  <c r="IT13" i="68"/>
  <c r="IR13" i="68"/>
  <c r="IO13" i="68"/>
  <c r="IU13" i="68"/>
  <c r="IP13" i="68"/>
  <c r="CQ13" i="68"/>
  <c r="BQ7" i="101" s="1"/>
  <c r="BS7" i="101" s="1"/>
  <c r="IL13" i="68"/>
  <c r="IK13" i="68"/>
  <c r="IM13" i="68"/>
  <c r="IN13" i="68"/>
  <c r="IQ13" i="68"/>
  <c r="IG15" i="67"/>
  <c r="HW15" i="67"/>
  <c r="IH15" i="67"/>
  <c r="IE15" i="67"/>
  <c r="HZ15" i="67"/>
  <c r="HY15" i="67"/>
  <c r="IA15" i="67"/>
  <c r="IG14" i="67"/>
  <c r="ID14" i="67"/>
  <c r="CP14" i="67"/>
  <c r="HY14" i="67"/>
  <c r="IF14" i="67"/>
  <c r="IA14" i="67"/>
  <c r="IE14" i="67"/>
  <c r="HX14" i="67"/>
  <c r="IC14" i="67"/>
  <c r="HW14" i="67"/>
  <c r="IM13" i="67"/>
  <c r="IF13" i="67"/>
  <c r="IP13" i="66"/>
  <c r="IQ13" i="66"/>
  <c r="IR15" i="66"/>
  <c r="IT15" i="66"/>
  <c r="IP15" i="66"/>
  <c r="IB15" i="66"/>
  <c r="IK14" i="66"/>
  <c r="IQ13" i="98"/>
  <c r="BO31" i="101"/>
  <c r="IT13" i="98"/>
  <c r="IV13" i="98"/>
  <c r="IU13" i="98"/>
  <c r="IS13" i="98"/>
  <c r="IR13" i="98"/>
  <c r="IJ13" i="98" s="1"/>
  <c r="CW13" i="98" s="1"/>
  <c r="HY13" i="98"/>
  <c r="BN31" i="101"/>
  <c r="HW13" i="98"/>
  <c r="HV13" i="98" s="1"/>
  <c r="CV13" i="98" s="1"/>
  <c r="IL15" i="68"/>
  <c r="IT15" i="68"/>
  <c r="IF15" i="68"/>
  <c r="IG15" i="68"/>
  <c r="IQ15" i="68"/>
  <c r="IE15" i="68"/>
  <c r="IP15" i="68"/>
  <c r="CL14" i="68"/>
  <c r="CM14" i="68" s="1"/>
  <c r="AB43" i="101" s="1"/>
  <c r="AC43" i="101" s="1"/>
  <c r="HZ15" i="68"/>
  <c r="DU14" i="73"/>
  <c r="DA14" i="73" s="1"/>
  <c r="CL13" i="87"/>
  <c r="CM13" i="87" s="1"/>
  <c r="HP13" i="87" s="1"/>
  <c r="CL13" i="88"/>
  <c r="CM13" i="88" s="1"/>
  <c r="HA13" i="88" s="1"/>
  <c r="CL15" i="89"/>
  <c r="CM15" i="89" s="1"/>
  <c r="AB74" i="101" s="1"/>
  <c r="AC74" i="101" s="1"/>
  <c r="CL14" i="91"/>
  <c r="CM14" i="91" s="1"/>
  <c r="CL13" i="91"/>
  <c r="CM13" i="91" s="1"/>
  <c r="EN13" i="91" s="1"/>
  <c r="CL15" i="99"/>
  <c r="CM15" i="99" s="1"/>
  <c r="HE15" i="99" s="1"/>
  <c r="HY14" i="66"/>
  <c r="IM14" i="66"/>
  <c r="IA14" i="66"/>
  <c r="IL14" i="66"/>
  <c r="IH14" i="66"/>
  <c r="CQ14" i="66"/>
  <c r="BQ39" i="101" s="1"/>
  <c r="BS39" i="101" s="1"/>
  <c r="IG14" i="66"/>
  <c r="HW14" i="66"/>
  <c r="IQ14" i="66"/>
  <c r="IS14" i="66"/>
  <c r="HX14" i="66"/>
  <c r="IF14" i="66"/>
  <c r="IN14" i="66"/>
  <c r="ID14" i="66"/>
  <c r="IC14" i="66"/>
  <c r="HZ14" i="66"/>
  <c r="CP14" i="66"/>
  <c r="CR14" i="66" s="1"/>
  <c r="CP15" i="68"/>
  <c r="BN44" i="101"/>
  <c r="HW15" i="68"/>
  <c r="CS15" i="68"/>
  <c r="BQ44" i="101"/>
  <c r="BS44" i="101" s="1"/>
  <c r="CS14" i="68"/>
  <c r="BQ43" i="101"/>
  <c r="BS43" i="101" s="1"/>
  <c r="CR14" i="68"/>
  <c r="BP43" i="101"/>
  <c r="BR43" i="101" s="1"/>
  <c r="IS13" i="66"/>
  <c r="IT13" i="66"/>
  <c r="IV13" i="66"/>
  <c r="IE14" i="66"/>
  <c r="CQ15" i="66"/>
  <c r="BO40" i="101"/>
  <c r="CS15" i="82"/>
  <c r="BQ60" i="101"/>
  <c r="BS60" i="101" s="1"/>
  <c r="IP14" i="82"/>
  <c r="CR14" i="82"/>
  <c r="BP59" i="101"/>
  <c r="BR59" i="101" s="1"/>
  <c r="IO14" i="82"/>
  <c r="CS14" i="82"/>
  <c r="BQ59" i="101"/>
  <c r="BS59" i="101" s="1"/>
  <c r="CR15" i="82"/>
  <c r="BP60" i="101"/>
  <c r="BR60" i="101" s="1"/>
  <c r="IM14" i="67"/>
  <c r="IL14" i="67"/>
  <c r="ID15" i="67"/>
  <c r="IK14" i="67"/>
  <c r="IC15" i="67"/>
  <c r="CP15" i="67"/>
  <c r="CR15" i="67" s="1"/>
  <c r="HX15" i="67"/>
  <c r="CQ14" i="67"/>
  <c r="CS14" i="67" s="1"/>
  <c r="IB15" i="67"/>
  <c r="IF15" i="67"/>
  <c r="IF13" i="68"/>
  <c r="IC13" i="68"/>
  <c r="HZ13" i="68"/>
  <c r="ID13" i="68"/>
  <c r="IH13" i="68"/>
  <c r="IG13" i="68"/>
  <c r="IA13" i="68"/>
  <c r="IE13" i="68"/>
  <c r="CP13" i="68"/>
  <c r="HW13" i="68"/>
  <c r="HY13" i="68"/>
  <c r="IB13" i="68"/>
  <c r="IV13" i="68"/>
  <c r="HX13" i="68"/>
  <c r="IS13" i="68"/>
  <c r="CR14" i="71"/>
  <c r="BP49" i="101"/>
  <c r="BR49" i="101" s="1"/>
  <c r="CS14" i="71"/>
  <c r="BQ49" i="101"/>
  <c r="BS49" i="101" s="1"/>
  <c r="CR15" i="71"/>
  <c r="BP50" i="101"/>
  <c r="BR50" i="101" s="1"/>
  <c r="CS15" i="71"/>
  <c r="BQ50" i="101"/>
  <c r="BS50" i="101" s="1"/>
  <c r="IT13" i="71"/>
  <c r="IL13" i="71"/>
  <c r="HW13" i="71"/>
  <c r="IS13" i="71"/>
  <c r="ID13" i="71"/>
  <c r="IE13" i="71"/>
  <c r="IA13" i="71"/>
  <c r="IB13" i="71"/>
  <c r="IC13" i="71"/>
  <c r="IH13" i="71"/>
  <c r="IF13" i="71"/>
  <c r="IU13" i="71"/>
  <c r="BO10" i="101"/>
  <c r="IR13" i="71"/>
  <c r="CL15" i="71"/>
  <c r="CM15" i="71" s="1"/>
  <c r="AB50" i="101" s="1"/>
  <c r="AC50" i="101" s="1"/>
  <c r="CL14" i="90"/>
  <c r="CM14" i="90" s="1"/>
  <c r="FV14" i="90" s="1"/>
  <c r="CL15" i="94"/>
  <c r="CM15" i="94" s="1"/>
  <c r="FR15" i="94" s="1"/>
  <c r="CL15" i="95"/>
  <c r="CM15" i="95" s="1"/>
  <c r="FZ15" i="95" s="1"/>
  <c r="CL15" i="98"/>
  <c r="CM15" i="98" s="1"/>
  <c r="ER15" i="98" s="1"/>
  <c r="CL13" i="98"/>
  <c r="CM13" i="98" s="1"/>
  <c r="HL13" i="98" s="1"/>
  <c r="CY14" i="100"/>
  <c r="IJ14" i="97"/>
  <c r="CW14" i="97" s="1"/>
  <c r="IJ13" i="96"/>
  <c r="CW13" i="96" s="1"/>
  <c r="HV15" i="93"/>
  <c r="CV15" i="93" s="1"/>
  <c r="HV14" i="93"/>
  <c r="CV14" i="93" s="1"/>
  <c r="IJ14" i="92"/>
  <c r="CW14" i="92" s="1"/>
  <c r="HV13" i="92"/>
  <c r="CV13" i="92" s="1"/>
  <c r="HV13" i="91"/>
  <c r="CV13" i="91" s="1"/>
  <c r="IJ15" i="88"/>
  <c r="CW15" i="88" s="1"/>
  <c r="CZ15" i="88" s="1"/>
  <c r="IJ13" i="87"/>
  <c r="CW13" i="87" s="1"/>
  <c r="CZ14" i="86"/>
  <c r="HV13" i="86"/>
  <c r="CV13" i="86" s="1"/>
  <c r="IJ14" i="85"/>
  <c r="CW14" i="85" s="1"/>
  <c r="IJ15" i="84"/>
  <c r="CW15" i="84" s="1"/>
  <c r="HV15" i="81"/>
  <c r="CV15" i="81" s="1"/>
  <c r="IJ14" i="74"/>
  <c r="CW14" i="74" s="1"/>
  <c r="HV14" i="74"/>
  <c r="CV14" i="74" s="1"/>
  <c r="CY14" i="74" s="1"/>
  <c r="HV13" i="72"/>
  <c r="CV13" i="72" s="1"/>
  <c r="HV14" i="70"/>
  <c r="CV14" i="70" s="1"/>
  <c r="HV15" i="69"/>
  <c r="CV15" i="69" s="1"/>
  <c r="IJ14" i="69"/>
  <c r="CW14" i="69" s="1"/>
  <c r="IO15" i="67"/>
  <c r="CQ15" i="67"/>
  <c r="CS15" i="67" s="1"/>
  <c r="IK15" i="67"/>
  <c r="IL15" i="67"/>
  <c r="IP15" i="67"/>
  <c r="IQ15" i="67"/>
  <c r="IV15" i="67"/>
  <c r="IM15" i="67"/>
  <c r="IR15" i="67"/>
  <c r="IU15" i="67"/>
  <c r="IS15" i="67"/>
  <c r="IT15" i="67"/>
  <c r="IN15" i="67"/>
  <c r="IH13" i="67"/>
  <c r="IV14" i="67"/>
  <c r="IR14" i="67"/>
  <c r="IU14" i="67"/>
  <c r="IO14" i="67"/>
  <c r="IP14" i="67"/>
  <c r="IQ14" i="67"/>
  <c r="IS14" i="67"/>
  <c r="IP14" i="66"/>
  <c r="BO39" i="101"/>
  <c r="CS14" i="66"/>
  <c r="IT14" i="66"/>
  <c r="IU14" i="66"/>
  <c r="IV14" i="66"/>
  <c r="IO14" i="66"/>
  <c r="CR14" i="67"/>
  <c r="BP41" i="101"/>
  <c r="BR41" i="101" s="1"/>
  <c r="IT14" i="67"/>
  <c r="IN14" i="67"/>
  <c r="IO13" i="67"/>
  <c r="IN13" i="67"/>
  <c r="ID13" i="67"/>
  <c r="IK13" i="67"/>
  <c r="IP13" i="67"/>
  <c r="IA13" i="67"/>
  <c r="HY13" i="67"/>
  <c r="HZ13" i="67"/>
  <c r="HX13" i="67"/>
  <c r="IE13" i="67"/>
  <c r="IB13" i="67"/>
  <c r="IG13" i="67"/>
  <c r="IC13" i="67"/>
  <c r="BN6" i="101"/>
  <c r="HZ15" i="66"/>
  <c r="CP15" i="66"/>
  <c r="BN40" i="101"/>
  <c r="IE15" i="66"/>
  <c r="ID15" i="66"/>
  <c r="IH15" i="66"/>
  <c r="IG15" i="66"/>
  <c r="HW15" i="66"/>
  <c r="IF15" i="66"/>
  <c r="HY15" i="66"/>
  <c r="IC15" i="66"/>
  <c r="HX15" i="66"/>
  <c r="IM15" i="82"/>
  <c r="IP15" i="82"/>
  <c r="IR15" i="82"/>
  <c r="IQ15" i="82"/>
  <c r="IV15" i="82"/>
  <c r="IU15" i="82"/>
  <c r="IT15" i="82"/>
  <c r="IS15" i="82"/>
  <c r="HV14" i="82"/>
  <c r="CV14" i="82" s="1"/>
  <c r="IN14" i="82"/>
  <c r="IR14" i="82"/>
  <c r="IQ14" i="82"/>
  <c r="IT14" i="82"/>
  <c r="IV14" i="82"/>
  <c r="IU14" i="82"/>
  <c r="IS14" i="82"/>
  <c r="BN15" i="101"/>
  <c r="HW13" i="82"/>
  <c r="HV13" i="82" s="1"/>
  <c r="CV13" i="82" s="1"/>
  <c r="IN15" i="66"/>
  <c r="IQ15" i="66"/>
  <c r="IS15" i="66"/>
  <c r="IV15" i="66"/>
  <c r="IE13" i="66"/>
  <c r="IQ13" i="67"/>
  <c r="BO6" i="101"/>
  <c r="IR13" i="67"/>
  <c r="IV13" i="67"/>
  <c r="IU13" i="67"/>
  <c r="IT13" i="67"/>
  <c r="IS13" i="67"/>
  <c r="IK13" i="66"/>
  <c r="HZ13" i="66"/>
  <c r="IL13" i="66"/>
  <c r="IM13" i="66"/>
  <c r="IU13" i="66"/>
  <c r="HY13" i="66"/>
  <c r="IB13" i="66"/>
  <c r="HX13" i="66"/>
  <c r="IR13" i="66"/>
  <c r="IN13" i="66"/>
  <c r="IO13" i="66"/>
  <c r="IG13" i="66"/>
  <c r="IF13" i="66"/>
  <c r="ID13" i="66"/>
  <c r="IC13" i="66"/>
  <c r="IA13" i="66"/>
  <c r="HW13" i="66"/>
  <c r="BN5" i="101"/>
  <c r="IL15" i="66"/>
  <c r="IK15" i="66"/>
  <c r="CL15" i="100"/>
  <c r="CM15" i="100" s="1"/>
  <c r="CL15" i="97"/>
  <c r="CM15" i="97" s="1"/>
  <c r="CL15" i="96"/>
  <c r="CM15" i="96" s="1"/>
  <c r="GN15" i="96" s="1"/>
  <c r="CL13" i="96"/>
  <c r="CM13" i="96" s="1"/>
  <c r="EU13" i="96" s="1"/>
  <c r="HP15" i="94"/>
  <c r="GQ15" i="94"/>
  <c r="GP15" i="94"/>
  <c r="GB15" i="94"/>
  <c r="FV15" i="94"/>
  <c r="FT15" i="94"/>
  <c r="DZ15" i="94"/>
  <c r="DX15" i="94"/>
  <c r="HR15" i="94"/>
  <c r="HO15" i="94"/>
  <c r="GX15" i="94"/>
  <c r="GF15" i="94"/>
  <c r="GI15" i="94"/>
  <c r="HJ15" i="94"/>
  <c r="EP15" i="94"/>
  <c r="EL15" i="94"/>
  <c r="ES15" i="94"/>
  <c r="FM15" i="94"/>
  <c r="FC15" i="94"/>
  <c r="FB15" i="94"/>
  <c r="ED15" i="94"/>
  <c r="GJ15" i="94"/>
  <c r="CL14" i="94"/>
  <c r="CM14" i="94" s="1"/>
  <c r="FJ14" i="94" s="1"/>
  <c r="CL14" i="92"/>
  <c r="CM14" i="92" s="1"/>
  <c r="ER14" i="92" s="1"/>
  <c r="HR13" i="91"/>
  <c r="HA13" i="91"/>
  <c r="GZ13" i="91"/>
  <c r="GY13" i="91"/>
  <c r="GC13" i="91"/>
  <c r="GB13" i="91"/>
  <c r="FR13" i="91"/>
  <c r="HI13" i="91"/>
  <c r="GW13" i="91"/>
  <c r="ES13" i="91"/>
  <c r="HH13" i="91"/>
  <c r="GJ13" i="91"/>
  <c r="HL13" i="91"/>
  <c r="FW13" i="91"/>
  <c r="DX13" i="91"/>
  <c r="FD13" i="91"/>
  <c r="EQ13" i="91"/>
  <c r="EJ13" i="91"/>
  <c r="EM13" i="91"/>
  <c r="GE13" i="91"/>
  <c r="FG13" i="91"/>
  <c r="GX13" i="91"/>
  <c r="FZ13" i="91"/>
  <c r="EP13" i="91"/>
  <c r="ET13" i="91"/>
  <c r="GK13" i="91"/>
  <c r="FY13" i="91"/>
  <c r="EK13" i="91"/>
  <c r="FL13" i="91"/>
  <c r="GQ13" i="91"/>
  <c r="FS13" i="91"/>
  <c r="DW13" i="91"/>
  <c r="HN13" i="91"/>
  <c r="ED13" i="91"/>
  <c r="GO13" i="91"/>
  <c r="FM13" i="91"/>
  <c r="FA13" i="91"/>
  <c r="EF13" i="91"/>
  <c r="HF13" i="91"/>
  <c r="FJ13" i="91"/>
  <c r="GN13" i="91"/>
  <c r="HP13" i="91"/>
  <c r="FE13" i="91"/>
  <c r="EU13" i="91"/>
  <c r="GP13" i="91"/>
  <c r="FQ13" i="91"/>
  <c r="EO13" i="91"/>
  <c r="EC13" i="91"/>
  <c r="GA13" i="91"/>
  <c r="GV13" i="91"/>
  <c r="HQ13" i="91"/>
  <c r="GS13" i="91"/>
  <c r="EZ13" i="91"/>
  <c r="EH13" i="91"/>
  <c r="EW13" i="91"/>
  <c r="EE13" i="91"/>
  <c r="DY13" i="91"/>
  <c r="FH13" i="91"/>
  <c r="HJ13" i="91"/>
  <c r="CL14" i="86"/>
  <c r="CM14" i="86" s="1"/>
  <c r="AB67" i="101" s="1"/>
  <c r="AC67" i="101" s="1"/>
  <c r="CL15" i="85"/>
  <c r="CM15" i="85" s="1"/>
  <c r="HA15" i="85" s="1"/>
  <c r="CL13" i="84"/>
  <c r="CM13" i="84" s="1"/>
  <c r="GS13" i="84" s="1"/>
  <c r="CL14" i="84"/>
  <c r="CM14" i="84" s="1"/>
  <c r="FS14" i="84" s="1"/>
  <c r="CL15" i="83"/>
  <c r="CM15" i="83" s="1"/>
  <c r="CL14" i="71"/>
  <c r="CM14" i="71" s="1"/>
  <c r="AB49" i="101" s="1"/>
  <c r="AC49" i="101" s="1"/>
  <c r="CL15" i="69"/>
  <c r="CM15" i="69" s="1"/>
  <c r="AB46" i="101" s="1"/>
  <c r="AC46" i="101" s="1"/>
  <c r="CL13" i="72"/>
  <c r="CM13" i="72" s="1"/>
  <c r="GQ13" i="72" s="1"/>
  <c r="CL13" i="69"/>
  <c r="CM13" i="69" s="1"/>
  <c r="GR13" i="69" s="1"/>
  <c r="CL15" i="66"/>
  <c r="CM15" i="66" s="1"/>
  <c r="HV13" i="100"/>
  <c r="CV13" i="100" s="1"/>
  <c r="CL14" i="100"/>
  <c r="CM14" i="100" s="1"/>
  <c r="AB95" i="101" s="1"/>
  <c r="AC95" i="101" s="1"/>
  <c r="CL13" i="100"/>
  <c r="CM13" i="100" s="1"/>
  <c r="CZ14" i="100"/>
  <c r="IJ13" i="100"/>
  <c r="CW13" i="100" s="1"/>
  <c r="IJ15" i="100"/>
  <c r="CW15" i="100" s="1"/>
  <c r="CZ15" i="100" s="1"/>
  <c r="HV15" i="100"/>
  <c r="CV15" i="100" s="1"/>
  <c r="CY15" i="100" s="1"/>
  <c r="IJ14" i="99"/>
  <c r="CW14" i="99" s="1"/>
  <c r="CZ14" i="99" s="1"/>
  <c r="HV15" i="99"/>
  <c r="CV15" i="99" s="1"/>
  <c r="CL13" i="99"/>
  <c r="CM13" i="99" s="1"/>
  <c r="HV14" i="99"/>
  <c r="CV14" i="99" s="1"/>
  <c r="HM15" i="99"/>
  <c r="GO15" i="99"/>
  <c r="FQ15" i="99"/>
  <c r="ES15" i="99"/>
  <c r="FH15" i="99"/>
  <c r="HL15" i="99"/>
  <c r="GN15" i="99"/>
  <c r="FP15" i="99"/>
  <c r="ER15" i="99"/>
  <c r="HF15" i="99"/>
  <c r="FO15" i="99"/>
  <c r="EQ15" i="99"/>
  <c r="GH15" i="99"/>
  <c r="GF15" i="99"/>
  <c r="HJ15" i="99"/>
  <c r="GL15" i="99"/>
  <c r="FN15" i="99"/>
  <c r="EP15" i="99"/>
  <c r="HI15" i="99"/>
  <c r="GK15" i="99"/>
  <c r="FM15" i="99"/>
  <c r="EO15" i="99"/>
  <c r="EL15" i="99"/>
  <c r="HD15" i="99"/>
  <c r="HC15" i="99"/>
  <c r="HH15" i="99"/>
  <c r="GJ15" i="99"/>
  <c r="FL15" i="99"/>
  <c r="EN15" i="99"/>
  <c r="FJ15" i="99"/>
  <c r="FI15" i="99"/>
  <c r="FG15" i="99"/>
  <c r="GI15" i="99"/>
  <c r="FK15" i="99"/>
  <c r="GB15" i="99"/>
  <c r="FD15" i="99"/>
  <c r="EF15" i="99"/>
  <c r="GY15" i="99"/>
  <c r="GA15" i="99"/>
  <c r="FC15" i="99"/>
  <c r="EE15" i="99"/>
  <c r="GX15" i="99"/>
  <c r="FZ15" i="99"/>
  <c r="FB15" i="99"/>
  <c r="ED15" i="99"/>
  <c r="GW15" i="99"/>
  <c r="FY15" i="99"/>
  <c r="FA15" i="99"/>
  <c r="EC15" i="99"/>
  <c r="GV15" i="99"/>
  <c r="FX15" i="99"/>
  <c r="EZ15" i="99"/>
  <c r="HP15" i="99"/>
  <c r="GR15" i="99"/>
  <c r="FT15" i="99"/>
  <c r="DX15" i="99"/>
  <c r="GQ15" i="99"/>
  <c r="FS15" i="99"/>
  <c r="EU15" i="99"/>
  <c r="DW15" i="99"/>
  <c r="HN15" i="99"/>
  <c r="GP15" i="99"/>
  <c r="FR15" i="99"/>
  <c r="ET15" i="99"/>
  <c r="GE15" i="99"/>
  <c r="HQ15" i="99"/>
  <c r="HB15" i="99"/>
  <c r="FE15" i="99"/>
  <c r="DZ15" i="99"/>
  <c r="HA15" i="99"/>
  <c r="GC15" i="99"/>
  <c r="GU15" i="99"/>
  <c r="FW15" i="99"/>
  <c r="FF15" i="99"/>
  <c r="DY15" i="99"/>
  <c r="HS15" i="99"/>
  <c r="HR15" i="99"/>
  <c r="GS15" i="99"/>
  <c r="GD15" i="99"/>
  <c r="EY15" i="99"/>
  <c r="EX15" i="99"/>
  <c r="EW15" i="99"/>
  <c r="EH15" i="99"/>
  <c r="EG15" i="99"/>
  <c r="EA15" i="99"/>
  <c r="CY15" i="99"/>
  <c r="CY14" i="99"/>
  <c r="CL14" i="99"/>
  <c r="CM14" i="99" s="1"/>
  <c r="IJ13" i="99"/>
  <c r="CW13" i="99" s="1"/>
  <c r="IJ15" i="99"/>
  <c r="CW15" i="99" s="1"/>
  <c r="CZ15" i="99" s="1"/>
  <c r="HV13" i="99"/>
  <c r="CV13" i="99" s="1"/>
  <c r="HM15" i="98"/>
  <c r="GO15" i="98"/>
  <c r="FN15" i="98"/>
  <c r="GK15" i="98"/>
  <c r="GS13" i="98"/>
  <c r="FU13" i="98"/>
  <c r="GE13" i="98"/>
  <c r="FF13" i="98"/>
  <c r="GB13" i="98"/>
  <c r="EF13" i="98"/>
  <c r="HE13" i="98"/>
  <c r="GL13" i="98"/>
  <c r="HV15" i="98"/>
  <c r="CV15" i="98" s="1"/>
  <c r="HV14" i="98"/>
  <c r="CV14" i="98" s="1"/>
  <c r="CY14" i="98" s="1"/>
  <c r="CL14" i="98"/>
  <c r="CM14" i="98" s="1"/>
  <c r="AB91" i="101" s="1"/>
  <c r="AC91" i="101" s="1"/>
  <c r="IJ15" i="98"/>
  <c r="CW15" i="98" s="1"/>
  <c r="CZ15" i="98" s="1"/>
  <c r="IJ14" i="98"/>
  <c r="CW14" i="98" s="1"/>
  <c r="CZ14" i="98" s="1"/>
  <c r="CY15" i="98"/>
  <c r="HV13" i="97"/>
  <c r="CV13" i="97" s="1"/>
  <c r="HV15" i="97"/>
  <c r="CV15" i="97" s="1"/>
  <c r="IJ15" i="97"/>
  <c r="CW15" i="97" s="1"/>
  <c r="CZ15" i="97" s="1"/>
  <c r="CL13" i="97"/>
  <c r="CM13" i="97" s="1"/>
  <c r="CL14" i="97"/>
  <c r="CM14" i="97" s="1"/>
  <c r="HV14" i="97"/>
  <c r="CV14" i="97" s="1"/>
  <c r="CY14" i="97" s="1"/>
  <c r="CY15" i="97"/>
  <c r="IJ13" i="97"/>
  <c r="CW13" i="97" s="1"/>
  <c r="CZ14" i="97"/>
  <c r="GO15" i="96"/>
  <c r="HL15" i="96"/>
  <c r="GX15" i="96"/>
  <c r="FE15" i="96"/>
  <c r="GU15" i="96"/>
  <c r="HV15" i="96"/>
  <c r="CV15" i="96" s="1"/>
  <c r="HV14" i="96"/>
  <c r="CV14" i="96" s="1"/>
  <c r="CL14" i="96"/>
  <c r="CM14" i="96" s="1"/>
  <c r="IJ14" i="96"/>
  <c r="CW14" i="96" s="1"/>
  <c r="CZ14" i="96" s="1"/>
  <c r="CY14" i="96"/>
  <c r="IJ15" i="96"/>
  <c r="CW15" i="96" s="1"/>
  <c r="CZ15" i="96" s="1"/>
  <c r="CY15" i="96"/>
  <c r="HV13" i="96"/>
  <c r="CV13" i="96" s="1"/>
  <c r="CL13" i="95"/>
  <c r="CM13" i="95" s="1"/>
  <c r="CL14" i="95"/>
  <c r="CM14" i="95" s="1"/>
  <c r="IJ14" i="95"/>
  <c r="CW14" i="95" s="1"/>
  <c r="CZ14" i="95" s="1"/>
  <c r="HV15" i="95"/>
  <c r="CV15" i="95" s="1"/>
  <c r="CY15" i="95" s="1"/>
  <c r="CZ15" i="95"/>
  <c r="HQ15" i="95"/>
  <c r="HF15" i="95"/>
  <c r="HE15" i="95"/>
  <c r="HB15" i="95"/>
  <c r="GC15" i="95"/>
  <c r="GX15" i="95"/>
  <c r="EZ15" i="95"/>
  <c r="EY15" i="95"/>
  <c r="DZ15" i="95"/>
  <c r="DY15" i="95"/>
  <c r="FT15" i="95"/>
  <c r="EU15" i="95"/>
  <c r="HJ15" i="95"/>
  <c r="GL15" i="95"/>
  <c r="EW15" i="95"/>
  <c r="DX15" i="95"/>
  <c r="DW15" i="95"/>
  <c r="ET15" i="95"/>
  <c r="HI15" i="95"/>
  <c r="EB15" i="95"/>
  <c r="EA15" i="95"/>
  <c r="FU15" i="95"/>
  <c r="FS15" i="95"/>
  <c r="FR15" i="95"/>
  <c r="GI15" i="95"/>
  <c r="FK15" i="95"/>
  <c r="EM15" i="95"/>
  <c r="HC15" i="95"/>
  <c r="IJ13" i="95"/>
  <c r="CW13" i="95" s="1"/>
  <c r="HV13" i="95"/>
  <c r="CV13" i="95" s="1"/>
  <c r="HV14" i="95"/>
  <c r="CV14" i="95" s="1"/>
  <c r="CY14" i="95" s="1"/>
  <c r="HV14" i="94"/>
  <c r="CV14" i="94" s="1"/>
  <c r="HV13" i="94"/>
  <c r="CV13" i="94" s="1"/>
  <c r="IJ14" i="94"/>
  <c r="CW14" i="94" s="1"/>
  <c r="CZ14" i="94" s="1"/>
  <c r="CY14" i="94"/>
  <c r="HV15" i="94"/>
  <c r="CV15" i="94" s="1"/>
  <c r="CY15" i="94" s="1"/>
  <c r="IJ15" i="94"/>
  <c r="CW15" i="94" s="1"/>
  <c r="HJ14" i="94"/>
  <c r="GL14" i="94"/>
  <c r="FN14" i="94"/>
  <c r="EP14" i="94"/>
  <c r="EF14" i="94"/>
  <c r="GY14" i="94"/>
  <c r="GA14" i="94"/>
  <c r="FC14" i="94"/>
  <c r="DX14" i="94"/>
  <c r="HP14" i="94"/>
  <c r="EB14" i="94"/>
  <c r="HO14" i="94"/>
  <c r="CL13" i="94"/>
  <c r="CM13" i="94" s="1"/>
  <c r="IJ13" i="94"/>
  <c r="CW13" i="94" s="1"/>
  <c r="CZ15" i="94"/>
  <c r="IJ13" i="93"/>
  <c r="CW13" i="93" s="1"/>
  <c r="CL14" i="93"/>
  <c r="CM14" i="93" s="1"/>
  <c r="IJ14" i="93"/>
  <c r="CW14" i="93" s="1"/>
  <c r="HV13" i="93"/>
  <c r="CV13" i="93" s="1"/>
  <c r="CL13" i="93"/>
  <c r="CM13" i="93" s="1"/>
  <c r="IJ15" i="93"/>
  <c r="CW15" i="93" s="1"/>
  <c r="CZ15" i="93" s="1"/>
  <c r="CY14" i="93"/>
  <c r="CL15" i="93"/>
  <c r="CM15" i="93" s="1"/>
  <c r="CZ14" i="93"/>
  <c r="CY15" i="93"/>
  <c r="FQ14" i="92"/>
  <c r="ES14" i="92"/>
  <c r="FX14" i="92"/>
  <c r="EZ14" i="92"/>
  <c r="IJ15" i="92"/>
  <c r="CW15" i="92" s="1"/>
  <c r="CZ15" i="92" s="1"/>
  <c r="CZ14" i="92"/>
  <c r="IJ13" i="92"/>
  <c r="CW13" i="92" s="1"/>
  <c r="CL13" i="92"/>
  <c r="CM13" i="92" s="1"/>
  <c r="HV15" i="92"/>
  <c r="CV15" i="92" s="1"/>
  <c r="CY15" i="92" s="1"/>
  <c r="HV14" i="92"/>
  <c r="CV14" i="92" s="1"/>
  <c r="CY14" i="92" s="1"/>
  <c r="CL15" i="92"/>
  <c r="CM15" i="92" s="1"/>
  <c r="IJ15" i="91"/>
  <c r="CW15" i="91" s="1"/>
  <c r="CZ15" i="91" s="1"/>
  <c r="IJ13" i="91"/>
  <c r="CW13" i="91" s="1"/>
  <c r="HV14" i="91"/>
  <c r="CV14" i="91" s="1"/>
  <c r="HN14" i="91"/>
  <c r="GP14" i="91"/>
  <c r="FR14" i="91"/>
  <c r="ET14" i="91"/>
  <c r="HM14" i="91"/>
  <c r="GO14" i="91"/>
  <c r="FQ14" i="91"/>
  <c r="ES14" i="91"/>
  <c r="HE14" i="91"/>
  <c r="EK14" i="91"/>
  <c r="HD14" i="91"/>
  <c r="FH14" i="91"/>
  <c r="GA14" i="91"/>
  <c r="HL14" i="91"/>
  <c r="GN14" i="91"/>
  <c r="FP14" i="91"/>
  <c r="ER14" i="91"/>
  <c r="HK14" i="91"/>
  <c r="GM14" i="91"/>
  <c r="FO14" i="91"/>
  <c r="EQ14" i="91"/>
  <c r="HJ14" i="91"/>
  <c r="GL14" i="91"/>
  <c r="FN14" i="91"/>
  <c r="EP14" i="91"/>
  <c r="GZ14" i="91"/>
  <c r="GY14" i="91"/>
  <c r="EE14" i="91"/>
  <c r="HI14" i="91"/>
  <c r="GK14" i="91"/>
  <c r="FM14" i="91"/>
  <c r="EO14" i="91"/>
  <c r="HH14" i="91"/>
  <c r="GJ14" i="91"/>
  <c r="FL14" i="91"/>
  <c r="EN14" i="91"/>
  <c r="GF14" i="91"/>
  <c r="EJ14" i="91"/>
  <c r="FC14" i="91"/>
  <c r="GI14" i="91"/>
  <c r="FK14" i="91"/>
  <c r="EM14" i="91"/>
  <c r="HF14" i="91"/>
  <c r="GH14" i="91"/>
  <c r="FJ14" i="91"/>
  <c r="EL14" i="91"/>
  <c r="FI14" i="91"/>
  <c r="FD14" i="91"/>
  <c r="HC14" i="91"/>
  <c r="GE14" i="91"/>
  <c r="FG14" i="91"/>
  <c r="HB14" i="91"/>
  <c r="GD14" i="91"/>
  <c r="FF14" i="91"/>
  <c r="EH14" i="91"/>
  <c r="HA14" i="91"/>
  <c r="GC14" i="91"/>
  <c r="FE14" i="91"/>
  <c r="EG14" i="91"/>
  <c r="GB14" i="91"/>
  <c r="EF14" i="91"/>
  <c r="HS14" i="91"/>
  <c r="GU14" i="91"/>
  <c r="FW14" i="91"/>
  <c r="EY14" i="91"/>
  <c r="EA14" i="91"/>
  <c r="HR14" i="91"/>
  <c r="FV14" i="91"/>
  <c r="EX14" i="91"/>
  <c r="DZ14" i="91"/>
  <c r="HQ14" i="91"/>
  <c r="GS14" i="91"/>
  <c r="FU14" i="91"/>
  <c r="EW14" i="91"/>
  <c r="DY14" i="91"/>
  <c r="HP14" i="91"/>
  <c r="GR14" i="91"/>
  <c r="FT14" i="91"/>
  <c r="DX14" i="91"/>
  <c r="FZ14" i="91"/>
  <c r="FY14" i="91"/>
  <c r="EZ14" i="91"/>
  <c r="EU14" i="91"/>
  <c r="HO14" i="91"/>
  <c r="GW14" i="91"/>
  <c r="GV14" i="91"/>
  <c r="FX14" i="91"/>
  <c r="DW14" i="91"/>
  <c r="FS14" i="91"/>
  <c r="GQ14" i="91"/>
  <c r="FB14" i="91"/>
  <c r="EB14" i="91"/>
  <c r="FA14" i="91"/>
  <c r="GX14" i="91"/>
  <c r="ED14" i="91"/>
  <c r="EC14" i="91"/>
  <c r="HV15" i="91"/>
  <c r="CV15" i="91" s="1"/>
  <c r="CY15" i="91" s="1"/>
  <c r="IJ14" i="91"/>
  <c r="CW14" i="91" s="1"/>
  <c r="CL15" i="91"/>
  <c r="CM15" i="91" s="1"/>
  <c r="IJ15" i="90"/>
  <c r="CW15" i="90" s="1"/>
  <c r="CZ15" i="90" s="1"/>
  <c r="ID13" i="90"/>
  <c r="IC13" i="90"/>
  <c r="IB13" i="90"/>
  <c r="IA13" i="90"/>
  <c r="HZ13" i="90"/>
  <c r="HY13" i="90"/>
  <c r="IH13" i="90"/>
  <c r="IG13" i="90"/>
  <c r="IF13" i="90"/>
  <c r="IE13" i="90"/>
  <c r="HX13" i="90"/>
  <c r="HW13" i="90"/>
  <c r="CL15" i="90"/>
  <c r="CM15" i="90" s="1"/>
  <c r="CL13" i="90"/>
  <c r="CM13" i="90" s="1"/>
  <c r="CY15" i="90"/>
  <c r="HV14" i="90"/>
  <c r="CV14" i="90" s="1"/>
  <c r="CY14" i="90" s="1"/>
  <c r="IN14" i="90"/>
  <c r="IM14" i="90"/>
  <c r="IL14" i="90"/>
  <c r="IK14" i="90"/>
  <c r="IV14" i="90"/>
  <c r="IU14" i="90"/>
  <c r="IT14" i="90"/>
  <c r="IS14" i="90"/>
  <c r="IR14" i="90"/>
  <c r="IQ14" i="90"/>
  <c r="IP14" i="90"/>
  <c r="IO14" i="90"/>
  <c r="CQ14" i="90"/>
  <c r="CS14" i="90" s="1"/>
  <c r="FQ14" i="90"/>
  <c r="ES14" i="90"/>
  <c r="HL14" i="90"/>
  <c r="GN14" i="90"/>
  <c r="FP14" i="90"/>
  <c r="ER14" i="90"/>
  <c r="HK14" i="90"/>
  <c r="GM14" i="90"/>
  <c r="EQ14" i="90"/>
  <c r="GX14" i="90"/>
  <c r="GS14" i="90"/>
  <c r="FM14" i="90"/>
  <c r="EK14" i="90"/>
  <c r="HP14" i="90"/>
  <c r="GD14" i="90"/>
  <c r="HO14" i="90"/>
  <c r="GC14" i="90"/>
  <c r="EU14" i="90"/>
  <c r="HJ14" i="90"/>
  <c r="GB14" i="90"/>
  <c r="EJ14" i="90"/>
  <c r="FG14" i="90"/>
  <c r="HE14" i="90"/>
  <c r="FF14" i="90"/>
  <c r="HD14" i="90"/>
  <c r="FE14" i="90"/>
  <c r="HC14" i="90"/>
  <c r="FD14" i="90"/>
  <c r="HB14" i="90"/>
  <c r="HA14" i="90"/>
  <c r="FB14" i="90"/>
  <c r="ED14" i="90"/>
  <c r="GI14" i="90"/>
  <c r="EC14" i="90"/>
  <c r="GH14" i="90"/>
  <c r="EB14" i="90"/>
  <c r="EA14" i="90"/>
  <c r="GF14" i="90"/>
  <c r="DZ14" i="90"/>
  <c r="GE14" i="90"/>
  <c r="DY14" i="90"/>
  <c r="FW14" i="90"/>
  <c r="CZ14" i="89"/>
  <c r="IJ13" i="89"/>
  <c r="CW13" i="89" s="1"/>
  <c r="HM15" i="89"/>
  <c r="GO15" i="89"/>
  <c r="FQ15" i="89"/>
  <c r="ES15" i="89"/>
  <c r="EJ15" i="89"/>
  <c r="GE15" i="89"/>
  <c r="GD15" i="89"/>
  <c r="FU15" i="89"/>
  <c r="FT15" i="89"/>
  <c r="ET15" i="89"/>
  <c r="HL15" i="89"/>
  <c r="GN15" i="89"/>
  <c r="FP15" i="89"/>
  <c r="ER15" i="89"/>
  <c r="FI15" i="89"/>
  <c r="FF15" i="89"/>
  <c r="EW15" i="89"/>
  <c r="HO15" i="89"/>
  <c r="HK15" i="89"/>
  <c r="GM15" i="89"/>
  <c r="FO15" i="89"/>
  <c r="EQ15" i="89"/>
  <c r="FE15" i="89"/>
  <c r="DY15" i="89"/>
  <c r="HP15" i="89"/>
  <c r="HJ15" i="89"/>
  <c r="GL15" i="89"/>
  <c r="FN15" i="89"/>
  <c r="EP15" i="89"/>
  <c r="HE15" i="89"/>
  <c r="FH15" i="89"/>
  <c r="HC15" i="89"/>
  <c r="HB15" i="89"/>
  <c r="GC15" i="89"/>
  <c r="HQ15" i="89"/>
  <c r="HI15" i="89"/>
  <c r="GK15" i="89"/>
  <c r="FM15" i="89"/>
  <c r="EO15" i="89"/>
  <c r="EK15" i="89"/>
  <c r="GS15" i="89"/>
  <c r="GR15" i="89"/>
  <c r="GQ15" i="89"/>
  <c r="HN15" i="89"/>
  <c r="HH15" i="89"/>
  <c r="GJ15" i="89"/>
  <c r="FL15" i="89"/>
  <c r="EN15" i="89"/>
  <c r="EH15" i="89"/>
  <c r="HA15" i="89"/>
  <c r="DW15" i="89"/>
  <c r="GP15" i="89"/>
  <c r="GI15" i="89"/>
  <c r="FK15" i="89"/>
  <c r="EM15" i="89"/>
  <c r="HD15" i="89"/>
  <c r="FG15" i="89"/>
  <c r="EU15" i="89"/>
  <c r="FR15" i="89"/>
  <c r="HF15" i="89"/>
  <c r="GH15" i="89"/>
  <c r="FJ15" i="89"/>
  <c r="EL15" i="89"/>
  <c r="GF15" i="89"/>
  <c r="EG15" i="89"/>
  <c r="GZ15" i="89"/>
  <c r="GB15" i="89"/>
  <c r="FD15" i="89"/>
  <c r="EF15" i="89"/>
  <c r="GY15" i="89"/>
  <c r="GA15" i="89"/>
  <c r="FC15" i="89"/>
  <c r="EE15" i="89"/>
  <c r="GW15" i="89"/>
  <c r="GV15" i="89"/>
  <c r="FX15" i="89"/>
  <c r="EZ15" i="89"/>
  <c r="EB15" i="89"/>
  <c r="HS15" i="89"/>
  <c r="GU15" i="89"/>
  <c r="FW15" i="89"/>
  <c r="EA15" i="89"/>
  <c r="FV15" i="89"/>
  <c r="DZ15" i="89"/>
  <c r="FS15" i="89"/>
  <c r="GX15" i="89"/>
  <c r="FZ15" i="89"/>
  <c r="FB15" i="89"/>
  <c r="ED15" i="89"/>
  <c r="FY15" i="89"/>
  <c r="FA15" i="89"/>
  <c r="EC15" i="89"/>
  <c r="EY15" i="89"/>
  <c r="HR15" i="89"/>
  <c r="EX15" i="89"/>
  <c r="DX15" i="89"/>
  <c r="CL14" i="89"/>
  <c r="CM14" i="89" s="1"/>
  <c r="CL13" i="89"/>
  <c r="CM13" i="89" s="1"/>
  <c r="HV14" i="89"/>
  <c r="CV14" i="89" s="1"/>
  <c r="CY14" i="89" s="1"/>
  <c r="IJ15" i="89"/>
  <c r="CW15" i="89" s="1"/>
  <c r="CZ15" i="89" s="1"/>
  <c r="HV15" i="89"/>
  <c r="CV15" i="89" s="1"/>
  <c r="CY15" i="89" s="1"/>
  <c r="HV13" i="89"/>
  <c r="CV13" i="89" s="1"/>
  <c r="HV13" i="88"/>
  <c r="CV13" i="88" s="1"/>
  <c r="CL15" i="88"/>
  <c r="CM15" i="88" s="1"/>
  <c r="HV14" i="88"/>
  <c r="CV14" i="88" s="1"/>
  <c r="HN13" i="88"/>
  <c r="HH13" i="88"/>
  <c r="GY13" i="88"/>
  <c r="HV15" i="88"/>
  <c r="CV15" i="88" s="1"/>
  <c r="CY15" i="88" s="1"/>
  <c r="CY14" i="88"/>
  <c r="IJ13" i="88"/>
  <c r="CW13" i="88" s="1"/>
  <c r="IJ14" i="88"/>
  <c r="CW14" i="88" s="1"/>
  <c r="CZ14" i="88" s="1"/>
  <c r="CL14" i="88"/>
  <c r="CM14" i="88" s="1"/>
  <c r="HV13" i="87"/>
  <c r="CV13" i="87" s="1"/>
  <c r="CL15" i="87"/>
  <c r="CM15" i="87" s="1"/>
  <c r="IJ15" i="87"/>
  <c r="CW15" i="87" s="1"/>
  <c r="CZ15" i="87" s="1"/>
  <c r="HV14" i="87"/>
  <c r="CV14" i="87" s="1"/>
  <c r="CY14" i="87" s="1"/>
  <c r="GI13" i="87"/>
  <c r="FJ13" i="87"/>
  <c r="HO13" i="87"/>
  <c r="GQ13" i="87"/>
  <c r="HJ13" i="87"/>
  <c r="EP13" i="87"/>
  <c r="GB13" i="87"/>
  <c r="EF13" i="87"/>
  <c r="FY13" i="87"/>
  <c r="FX13" i="87"/>
  <c r="CL14" i="87"/>
  <c r="CM14" i="87" s="1"/>
  <c r="IJ14" i="87"/>
  <c r="CW14" i="87" s="1"/>
  <c r="CZ14" i="87" s="1"/>
  <c r="HV15" i="87"/>
  <c r="CV15" i="87" s="1"/>
  <c r="CY15" i="87" s="1"/>
  <c r="HV15" i="86"/>
  <c r="CV15" i="86" s="1"/>
  <c r="CY15" i="86" s="1"/>
  <c r="HV14" i="86"/>
  <c r="CV14" i="86" s="1"/>
  <c r="CY14" i="86" s="1"/>
  <c r="CL13" i="86"/>
  <c r="CM13" i="86" s="1"/>
  <c r="IJ13" i="86"/>
  <c r="CW13" i="86" s="1"/>
  <c r="CL15" i="86"/>
  <c r="CM15" i="86" s="1"/>
  <c r="AB68" i="101" s="1"/>
  <c r="AC68" i="101" s="1"/>
  <c r="IJ15" i="86"/>
  <c r="CW15" i="86" s="1"/>
  <c r="CZ15" i="86" s="1"/>
  <c r="HV14" i="85"/>
  <c r="CV14" i="85" s="1"/>
  <c r="CL13" i="85"/>
  <c r="CM13" i="85" s="1"/>
  <c r="CZ14" i="85"/>
  <c r="HV15" i="85"/>
  <c r="CV15" i="85" s="1"/>
  <c r="IJ13" i="85"/>
  <c r="CW13" i="85" s="1"/>
  <c r="CY15" i="85"/>
  <c r="GW15" i="85"/>
  <c r="FW15" i="85"/>
  <c r="DZ15" i="85"/>
  <c r="HQ15" i="85"/>
  <c r="HL15" i="85"/>
  <c r="GN15" i="85"/>
  <c r="EM15" i="85"/>
  <c r="EL15" i="85"/>
  <c r="GF15" i="85"/>
  <c r="GD15" i="85"/>
  <c r="FZ15" i="85"/>
  <c r="ED15" i="85"/>
  <c r="FX15" i="85"/>
  <c r="CL14" i="85"/>
  <c r="CM14" i="85" s="1"/>
  <c r="IJ15" i="85"/>
  <c r="CW15" i="85" s="1"/>
  <c r="CZ15" i="85" s="1"/>
  <c r="CY14" i="85"/>
  <c r="HV13" i="85"/>
  <c r="CV13" i="85" s="1"/>
  <c r="HV14" i="84"/>
  <c r="CV14" i="84" s="1"/>
  <c r="CY14" i="84" s="1"/>
  <c r="IJ13" i="84"/>
  <c r="CW13" i="84" s="1"/>
  <c r="CZ15" i="84"/>
  <c r="IJ14" i="84"/>
  <c r="CW14" i="84" s="1"/>
  <c r="CZ14" i="84" s="1"/>
  <c r="HV15" i="84"/>
  <c r="CV15" i="84" s="1"/>
  <c r="CY15" i="84" s="1"/>
  <c r="HV13" i="84"/>
  <c r="CV13" i="84" s="1"/>
  <c r="CL15" i="84"/>
  <c r="CM15" i="84" s="1"/>
  <c r="AB64" i="101" s="1"/>
  <c r="AC64" i="101" s="1"/>
  <c r="HV13" i="83"/>
  <c r="CV13" i="83" s="1"/>
  <c r="IJ15" i="83"/>
  <c r="CW15" i="83" s="1"/>
  <c r="CZ15" i="83" s="1"/>
  <c r="CY14" i="83"/>
  <c r="IJ13" i="83"/>
  <c r="CW13" i="83" s="1"/>
  <c r="CL14" i="83"/>
  <c r="CM14" i="83" s="1"/>
  <c r="HV15" i="83"/>
  <c r="CV15" i="83" s="1"/>
  <c r="CY15" i="83" s="1"/>
  <c r="IJ14" i="83"/>
  <c r="CW14" i="83" s="1"/>
  <c r="CZ14" i="83" s="1"/>
  <c r="CL13" i="83"/>
  <c r="CM13" i="83" s="1"/>
  <c r="IJ13" i="82"/>
  <c r="CW13" i="82" s="1"/>
  <c r="HV15" i="82"/>
  <c r="CV15" i="82" s="1"/>
  <c r="IJ14" i="81"/>
  <c r="CW14" i="81" s="1"/>
  <c r="CZ14" i="81" s="1"/>
  <c r="IJ13" i="81"/>
  <c r="CW13" i="81" s="1"/>
  <c r="CY15" i="81"/>
  <c r="IJ15" i="81"/>
  <c r="CW15" i="81" s="1"/>
  <c r="CZ15" i="81" s="1"/>
  <c r="HV13" i="81"/>
  <c r="CV13" i="81" s="1"/>
  <c r="CL15" i="81"/>
  <c r="CM15" i="81" s="1"/>
  <c r="CL14" i="81"/>
  <c r="CM14" i="81" s="1"/>
  <c r="HV14" i="81"/>
  <c r="CV14" i="81" s="1"/>
  <c r="CY14" i="81" s="1"/>
  <c r="CL13" i="81"/>
  <c r="CM13" i="81" s="1"/>
  <c r="CZ14" i="74"/>
  <c r="IJ15" i="74"/>
  <c r="CW15" i="74" s="1"/>
  <c r="CL14" i="74"/>
  <c r="CM14" i="74" s="1"/>
  <c r="HV15" i="74"/>
  <c r="CV15" i="74" s="1"/>
  <c r="CY15" i="74" s="1"/>
  <c r="IJ13" i="74"/>
  <c r="CW13" i="74" s="1"/>
  <c r="CL15" i="74"/>
  <c r="CM15" i="74" s="1"/>
  <c r="CZ15" i="74"/>
  <c r="HV13" i="74"/>
  <c r="CV13" i="74" s="1"/>
  <c r="CL13" i="74"/>
  <c r="CM13" i="74" s="1"/>
  <c r="AB13" i="101" s="1"/>
  <c r="AC13" i="101" s="1"/>
  <c r="HV15" i="72"/>
  <c r="CV15" i="72" s="1"/>
  <c r="IJ13" i="72"/>
  <c r="CW13" i="72" s="1"/>
  <c r="IJ15" i="72"/>
  <c r="CW15" i="72" s="1"/>
  <c r="CL14" i="72"/>
  <c r="CM14" i="72" s="1"/>
  <c r="AB51" i="101" s="1"/>
  <c r="AC51" i="101" s="1"/>
  <c r="CL15" i="72"/>
  <c r="CM15" i="72" s="1"/>
  <c r="AB52" i="101" s="1"/>
  <c r="AC52" i="101" s="1"/>
  <c r="IJ14" i="72"/>
  <c r="CW14" i="72" s="1"/>
  <c r="HV14" i="72"/>
  <c r="CV14" i="72" s="1"/>
  <c r="IJ14" i="71"/>
  <c r="CW14" i="71" s="1"/>
  <c r="CL13" i="71"/>
  <c r="CM13" i="71" s="1"/>
  <c r="AB10" i="101" s="1"/>
  <c r="AC10" i="101" s="1"/>
  <c r="HV15" i="71"/>
  <c r="CV15" i="71" s="1"/>
  <c r="IJ15" i="71"/>
  <c r="CW15" i="71" s="1"/>
  <c r="HV14" i="71"/>
  <c r="CV14" i="71" s="1"/>
  <c r="HV13" i="70"/>
  <c r="CV13" i="70" s="1"/>
  <c r="CL14" i="70"/>
  <c r="CM14" i="70" s="1"/>
  <c r="AB47" i="101" s="1"/>
  <c r="AC47" i="101" s="1"/>
  <c r="CL15" i="70"/>
  <c r="CM15" i="70" s="1"/>
  <c r="AB48" i="101" s="1"/>
  <c r="AC48" i="101" s="1"/>
  <c r="IJ15" i="70"/>
  <c r="CW15" i="70" s="1"/>
  <c r="CZ15" i="70" s="1"/>
  <c r="IJ13" i="70"/>
  <c r="CW13" i="70" s="1"/>
  <c r="CL13" i="70"/>
  <c r="CM13" i="70" s="1"/>
  <c r="AB9" i="101" s="1"/>
  <c r="AC9" i="101" s="1"/>
  <c r="IJ14" i="70"/>
  <c r="CW14" i="70" s="1"/>
  <c r="HV15" i="70"/>
  <c r="CV15" i="70" s="1"/>
  <c r="CY15" i="70" s="1"/>
  <c r="IJ15" i="69"/>
  <c r="CW15" i="69" s="1"/>
  <c r="HV14" i="69"/>
  <c r="CV14" i="69" s="1"/>
  <c r="IJ13" i="69"/>
  <c r="CW13" i="69" s="1"/>
  <c r="CL14" i="69"/>
  <c r="CM14" i="69" s="1"/>
  <c r="AB45" i="101" s="1"/>
  <c r="AC45" i="101" s="1"/>
  <c r="HV13" i="69"/>
  <c r="CV13" i="69" s="1"/>
  <c r="IJ14" i="68"/>
  <c r="CW14" i="68" s="1"/>
  <c r="HV14" i="68"/>
  <c r="CV14" i="68" s="1"/>
  <c r="CL13" i="68"/>
  <c r="CM13" i="68" s="1"/>
  <c r="AB7" i="101" s="1"/>
  <c r="AC7" i="101" s="1"/>
  <c r="CL15" i="68"/>
  <c r="CM15" i="68" s="1"/>
  <c r="AB44" i="101" s="1"/>
  <c r="AC44" i="101" s="1"/>
  <c r="CL15" i="67"/>
  <c r="CM15" i="67" s="1"/>
  <c r="AB42" i="101" s="1"/>
  <c r="AC42" i="101" s="1"/>
  <c r="CL14" i="67"/>
  <c r="CM14" i="67" s="1"/>
  <c r="AB41" i="101" s="1"/>
  <c r="AC41" i="101" s="1"/>
  <c r="CL13" i="67"/>
  <c r="CM13" i="67" s="1"/>
  <c r="CL13" i="66"/>
  <c r="CM13" i="66" s="1"/>
  <c r="CL14" i="66"/>
  <c r="CM14" i="66" s="1"/>
  <c r="AB39" i="101" s="1"/>
  <c r="AC39" i="101" s="1"/>
  <c r="FD13" i="88" l="1"/>
  <c r="EM13" i="88"/>
  <c r="HK13" i="87"/>
  <c r="FY13" i="88"/>
  <c r="DY13" i="88"/>
  <c r="GH14" i="92"/>
  <c r="HS14" i="94"/>
  <c r="GB14" i="94"/>
  <c r="FO14" i="94"/>
  <c r="FV13" i="87"/>
  <c r="FK13" i="87"/>
  <c r="FR13" i="87"/>
  <c r="GD13" i="87"/>
  <c r="HQ13" i="87"/>
  <c r="ED13" i="88"/>
  <c r="GK13" i="88"/>
  <c r="EW13" i="88"/>
  <c r="GG13" i="88" s="1"/>
  <c r="HF14" i="92"/>
  <c r="FT14" i="94"/>
  <c r="GZ14" i="94"/>
  <c r="GM14" i="94"/>
  <c r="EY13" i="88"/>
  <c r="DZ13" i="87"/>
  <c r="HS13" i="88"/>
  <c r="FA13" i="88"/>
  <c r="FJ14" i="92"/>
  <c r="EU14" i="94"/>
  <c r="FA13" i="87"/>
  <c r="FW13" i="87"/>
  <c r="EN13" i="87"/>
  <c r="GP13" i="87"/>
  <c r="GE13" i="87"/>
  <c r="FB13" i="88"/>
  <c r="HI13" i="88"/>
  <c r="FU13" i="88"/>
  <c r="DW14" i="92"/>
  <c r="GR14" i="94"/>
  <c r="FF14" i="94"/>
  <c r="HF14" i="94"/>
  <c r="GS15" i="98"/>
  <c r="EO13" i="88"/>
  <c r="GU13" i="87"/>
  <c r="GK13" i="87"/>
  <c r="HN13" i="87"/>
  <c r="HD13" i="87"/>
  <c r="FZ13" i="88"/>
  <c r="HE13" i="88"/>
  <c r="GS13" i="88"/>
  <c r="FC14" i="92"/>
  <c r="EX14" i="94"/>
  <c r="FG14" i="94"/>
  <c r="ER14" i="94"/>
  <c r="FI15" i="98"/>
  <c r="EX13" i="87"/>
  <c r="EG13" i="87"/>
  <c r="GX13" i="88"/>
  <c r="GL13" i="88"/>
  <c r="HQ13" i="88"/>
  <c r="GJ14" i="92"/>
  <c r="FU14" i="94"/>
  <c r="EK14" i="94"/>
  <c r="FP14" i="94"/>
  <c r="EN15" i="98"/>
  <c r="EQ13" i="87"/>
  <c r="EA13" i="87"/>
  <c r="EI13" i="87" s="1"/>
  <c r="FD13" i="87"/>
  <c r="FI13" i="88"/>
  <c r="ET13" i="87"/>
  <c r="FZ13" i="87"/>
  <c r="GV13" i="87"/>
  <c r="EF13" i="88"/>
  <c r="EM14" i="94"/>
  <c r="HR13" i="87"/>
  <c r="HL13" i="87"/>
  <c r="EJ13" i="87"/>
  <c r="HF13" i="87"/>
  <c r="GZ13" i="88"/>
  <c r="ER13" i="88"/>
  <c r="HO14" i="92"/>
  <c r="DW14" i="94"/>
  <c r="FK14" i="94"/>
  <c r="HL14" i="94"/>
  <c r="EP15" i="98"/>
  <c r="GY13" i="87"/>
  <c r="FU13" i="87"/>
  <c r="GH13" i="87"/>
  <c r="GT13" i="87" s="1"/>
  <c r="FB14" i="68"/>
  <c r="GM13" i="87"/>
  <c r="FG13" i="87"/>
  <c r="FV14" i="94"/>
  <c r="GF14" i="94"/>
  <c r="GN13" i="88"/>
  <c r="FM14" i="92"/>
  <c r="GQ14" i="94"/>
  <c r="GJ14" i="94"/>
  <c r="ES14" i="94"/>
  <c r="GL15" i="98"/>
  <c r="GI13" i="88"/>
  <c r="ER13" i="87"/>
  <c r="EQ14" i="94"/>
  <c r="EQ13" i="88"/>
  <c r="HH14" i="92"/>
  <c r="GC13" i="88"/>
  <c r="EO14" i="92"/>
  <c r="GC14" i="92"/>
  <c r="GK14" i="92"/>
  <c r="EY14" i="94"/>
  <c r="HH14" i="94"/>
  <c r="HT14" i="94" s="1"/>
  <c r="FQ14" i="94"/>
  <c r="FA15" i="98"/>
  <c r="EW13" i="87"/>
  <c r="EK13" i="88"/>
  <c r="FP13" i="87"/>
  <c r="GN14" i="94"/>
  <c r="HS13" i="87"/>
  <c r="HA14" i="92"/>
  <c r="HI14" i="92"/>
  <c r="FX14" i="94"/>
  <c r="FH14" i="94"/>
  <c r="GO14" i="94"/>
  <c r="ED15" i="98"/>
  <c r="DY13" i="87"/>
  <c r="HA13" i="87"/>
  <c r="GO13" i="87"/>
  <c r="FI13" i="69"/>
  <c r="FJ15" i="85"/>
  <c r="EY13" i="87"/>
  <c r="GG13" i="87" s="1"/>
  <c r="FC13" i="87"/>
  <c r="GL13" i="87"/>
  <c r="HI13" i="87"/>
  <c r="HT13" i="87" s="1"/>
  <c r="DZ13" i="88"/>
  <c r="HC13" i="88"/>
  <c r="HG13" i="88" s="1"/>
  <c r="FQ13" i="88"/>
  <c r="HQ14" i="92"/>
  <c r="HP14" i="92"/>
  <c r="GS14" i="94"/>
  <c r="GU14" i="94"/>
  <c r="EO14" i="94"/>
  <c r="HM14" i="94"/>
  <c r="EW15" i="96"/>
  <c r="GI15" i="98"/>
  <c r="FI15" i="94"/>
  <c r="EL14" i="92"/>
  <c r="DY14" i="94"/>
  <c r="EH14" i="94"/>
  <c r="GJ15" i="98"/>
  <c r="FH15" i="94"/>
  <c r="GO14" i="92"/>
  <c r="FM13" i="88"/>
  <c r="ES13" i="87"/>
  <c r="GI14" i="94"/>
  <c r="FQ13" i="87"/>
  <c r="EO13" i="87"/>
  <c r="EV13" i="87" s="1"/>
  <c r="HM13" i="87"/>
  <c r="EZ13" i="87"/>
  <c r="FN13" i="87"/>
  <c r="HR14" i="94"/>
  <c r="HB13" i="87"/>
  <c r="GN13" i="87"/>
  <c r="DX13" i="87"/>
  <c r="EX13" i="88"/>
  <c r="GB13" i="88"/>
  <c r="HM13" i="88"/>
  <c r="FD14" i="92"/>
  <c r="GN14" i="92"/>
  <c r="GV14" i="94"/>
  <c r="GC14" i="94"/>
  <c r="GK14" i="94"/>
  <c r="ET14" i="94"/>
  <c r="EJ15" i="95"/>
  <c r="ER15" i="95"/>
  <c r="GW15" i="96"/>
  <c r="HJ13" i="98"/>
  <c r="FM15" i="98"/>
  <c r="GY15" i="94"/>
  <c r="GQ13" i="88"/>
  <c r="GA14" i="92"/>
  <c r="FE13" i="87"/>
  <c r="EK13" i="87"/>
  <c r="EL13" i="87"/>
  <c r="FP13" i="88"/>
  <c r="EB13" i="87"/>
  <c r="FL13" i="87"/>
  <c r="EH13" i="88"/>
  <c r="HE13" i="87"/>
  <c r="GD13" i="88"/>
  <c r="HL13" i="88"/>
  <c r="HA13" i="69"/>
  <c r="ES13" i="88"/>
  <c r="GW13" i="87"/>
  <c r="GZ14" i="92"/>
  <c r="HL14" i="92"/>
  <c r="DZ14" i="94"/>
  <c r="FZ14" i="94"/>
  <c r="HI14" i="94"/>
  <c r="FR14" i="94"/>
  <c r="EO15" i="95"/>
  <c r="EV15" i="95" s="1"/>
  <c r="FP15" i="95"/>
  <c r="HA15" i="96"/>
  <c r="FC13" i="98"/>
  <c r="HI15" i="98"/>
  <c r="HI15" i="94"/>
  <c r="FF13" i="87"/>
  <c r="GS13" i="87"/>
  <c r="EM13" i="87"/>
  <c r="EC13" i="87"/>
  <c r="ED13" i="87"/>
  <c r="GJ13" i="87"/>
  <c r="FM13" i="87"/>
  <c r="HB13" i="88"/>
  <c r="FK15" i="85"/>
  <c r="GI15" i="85"/>
  <c r="HC13" i="87"/>
  <c r="DW13" i="87"/>
  <c r="FT13" i="87"/>
  <c r="FC13" i="88"/>
  <c r="EN13" i="88"/>
  <c r="ET13" i="88"/>
  <c r="FN15" i="85"/>
  <c r="EE13" i="87"/>
  <c r="FH13" i="87"/>
  <c r="EU13" i="87"/>
  <c r="GR13" i="87"/>
  <c r="GA13" i="88"/>
  <c r="FL13" i="88"/>
  <c r="FR13" i="88"/>
  <c r="FC14" i="90"/>
  <c r="FO14" i="90"/>
  <c r="EH14" i="92"/>
  <c r="GR14" i="92"/>
  <c r="HA14" i="94"/>
  <c r="GX14" i="94"/>
  <c r="HD14" i="94"/>
  <c r="GP14" i="94"/>
  <c r="FM15" i="95"/>
  <c r="GN15" i="95"/>
  <c r="EN15" i="96"/>
  <c r="EG13" i="98"/>
  <c r="ES15" i="98"/>
  <c r="FU15" i="99"/>
  <c r="GG15" i="99" s="1"/>
  <c r="EB15" i="99"/>
  <c r="DV15" i="99" s="1"/>
  <c r="CX15" i="99" s="1"/>
  <c r="EJ15" i="99"/>
  <c r="GM15" i="99"/>
  <c r="GO15" i="94"/>
  <c r="DW13" i="88"/>
  <c r="GZ13" i="87"/>
  <c r="GC13" i="87"/>
  <c r="FD14" i="94"/>
  <c r="GW13" i="88"/>
  <c r="GF13" i="87"/>
  <c r="FW14" i="94"/>
  <c r="FI13" i="87"/>
  <c r="EH13" i="87"/>
  <c r="FO13" i="87"/>
  <c r="EE13" i="88"/>
  <c r="GF13" i="88"/>
  <c r="GO13" i="88"/>
  <c r="EA14" i="92"/>
  <c r="FP14" i="92"/>
  <c r="FM14" i="94"/>
  <c r="FB13" i="87"/>
  <c r="GL15" i="85"/>
  <c r="GX13" i="87"/>
  <c r="GA13" i="87"/>
  <c r="HH13" i="87"/>
  <c r="FS13" i="87"/>
  <c r="FV13" i="88"/>
  <c r="GJ13" i="88"/>
  <c r="GP13" i="88"/>
  <c r="FF14" i="92"/>
  <c r="EK14" i="92"/>
  <c r="EA14" i="94"/>
  <c r="EE14" i="94"/>
  <c r="EL14" i="94"/>
  <c r="HN14" i="94"/>
  <c r="GK15" i="95"/>
  <c r="HL15" i="95"/>
  <c r="HH15" i="96"/>
  <c r="FH13" i="98"/>
  <c r="FQ15" i="98"/>
  <c r="HK15" i="99"/>
  <c r="GS15" i="94"/>
  <c r="HF13" i="69"/>
  <c r="CY15" i="72"/>
  <c r="HV13" i="71"/>
  <c r="CV13" i="71" s="1"/>
  <c r="IJ13" i="71"/>
  <c r="CW13" i="71" s="1"/>
  <c r="GX14" i="68"/>
  <c r="FT14" i="68"/>
  <c r="FA14" i="68"/>
  <c r="FY14" i="68"/>
  <c r="ED14" i="68"/>
  <c r="FZ14" i="68"/>
  <c r="FO14" i="68"/>
  <c r="GH14" i="68"/>
  <c r="HK14" i="68"/>
  <c r="ER14" i="68"/>
  <c r="EE14" i="68"/>
  <c r="EU14" i="68"/>
  <c r="CZ14" i="91"/>
  <c r="CY14" i="71"/>
  <c r="CY14" i="72"/>
  <c r="EF15" i="71"/>
  <c r="FD15" i="71"/>
  <c r="FR13" i="69"/>
  <c r="GP13" i="69"/>
  <c r="GR15" i="98"/>
  <c r="EX15" i="95"/>
  <c r="FY15" i="95"/>
  <c r="HB15" i="98"/>
  <c r="HC15" i="94"/>
  <c r="HQ14" i="90"/>
  <c r="DY15" i="98"/>
  <c r="EN15" i="94"/>
  <c r="HF15" i="94"/>
  <c r="EW15" i="94"/>
  <c r="FH14" i="90"/>
  <c r="HM14" i="90"/>
  <c r="HA15" i="95"/>
  <c r="EC15" i="95"/>
  <c r="GF15" i="95"/>
  <c r="EH15" i="95"/>
  <c r="FZ13" i="98"/>
  <c r="GY13" i="98"/>
  <c r="ET15" i="98"/>
  <c r="GM15" i="98"/>
  <c r="HS15" i="94"/>
  <c r="HR13" i="88"/>
  <c r="FG13" i="88"/>
  <c r="EP13" i="88"/>
  <c r="EU13" i="88"/>
  <c r="GK14" i="90"/>
  <c r="HR14" i="90"/>
  <c r="EM14" i="90"/>
  <c r="ET14" i="90"/>
  <c r="FF15" i="95"/>
  <c r="FB15" i="95"/>
  <c r="FI15" i="95"/>
  <c r="HD15" i="95"/>
  <c r="GU13" i="98"/>
  <c r="FD13" i="98"/>
  <c r="FR15" i="98"/>
  <c r="HK15" i="98"/>
  <c r="FV13" i="91"/>
  <c r="FB13" i="91"/>
  <c r="HC13" i="91"/>
  <c r="HG13" i="91" s="1"/>
  <c r="FT13" i="91"/>
  <c r="HA15" i="94"/>
  <c r="EQ15" i="94"/>
  <c r="HQ15" i="94"/>
  <c r="HQ13" i="98"/>
  <c r="EF15" i="95"/>
  <c r="DW15" i="98"/>
  <c r="EE15" i="95"/>
  <c r="EE13" i="98"/>
  <c r="FJ15" i="94"/>
  <c r="EL14" i="90"/>
  <c r="FO15" i="98"/>
  <c r="HJ15" i="85"/>
  <c r="EE14" i="90"/>
  <c r="FN14" i="90"/>
  <c r="EX13" i="91"/>
  <c r="GW15" i="94"/>
  <c r="FS15" i="94"/>
  <c r="EN13" i="72"/>
  <c r="FU15" i="85"/>
  <c r="FL13" i="72"/>
  <c r="FS15" i="85"/>
  <c r="HR15" i="85"/>
  <c r="EA13" i="88"/>
  <c r="GE13" i="88"/>
  <c r="FN13" i="88"/>
  <c r="FS13" i="88"/>
  <c r="EW14" i="90"/>
  <c r="GG14" i="90" s="1"/>
  <c r="EF14" i="90"/>
  <c r="FS14" i="90"/>
  <c r="FR14" i="90"/>
  <c r="EN15" i="95"/>
  <c r="GA15" i="95"/>
  <c r="FJ15" i="95"/>
  <c r="GH15" i="95"/>
  <c r="GV13" i="98"/>
  <c r="GZ13" i="98"/>
  <c r="GP15" i="98"/>
  <c r="FW15" i="98"/>
  <c r="FN13" i="91"/>
  <c r="GL13" i="91"/>
  <c r="FK13" i="91"/>
  <c r="GR13" i="91"/>
  <c r="FZ15" i="94"/>
  <c r="FO15" i="94"/>
  <c r="GR15" i="94"/>
  <c r="ET13" i="69"/>
  <c r="FR13" i="98"/>
  <c r="GP13" i="98"/>
  <c r="FW15" i="95"/>
  <c r="GJ14" i="90"/>
  <c r="GB15" i="95"/>
  <c r="HS13" i="98"/>
  <c r="FX14" i="90"/>
  <c r="GP14" i="90"/>
  <c r="FL15" i="95"/>
  <c r="EQ15" i="95"/>
  <c r="ES15" i="95"/>
  <c r="GW13" i="98"/>
  <c r="GQ15" i="98"/>
  <c r="EE15" i="94"/>
  <c r="HH13" i="72"/>
  <c r="EC15" i="85"/>
  <c r="FW13" i="88"/>
  <c r="EJ13" i="88"/>
  <c r="HJ13" i="88"/>
  <c r="HO13" i="88"/>
  <c r="EX14" i="90"/>
  <c r="HF14" i="90"/>
  <c r="EN14" i="90"/>
  <c r="EV14" i="90" s="1"/>
  <c r="HN14" i="90"/>
  <c r="GJ15" i="95"/>
  <c r="FE15" i="95"/>
  <c r="FO15" i="95"/>
  <c r="FQ15" i="95"/>
  <c r="GX13" i="98"/>
  <c r="EJ13" i="98"/>
  <c r="GU15" i="98"/>
  <c r="GX15" i="98"/>
  <c r="HO13" i="91"/>
  <c r="FF13" i="91"/>
  <c r="HM13" i="91"/>
  <c r="EL13" i="91"/>
  <c r="EK15" i="94"/>
  <c r="GA15" i="94"/>
  <c r="FL15" i="94"/>
  <c r="FF15" i="98"/>
  <c r="GV15" i="94"/>
  <c r="DX15" i="98"/>
  <c r="FX15" i="95"/>
  <c r="GA13" i="98"/>
  <c r="GJ13" i="72"/>
  <c r="GQ15" i="85"/>
  <c r="EZ15" i="85"/>
  <c r="GL14" i="90"/>
  <c r="GU14" i="90"/>
  <c r="FD15" i="95"/>
  <c r="HA13" i="98"/>
  <c r="GW15" i="98"/>
  <c r="GD15" i="94"/>
  <c r="FA15" i="94"/>
  <c r="HO15" i="85"/>
  <c r="FX13" i="72"/>
  <c r="DX15" i="85"/>
  <c r="GC15" i="85"/>
  <c r="GU13" i="88"/>
  <c r="FH13" i="88"/>
  <c r="FF13" i="88"/>
  <c r="FE13" i="88"/>
  <c r="FI14" i="90"/>
  <c r="GQ14" i="90"/>
  <c r="EG14" i="90"/>
  <c r="FT14" i="90"/>
  <c r="HH15" i="95"/>
  <c r="GD15" i="95"/>
  <c r="GM15" i="95"/>
  <c r="GO15" i="95"/>
  <c r="HR13" i="98"/>
  <c r="FI13" i="98"/>
  <c r="GZ15" i="98"/>
  <c r="GY15" i="98"/>
  <c r="GI13" i="91"/>
  <c r="GD13" i="91"/>
  <c r="HD13" i="91"/>
  <c r="HS13" i="91"/>
  <c r="EB15" i="94"/>
  <c r="GK15" i="94"/>
  <c r="ER15" i="94"/>
  <c r="FJ14" i="90"/>
  <c r="GR14" i="90"/>
  <c r="EH14" i="90"/>
  <c r="EO14" i="90"/>
  <c r="HN15" i="95"/>
  <c r="GQ15" i="95"/>
  <c r="FH15" i="95"/>
  <c r="HO15" i="95"/>
  <c r="EA13" i="98"/>
  <c r="GM13" i="98"/>
  <c r="EJ15" i="98"/>
  <c r="FD15" i="98"/>
  <c r="GF13" i="91"/>
  <c r="EG13" i="91"/>
  <c r="FI13" i="91"/>
  <c r="EB13" i="91"/>
  <c r="GM15" i="94"/>
  <c r="EY15" i="94"/>
  <c r="HM15" i="94"/>
  <c r="FU14" i="90"/>
  <c r="HR15" i="95"/>
  <c r="GR15" i="95"/>
  <c r="EK15" i="95"/>
  <c r="HP15" i="95"/>
  <c r="EB13" i="98"/>
  <c r="DX13" i="98"/>
  <c r="FH15" i="98"/>
  <c r="GB15" i="98"/>
  <c r="FC13" i="91"/>
  <c r="FO13" i="91"/>
  <c r="FP13" i="91"/>
  <c r="FU13" i="91"/>
  <c r="HK15" i="94"/>
  <c r="GH15" i="94"/>
  <c r="DY15" i="94"/>
  <c r="DW15" i="94"/>
  <c r="FG15" i="95"/>
  <c r="GO13" i="72"/>
  <c r="FT15" i="85"/>
  <c r="EY14" i="90"/>
  <c r="GP15" i="95"/>
  <c r="HK15" i="95"/>
  <c r="HF13" i="98"/>
  <c r="EZ15" i="94"/>
  <c r="GZ15" i="94"/>
  <c r="FA15" i="69"/>
  <c r="HM13" i="72"/>
  <c r="GR15" i="85"/>
  <c r="EB13" i="88"/>
  <c r="DX13" i="88"/>
  <c r="GM13" i="88"/>
  <c r="FX13" i="69"/>
  <c r="FA15" i="71"/>
  <c r="EC13" i="72"/>
  <c r="DY15" i="85"/>
  <c r="FM15" i="85"/>
  <c r="FX13" i="88"/>
  <c r="FJ13" i="88"/>
  <c r="HK13" i="88"/>
  <c r="GR13" i="88"/>
  <c r="DW14" i="90"/>
  <c r="GY14" i="90"/>
  <c r="HH14" i="90"/>
  <c r="GW14" i="90"/>
  <c r="GU15" i="95"/>
  <c r="GS15" i="95"/>
  <c r="EL15" i="95"/>
  <c r="GV15" i="95"/>
  <c r="ED13" i="98"/>
  <c r="FT13" i="98"/>
  <c r="GF15" i="98"/>
  <c r="GC15" i="98"/>
  <c r="FV15" i="99"/>
  <c r="HO15" i="99"/>
  <c r="GZ15" i="99"/>
  <c r="HG15" i="99" s="1"/>
  <c r="EK15" i="99"/>
  <c r="EA13" i="91"/>
  <c r="EI13" i="91" s="1"/>
  <c r="GM13" i="91"/>
  <c r="GU13" i="91"/>
  <c r="HB13" i="91"/>
  <c r="FE15" i="94"/>
  <c r="GU15" i="94"/>
  <c r="EF15" i="94"/>
  <c r="HN13" i="69"/>
  <c r="ET13" i="98"/>
  <c r="FA15" i="95"/>
  <c r="FV15" i="95"/>
  <c r="HN13" i="98"/>
  <c r="EA15" i="94"/>
  <c r="FA13" i="98"/>
  <c r="FC15" i="95"/>
  <c r="FY14" i="90"/>
  <c r="GE15" i="95"/>
  <c r="DZ13" i="98"/>
  <c r="EF15" i="98"/>
  <c r="FQ15" i="94"/>
  <c r="FS15" i="71"/>
  <c r="FO13" i="88"/>
  <c r="HS15" i="71"/>
  <c r="EZ13" i="72"/>
  <c r="HP15" i="85"/>
  <c r="EL13" i="88"/>
  <c r="FT13" i="88"/>
  <c r="FB13" i="69"/>
  <c r="FF15" i="71"/>
  <c r="GX13" i="72"/>
  <c r="EX15" i="85"/>
  <c r="ER15" i="85"/>
  <c r="GV13" i="88"/>
  <c r="GH13" i="88"/>
  <c r="EG13" i="88"/>
  <c r="HP13" i="88"/>
  <c r="FL14" i="90"/>
  <c r="FA14" i="90"/>
  <c r="GA14" i="90"/>
  <c r="EP14" i="90"/>
  <c r="GY15" i="95"/>
  <c r="HS15" i="95"/>
  <c r="EP15" i="95"/>
  <c r="GW15" i="95"/>
  <c r="HH13" i="98"/>
  <c r="GR13" i="98"/>
  <c r="HD15" i="98"/>
  <c r="EH15" i="98"/>
  <c r="EM15" i="99"/>
  <c r="ER13" i="91"/>
  <c r="HK13" i="91"/>
  <c r="HT13" i="91" s="1"/>
  <c r="DZ13" i="91"/>
  <c r="FX13" i="91"/>
  <c r="EH15" i="94"/>
  <c r="EM15" i="94"/>
  <c r="FU15" i="94"/>
  <c r="EG15" i="98"/>
  <c r="EZ13" i="98"/>
  <c r="EG15" i="95"/>
  <c r="GO14" i="90"/>
  <c r="GW15" i="71"/>
  <c r="EH15" i="85"/>
  <c r="HS14" i="90"/>
  <c r="GV14" i="90"/>
  <c r="HG14" i="90" s="1"/>
  <c r="HM15" i="95"/>
  <c r="HT15" i="95" s="1"/>
  <c r="FG15" i="98"/>
  <c r="FF15" i="85"/>
  <c r="HD13" i="88"/>
  <c r="HB15" i="69"/>
  <c r="HC15" i="85"/>
  <c r="EZ13" i="88"/>
  <c r="FK14" i="90"/>
  <c r="EZ14" i="90"/>
  <c r="FZ14" i="90"/>
  <c r="GC13" i="69"/>
  <c r="GY15" i="71"/>
  <c r="EA15" i="85"/>
  <c r="FP15" i="85"/>
  <c r="EC13" i="88"/>
  <c r="HF13" i="88"/>
  <c r="FK13" i="88"/>
  <c r="DX14" i="90"/>
  <c r="GZ14" i="90"/>
  <c r="HI14" i="90"/>
  <c r="GZ15" i="95"/>
  <c r="ED15" i="95"/>
  <c r="FN15" i="95"/>
  <c r="FN13" i="98"/>
  <c r="HP13" i="98"/>
  <c r="EK15" i="98"/>
  <c r="FK15" i="98"/>
  <c r="HE13" i="91"/>
  <c r="EY13" i="91"/>
  <c r="GH13" i="91"/>
  <c r="FG15" i="94"/>
  <c r="FX15" i="94"/>
  <c r="HN15" i="94"/>
  <c r="CZ15" i="72"/>
  <c r="DZ13" i="69"/>
  <c r="EX13" i="69"/>
  <c r="FA13" i="72"/>
  <c r="EE13" i="72"/>
  <c r="FV13" i="69"/>
  <c r="FA13" i="69"/>
  <c r="EK13" i="72"/>
  <c r="EG13" i="72"/>
  <c r="HR13" i="69"/>
  <c r="GH13" i="69"/>
  <c r="FI13" i="72"/>
  <c r="EA13" i="69"/>
  <c r="FQ13" i="69"/>
  <c r="GL13" i="72"/>
  <c r="FE13" i="69"/>
  <c r="HJ13" i="72"/>
  <c r="FW13" i="72"/>
  <c r="GP13" i="72"/>
  <c r="EQ13" i="69"/>
  <c r="HS13" i="72"/>
  <c r="FF13" i="72"/>
  <c r="HO13" i="72"/>
  <c r="FC15" i="69"/>
  <c r="HS13" i="69"/>
  <c r="FO13" i="69"/>
  <c r="GO13" i="69"/>
  <c r="FE13" i="72"/>
  <c r="GH13" i="72"/>
  <c r="DX13" i="72"/>
  <c r="GA15" i="69"/>
  <c r="GM13" i="69"/>
  <c r="GD13" i="72"/>
  <c r="HK13" i="69"/>
  <c r="FG13" i="69"/>
  <c r="GY13" i="69"/>
  <c r="EQ15" i="71"/>
  <c r="GM13" i="72"/>
  <c r="HP13" i="72"/>
  <c r="HB13" i="69"/>
  <c r="EM13" i="72"/>
  <c r="EJ13" i="69"/>
  <c r="EL13" i="69"/>
  <c r="HQ13" i="69"/>
  <c r="FK13" i="72"/>
  <c r="EK15" i="69"/>
  <c r="GF13" i="69"/>
  <c r="EB13" i="72"/>
  <c r="EE13" i="69"/>
  <c r="GQ14" i="71"/>
  <c r="EW13" i="72"/>
  <c r="EE14" i="71"/>
  <c r="FB13" i="72"/>
  <c r="GY13" i="72"/>
  <c r="FU13" i="72"/>
  <c r="FK13" i="69"/>
  <c r="EF13" i="69"/>
  <c r="FZ13" i="69"/>
  <c r="FD13" i="69"/>
  <c r="EY13" i="69"/>
  <c r="DW13" i="69"/>
  <c r="EA13" i="72"/>
  <c r="FR13" i="72"/>
  <c r="FW13" i="69"/>
  <c r="DY13" i="69"/>
  <c r="FT13" i="72"/>
  <c r="EJ15" i="71"/>
  <c r="FU13" i="69"/>
  <c r="HE13" i="69"/>
  <c r="EY13" i="72"/>
  <c r="FV15" i="69"/>
  <c r="EX13" i="72"/>
  <c r="GV13" i="72"/>
  <c r="HE15" i="69"/>
  <c r="GW13" i="72"/>
  <c r="EM13" i="69"/>
  <c r="EB13" i="69"/>
  <c r="FC13" i="69"/>
  <c r="HB13" i="72"/>
  <c r="EP13" i="72"/>
  <c r="FN13" i="72"/>
  <c r="FG13" i="72"/>
  <c r="HE13" i="72"/>
  <c r="ET13" i="72"/>
  <c r="FM13" i="69"/>
  <c r="HP13" i="69"/>
  <c r="EF13" i="72"/>
  <c r="GU13" i="69"/>
  <c r="EK13" i="69"/>
  <c r="EC13" i="69"/>
  <c r="GE15" i="71"/>
  <c r="EQ13" i="72"/>
  <c r="GY15" i="69"/>
  <c r="GX13" i="69"/>
  <c r="EW13" i="69"/>
  <c r="GE13" i="72"/>
  <c r="FO13" i="72"/>
  <c r="GR13" i="72"/>
  <c r="HP15" i="69"/>
  <c r="FH13" i="72"/>
  <c r="GS15" i="69"/>
  <c r="GS13" i="69"/>
  <c r="HK13" i="72"/>
  <c r="HD13" i="72"/>
  <c r="FH13" i="69"/>
  <c r="EO13" i="69"/>
  <c r="GI13" i="72"/>
  <c r="GU13" i="72"/>
  <c r="HI13" i="72"/>
  <c r="FI15" i="69"/>
  <c r="HI13" i="69"/>
  <c r="DY13" i="72"/>
  <c r="HD13" i="69"/>
  <c r="FZ13" i="72"/>
  <c r="EN15" i="69"/>
  <c r="ED13" i="69"/>
  <c r="FJ13" i="69"/>
  <c r="FL15" i="69"/>
  <c r="GZ13" i="69"/>
  <c r="ES13" i="69"/>
  <c r="FC13" i="72"/>
  <c r="ES13" i="72"/>
  <c r="GS13" i="72"/>
  <c r="GJ15" i="69"/>
  <c r="EG13" i="69"/>
  <c r="HM13" i="69"/>
  <c r="GB13" i="72"/>
  <c r="FQ13" i="72"/>
  <c r="HQ13" i="72"/>
  <c r="CZ14" i="71"/>
  <c r="CY14" i="82"/>
  <c r="CZ14" i="72"/>
  <c r="CR14" i="91"/>
  <c r="BP77" i="101"/>
  <c r="BR77" i="101" s="1"/>
  <c r="CY14" i="91"/>
  <c r="EA15" i="69"/>
  <c r="FT15" i="69"/>
  <c r="HH15" i="69"/>
  <c r="GC15" i="69"/>
  <c r="HC15" i="69"/>
  <c r="DX15" i="69"/>
  <c r="HS15" i="69"/>
  <c r="GD15" i="69"/>
  <c r="EB15" i="69"/>
  <c r="FG15" i="69"/>
  <c r="FN15" i="69"/>
  <c r="FW15" i="69"/>
  <c r="GE15" i="69"/>
  <c r="EJ15" i="69"/>
  <c r="GF15" i="69"/>
  <c r="EC15" i="69"/>
  <c r="ER15" i="69"/>
  <c r="FP15" i="69"/>
  <c r="HF15" i="69"/>
  <c r="FZ15" i="69"/>
  <c r="GR15" i="69"/>
  <c r="HL15" i="69"/>
  <c r="EX15" i="69"/>
  <c r="FH15" i="69"/>
  <c r="FE15" i="69"/>
  <c r="GQ15" i="69"/>
  <c r="HO15" i="69"/>
  <c r="GN15" i="69"/>
  <c r="GX15" i="69"/>
  <c r="GW15" i="69"/>
  <c r="GU15" i="69"/>
  <c r="EP15" i="69"/>
  <c r="HQ15" i="69"/>
  <c r="EZ15" i="69"/>
  <c r="HD15" i="69"/>
  <c r="EL15" i="69"/>
  <c r="FJ15" i="69"/>
  <c r="GH15" i="69"/>
  <c r="DY15" i="69"/>
  <c r="EE15" i="69"/>
  <c r="EH15" i="69"/>
  <c r="FX15" i="69"/>
  <c r="IJ15" i="68"/>
  <c r="CW15" i="68" s="1"/>
  <c r="GB14" i="68"/>
  <c r="EM14" i="68"/>
  <c r="EW14" i="68"/>
  <c r="FR14" i="68"/>
  <c r="GP14" i="68"/>
  <c r="FK14" i="68"/>
  <c r="GQ14" i="68"/>
  <c r="DZ14" i="68"/>
  <c r="EG14" i="68"/>
  <c r="EH14" i="68"/>
  <c r="EP14" i="68"/>
  <c r="FJ14" i="68"/>
  <c r="EX14" i="68"/>
  <c r="GI14" i="68"/>
  <c r="FN14" i="68"/>
  <c r="FP14" i="68"/>
  <c r="GN14" i="68"/>
  <c r="FV14" i="68"/>
  <c r="HL14" i="68"/>
  <c r="ET14" i="68"/>
  <c r="GL14" i="68"/>
  <c r="HJ14" i="68"/>
  <c r="GR14" i="68"/>
  <c r="IJ13" i="68"/>
  <c r="CW13" i="68" s="1"/>
  <c r="HV13" i="68"/>
  <c r="CV13" i="68" s="1"/>
  <c r="CS13" i="68"/>
  <c r="CY14" i="68"/>
  <c r="HV14" i="67"/>
  <c r="CV14" i="67" s="1"/>
  <c r="GD14" i="68"/>
  <c r="HB14" i="68"/>
  <c r="EC14" i="68"/>
  <c r="GE14" i="68"/>
  <c r="FL14" i="68"/>
  <c r="GJ14" i="68"/>
  <c r="HS14" i="68"/>
  <c r="DW14" i="68"/>
  <c r="GF14" i="68"/>
  <c r="FX14" i="68"/>
  <c r="EO14" i="68"/>
  <c r="GV14" i="68"/>
  <c r="FS14" i="68"/>
  <c r="GK14" i="68"/>
  <c r="HM14" i="68"/>
  <c r="FE14" i="68"/>
  <c r="FI14" i="68"/>
  <c r="FG14" i="68"/>
  <c r="HF14" i="68"/>
  <c r="HC14" i="68"/>
  <c r="GU14" i="68"/>
  <c r="HH14" i="68"/>
  <c r="EB14" i="68"/>
  <c r="ES14" i="68"/>
  <c r="EZ14" i="68"/>
  <c r="HD14" i="68"/>
  <c r="GO14" i="68"/>
  <c r="HO14" i="68"/>
  <c r="EK14" i="68"/>
  <c r="HP14" i="68"/>
  <c r="GW14" i="68"/>
  <c r="FC14" i="68"/>
  <c r="EF14" i="68"/>
  <c r="EY14" i="68"/>
  <c r="DX14" i="68"/>
  <c r="GS14" i="68"/>
  <c r="EA14" i="68"/>
  <c r="FW14" i="68"/>
  <c r="EQ14" i="68"/>
  <c r="EJ14" i="68"/>
  <c r="FH14" i="68"/>
  <c r="DY14" i="68"/>
  <c r="FD14" i="68"/>
  <c r="FU14" i="68"/>
  <c r="HR14" i="68"/>
  <c r="GC14" i="68"/>
  <c r="HA14" i="68"/>
  <c r="HN14" i="68"/>
  <c r="EL14" i="68"/>
  <c r="EN14" i="68"/>
  <c r="FM14" i="68"/>
  <c r="GZ14" i="68"/>
  <c r="GM14" i="68"/>
  <c r="FQ14" i="68"/>
  <c r="HE14" i="68"/>
  <c r="GA14" i="68"/>
  <c r="HQ14" i="68"/>
  <c r="GY14" i="68"/>
  <c r="HI14" i="68"/>
  <c r="FF14" i="68"/>
  <c r="HV15" i="67"/>
  <c r="CV15" i="67" s="1"/>
  <c r="CY15" i="67" s="1"/>
  <c r="BQ42" i="101"/>
  <c r="BS42" i="101" s="1"/>
  <c r="BP42" i="101"/>
  <c r="BR42" i="101" s="1"/>
  <c r="BQ41" i="101"/>
  <c r="BS41" i="101" s="1"/>
  <c r="HV14" i="66"/>
  <c r="CV14" i="66" s="1"/>
  <c r="CY14" i="66" s="1"/>
  <c r="CZ14" i="68"/>
  <c r="CZ15" i="68"/>
  <c r="CY15" i="82"/>
  <c r="HV15" i="68"/>
  <c r="CV15" i="68" s="1"/>
  <c r="HD15" i="71"/>
  <c r="FO15" i="71"/>
  <c r="HM15" i="71"/>
  <c r="FU15" i="71"/>
  <c r="ET15" i="71"/>
  <c r="EK14" i="71"/>
  <c r="EU15" i="71"/>
  <c r="CY15" i="71"/>
  <c r="FA13" i="84"/>
  <c r="GL13" i="84"/>
  <c r="HJ13" i="84"/>
  <c r="GC13" i="84"/>
  <c r="ET13" i="84"/>
  <c r="EZ13" i="84"/>
  <c r="HE13" i="84"/>
  <c r="FR13" i="84"/>
  <c r="FI13" i="84"/>
  <c r="HN13" i="84"/>
  <c r="FY13" i="84"/>
  <c r="HQ14" i="84"/>
  <c r="EW15" i="85"/>
  <c r="FB15" i="85"/>
  <c r="GJ15" i="85"/>
  <c r="HE15" i="85"/>
  <c r="FI15" i="85"/>
  <c r="GX15" i="85"/>
  <c r="FV15" i="85"/>
  <c r="EE15" i="85"/>
  <c r="HH15" i="85"/>
  <c r="HF15" i="85"/>
  <c r="EO15" i="85"/>
  <c r="EY15" i="85"/>
  <c r="FC15" i="85"/>
  <c r="GU15" i="85"/>
  <c r="EQ15" i="85"/>
  <c r="GK15" i="85"/>
  <c r="FG15" i="85"/>
  <c r="EB15" i="85"/>
  <c r="GA15" i="85"/>
  <c r="FE15" i="85"/>
  <c r="FO15" i="85"/>
  <c r="HI15" i="85"/>
  <c r="GV15" i="85"/>
  <c r="HD15" i="85"/>
  <c r="ET15" i="85"/>
  <c r="GY15" i="85"/>
  <c r="HB15" i="85"/>
  <c r="GM15" i="85"/>
  <c r="ES15" i="85"/>
  <c r="FR15" i="85"/>
  <c r="EF15" i="85"/>
  <c r="GE15" i="85"/>
  <c r="HK15" i="85"/>
  <c r="FQ15" i="85"/>
  <c r="GP15" i="85"/>
  <c r="FD15" i="85"/>
  <c r="FH15" i="85"/>
  <c r="GS15" i="85"/>
  <c r="GO15" i="85"/>
  <c r="FY15" i="85"/>
  <c r="HN15" i="85"/>
  <c r="GB15" i="85"/>
  <c r="EK15" i="85"/>
  <c r="FA15" i="85"/>
  <c r="HM15" i="85"/>
  <c r="EN15" i="85"/>
  <c r="FL15" i="85"/>
  <c r="DW15" i="85"/>
  <c r="GZ15" i="85"/>
  <c r="GH15" i="85"/>
  <c r="EG15" i="85"/>
  <c r="EJ15" i="85"/>
  <c r="EU15" i="85"/>
  <c r="HS15" i="85"/>
  <c r="EP15" i="85"/>
  <c r="FA14" i="86"/>
  <c r="FN14" i="86"/>
  <c r="GW14" i="86"/>
  <c r="HP14" i="86"/>
  <c r="GF14" i="86"/>
  <c r="GC14" i="86"/>
  <c r="GD14" i="86"/>
  <c r="FM14" i="86"/>
  <c r="HK14" i="86"/>
  <c r="EF14" i="86"/>
  <c r="HQ14" i="86"/>
  <c r="FW14" i="86"/>
  <c r="GS14" i="86"/>
  <c r="DZ14" i="86"/>
  <c r="DY14" i="86"/>
  <c r="FY14" i="86"/>
  <c r="FG14" i="86"/>
  <c r="GJ14" i="86"/>
  <c r="GL14" i="86"/>
  <c r="ET14" i="86"/>
  <c r="GQ14" i="86"/>
  <c r="GP14" i="86"/>
  <c r="HI14" i="86"/>
  <c r="HF14" i="86"/>
  <c r="HR14" i="86"/>
  <c r="EE14" i="86"/>
  <c r="GA14" i="86"/>
  <c r="EN14" i="86"/>
  <c r="GU14" i="86"/>
  <c r="FC14" i="86"/>
  <c r="GZ14" i="86"/>
  <c r="HH14" i="86"/>
  <c r="HN14" i="86"/>
  <c r="DW14" i="86"/>
  <c r="ED14" i="86"/>
  <c r="EX14" i="86"/>
  <c r="GK14" i="86"/>
  <c r="GV14" i="86"/>
  <c r="EG14" i="86"/>
  <c r="GE14" i="86"/>
  <c r="HJ14" i="86"/>
  <c r="DX14" i="86"/>
  <c r="HA14" i="86"/>
  <c r="FH14" i="86"/>
  <c r="ER14" i="86"/>
  <c r="EH14" i="86"/>
  <c r="EW14" i="86"/>
  <c r="FB14" i="86"/>
  <c r="FK14" i="86"/>
  <c r="GB14" i="86"/>
  <c r="HD14" i="86"/>
  <c r="EA14" i="86"/>
  <c r="FF14" i="86"/>
  <c r="EL14" i="86"/>
  <c r="GN14" i="86"/>
  <c r="HS14" i="86"/>
  <c r="EY14" i="86"/>
  <c r="FE14" i="86"/>
  <c r="HO14" i="86"/>
  <c r="FP14" i="86"/>
  <c r="EB14" i="86"/>
  <c r="HB14" i="86"/>
  <c r="FJ14" i="86"/>
  <c r="HL14" i="86"/>
  <c r="EU14" i="86"/>
  <c r="FS14" i="86"/>
  <c r="GX14" i="86"/>
  <c r="HC14" i="86"/>
  <c r="FQ14" i="86"/>
  <c r="EZ14" i="86"/>
  <c r="FI14" i="86"/>
  <c r="FL14" i="86"/>
  <c r="GO14" i="86"/>
  <c r="EK14" i="86"/>
  <c r="HE14" i="86"/>
  <c r="FR14" i="86"/>
  <c r="EC14" i="86"/>
  <c r="GI14" i="86"/>
  <c r="FT14" i="86"/>
  <c r="EM14" i="86"/>
  <c r="EQ14" i="86"/>
  <c r="HM14" i="86"/>
  <c r="FX14" i="86"/>
  <c r="GR14" i="86"/>
  <c r="ES14" i="86"/>
  <c r="FU14" i="86"/>
  <c r="EO14" i="86"/>
  <c r="FO14" i="86"/>
  <c r="GY14" i="86"/>
  <c r="FZ14" i="86"/>
  <c r="GH14" i="86"/>
  <c r="EJ14" i="86"/>
  <c r="FV14" i="86"/>
  <c r="EP14" i="86"/>
  <c r="GM14" i="86"/>
  <c r="FD14" i="86"/>
  <c r="FN15" i="94"/>
  <c r="EC15" i="94"/>
  <c r="HD15" i="94"/>
  <c r="ET15" i="94"/>
  <c r="EJ15" i="94"/>
  <c r="GL15" i="94"/>
  <c r="FY15" i="94"/>
  <c r="HL15" i="94"/>
  <c r="HT15" i="94" s="1"/>
  <c r="EU15" i="94"/>
  <c r="HE15" i="94"/>
  <c r="GC15" i="94"/>
  <c r="HH15" i="94"/>
  <c r="EO15" i="94"/>
  <c r="EX15" i="94"/>
  <c r="GE15" i="94"/>
  <c r="FF15" i="94"/>
  <c r="FP15" i="94"/>
  <c r="HB15" i="94"/>
  <c r="FD15" i="94"/>
  <c r="FW15" i="94"/>
  <c r="FK15" i="94"/>
  <c r="GN15" i="94"/>
  <c r="EG15" i="94"/>
  <c r="HA13" i="96"/>
  <c r="FY13" i="96"/>
  <c r="EP13" i="96"/>
  <c r="FS13" i="96"/>
  <c r="FC15" i="96"/>
  <c r="EX15" i="96"/>
  <c r="GY15" i="96"/>
  <c r="FL15" i="96"/>
  <c r="ES15" i="96"/>
  <c r="EB13" i="96"/>
  <c r="HR13" i="96"/>
  <c r="FN13" i="96"/>
  <c r="GQ13" i="96"/>
  <c r="FD15" i="96"/>
  <c r="FB15" i="96"/>
  <c r="GZ15" i="96"/>
  <c r="GJ15" i="96"/>
  <c r="FQ15" i="96"/>
  <c r="FJ13" i="96"/>
  <c r="GB13" i="96"/>
  <c r="GL13" i="96"/>
  <c r="HO13" i="96"/>
  <c r="FR15" i="96"/>
  <c r="DX15" i="96"/>
  <c r="HN15" i="96"/>
  <c r="HC15" i="96"/>
  <c r="GA13" i="96"/>
  <c r="FK13" i="96"/>
  <c r="EM13" i="96"/>
  <c r="FO13" i="96"/>
  <c r="GR13" i="96"/>
  <c r="DY15" i="96"/>
  <c r="FS15" i="96"/>
  <c r="EU15" i="96"/>
  <c r="EJ15" i="96"/>
  <c r="EX13" i="96"/>
  <c r="HC13" i="96"/>
  <c r="GE13" i="96"/>
  <c r="GM13" i="96"/>
  <c r="HP13" i="96"/>
  <c r="FT15" i="96"/>
  <c r="DZ15" i="96"/>
  <c r="GD15" i="96"/>
  <c r="EO15" i="96"/>
  <c r="GF13" i="96"/>
  <c r="EJ13" i="96"/>
  <c r="GH13" i="96"/>
  <c r="HK13" i="96"/>
  <c r="EN13" i="96"/>
  <c r="EA15" i="96"/>
  <c r="HO15" i="96"/>
  <c r="GE15" i="96"/>
  <c r="FM15" i="96"/>
  <c r="EZ13" i="96"/>
  <c r="EK13" i="96"/>
  <c r="GW13" i="96"/>
  <c r="ER13" i="96"/>
  <c r="DY13" i="96"/>
  <c r="FU15" i="96"/>
  <c r="EF15" i="96"/>
  <c r="FH15" i="96"/>
  <c r="GK15" i="96"/>
  <c r="FA13" i="96"/>
  <c r="GC13" i="96"/>
  <c r="HD13" i="96"/>
  <c r="FP13" i="96"/>
  <c r="EW13" i="96"/>
  <c r="FU13" i="96"/>
  <c r="HP15" i="96"/>
  <c r="GA15" i="96"/>
  <c r="EK15" i="96"/>
  <c r="FN15" i="96"/>
  <c r="GV13" i="96"/>
  <c r="GU13" i="96"/>
  <c r="EH13" i="96"/>
  <c r="ES13" i="96"/>
  <c r="HQ13" i="96"/>
  <c r="DX13" i="96"/>
  <c r="HM15" i="96"/>
  <c r="GN13" i="96"/>
  <c r="HD15" i="96"/>
  <c r="GS13" i="96"/>
  <c r="EC15" i="96"/>
  <c r="EH15" i="96"/>
  <c r="FI15" i="96"/>
  <c r="GL15" i="96"/>
  <c r="FF13" i="96"/>
  <c r="FD13" i="96"/>
  <c r="FZ13" i="96"/>
  <c r="FQ13" i="96"/>
  <c r="HB13" i="96"/>
  <c r="DW15" i="96"/>
  <c r="EQ13" i="96"/>
  <c r="GF15" i="96"/>
  <c r="EP15" i="96"/>
  <c r="FW15" i="96"/>
  <c r="GB15" i="96"/>
  <c r="HE15" i="96"/>
  <c r="HJ15" i="96"/>
  <c r="GX13" i="96"/>
  <c r="FE13" i="96"/>
  <c r="HS13" i="96"/>
  <c r="GO13" i="96"/>
  <c r="EL13" i="96"/>
  <c r="FF15" i="96"/>
  <c r="HI15" i="96"/>
  <c r="FB13" i="96"/>
  <c r="HQ15" i="96"/>
  <c r="ET15" i="96"/>
  <c r="EL15" i="96"/>
  <c r="EQ15" i="96"/>
  <c r="FG13" i="96"/>
  <c r="ED13" i="96"/>
  <c r="FL13" i="96"/>
  <c r="HM13" i="96"/>
  <c r="FG15" i="96"/>
  <c r="GD13" i="96"/>
  <c r="EY13" i="96"/>
  <c r="FC13" i="96"/>
  <c r="ED15" i="96"/>
  <c r="GC15" i="96"/>
  <c r="FJ15" i="96"/>
  <c r="FO15" i="96"/>
  <c r="GY13" i="96"/>
  <c r="FV13" i="96"/>
  <c r="GJ13" i="96"/>
  <c r="ET13" i="96"/>
  <c r="HB15" i="96"/>
  <c r="FT13" i="96"/>
  <c r="EB15" i="96"/>
  <c r="EG15" i="96"/>
  <c r="FX15" i="96"/>
  <c r="GQ15" i="96"/>
  <c r="GH15" i="96"/>
  <c r="GM15" i="96"/>
  <c r="DZ13" i="96"/>
  <c r="FW13" i="96"/>
  <c r="HH13" i="96"/>
  <c r="FR13" i="96"/>
  <c r="HR15" i="96"/>
  <c r="EY15" i="96"/>
  <c r="HF15" i="96"/>
  <c r="HK15" i="96"/>
  <c r="FH13" i="96"/>
  <c r="HE13" i="96"/>
  <c r="EO13" i="96"/>
  <c r="GP13" i="96"/>
  <c r="EE13" i="96"/>
  <c r="HL13" i="96"/>
  <c r="GP15" i="96"/>
  <c r="EE15" i="96"/>
  <c r="GS15" i="96"/>
  <c r="EM15" i="96"/>
  <c r="ER15" i="96"/>
  <c r="GZ13" i="96"/>
  <c r="EF13" i="96"/>
  <c r="FM13" i="96"/>
  <c r="HN13" i="96"/>
  <c r="FZ15" i="96"/>
  <c r="FV15" i="96"/>
  <c r="GR15" i="96"/>
  <c r="FY15" i="96"/>
  <c r="EZ15" i="96"/>
  <c r="FK15" i="96"/>
  <c r="FP15" i="96"/>
  <c r="EA13" i="96"/>
  <c r="HF13" i="96"/>
  <c r="GK13" i="96"/>
  <c r="DW13" i="96"/>
  <c r="HJ13" i="96"/>
  <c r="EC13" i="96"/>
  <c r="GI13" i="96"/>
  <c r="FX13" i="96"/>
  <c r="FA15" i="96"/>
  <c r="HS15" i="96"/>
  <c r="GV15" i="96"/>
  <c r="GI15" i="96"/>
  <c r="FI13" i="96"/>
  <c r="EG13" i="96"/>
  <c r="HI13" i="96"/>
  <c r="HC13" i="98"/>
  <c r="FE13" i="98"/>
  <c r="HN15" i="98"/>
  <c r="HE15" i="98"/>
  <c r="HA15" i="98"/>
  <c r="FK13" i="98"/>
  <c r="FO13" i="98"/>
  <c r="HO15" i="98"/>
  <c r="EL15" i="98"/>
  <c r="GD15" i="98"/>
  <c r="EN13" i="98"/>
  <c r="HK13" i="98"/>
  <c r="HP15" i="98"/>
  <c r="FB15" i="98"/>
  <c r="HC15" i="98"/>
  <c r="FL13" i="98"/>
  <c r="GQ13" i="98"/>
  <c r="HQ15" i="98"/>
  <c r="EE15" i="98"/>
  <c r="HH15" i="98"/>
  <c r="GJ13" i="98"/>
  <c r="HO13" i="98"/>
  <c r="EW15" i="98"/>
  <c r="FE15" i="98"/>
  <c r="FC15" i="98"/>
  <c r="AB92" i="101"/>
  <c r="AC92" i="101" s="1"/>
  <c r="FB13" i="98"/>
  <c r="EO13" i="98"/>
  <c r="GD13" i="98"/>
  <c r="GF13" i="98"/>
  <c r="FP15" i="98"/>
  <c r="FV13" i="98"/>
  <c r="FM13" i="98"/>
  <c r="FG13" i="98"/>
  <c r="FJ13" i="98"/>
  <c r="FX15" i="98"/>
  <c r="HJ15" i="98"/>
  <c r="GN15" i="98"/>
  <c r="FW13" i="98"/>
  <c r="GK13" i="98"/>
  <c r="HD13" i="98"/>
  <c r="ES13" i="98"/>
  <c r="FY15" i="98"/>
  <c r="EX15" i="98"/>
  <c r="HL15" i="98"/>
  <c r="FX13" i="98"/>
  <c r="HI13" i="98"/>
  <c r="EL13" i="98"/>
  <c r="DY13" i="98"/>
  <c r="FZ15" i="98"/>
  <c r="HR15" i="98"/>
  <c r="DZ15" i="98"/>
  <c r="FY13" i="98"/>
  <c r="EP13" i="98"/>
  <c r="GI13" i="98"/>
  <c r="EW13" i="98"/>
  <c r="GA15" i="98"/>
  <c r="EZ15" i="98"/>
  <c r="FV15" i="98"/>
  <c r="EC13" i="98"/>
  <c r="EK13" i="98"/>
  <c r="FQ13" i="98"/>
  <c r="GH13" i="98"/>
  <c r="EU15" i="98"/>
  <c r="FJ15" i="98"/>
  <c r="GE15" i="98"/>
  <c r="EA15" i="98"/>
  <c r="HM13" i="98"/>
  <c r="EQ13" i="98"/>
  <c r="GH15" i="98"/>
  <c r="EM15" i="98"/>
  <c r="EB15" i="98"/>
  <c r="GC13" i="98"/>
  <c r="EM13" i="98"/>
  <c r="DW13" i="98"/>
  <c r="ER13" i="98"/>
  <c r="FS15" i="98"/>
  <c r="HF15" i="98"/>
  <c r="FL15" i="98"/>
  <c r="GV15" i="98"/>
  <c r="EX13" i="98"/>
  <c r="EH13" i="98"/>
  <c r="FP13" i="98"/>
  <c r="EU13" i="98"/>
  <c r="GN13" i="98"/>
  <c r="FT15" i="98"/>
  <c r="EY15" i="98"/>
  <c r="EO15" i="98"/>
  <c r="EC15" i="98"/>
  <c r="EY13" i="98"/>
  <c r="HB13" i="98"/>
  <c r="GO13" i="98"/>
  <c r="FS13" i="98"/>
  <c r="FU15" i="98"/>
  <c r="HS15" i="98"/>
  <c r="EQ15" i="98"/>
  <c r="IJ14" i="66"/>
  <c r="CW14" i="66" s="1"/>
  <c r="CZ14" i="66" s="1"/>
  <c r="BP39" i="101"/>
  <c r="BR39" i="101" s="1"/>
  <c r="CR15" i="68"/>
  <c r="BP44" i="101"/>
  <c r="BR44" i="101" s="1"/>
  <c r="FB15" i="71"/>
  <c r="FQ15" i="71"/>
  <c r="GA15" i="71"/>
  <c r="GO15" i="71"/>
  <c r="HQ15" i="71"/>
  <c r="GZ15" i="71"/>
  <c r="GB15" i="71"/>
  <c r="FR15" i="71"/>
  <c r="HC15" i="71"/>
  <c r="HR15" i="71"/>
  <c r="HE15" i="71"/>
  <c r="FX15" i="71"/>
  <c r="GH15" i="71"/>
  <c r="GP15" i="71"/>
  <c r="FK15" i="71"/>
  <c r="EZ15" i="71"/>
  <c r="GS15" i="71"/>
  <c r="HH15" i="71"/>
  <c r="FW15" i="71"/>
  <c r="EO15" i="71"/>
  <c r="DW15" i="71"/>
  <c r="DY15" i="71"/>
  <c r="GK15" i="71"/>
  <c r="EA15" i="71"/>
  <c r="GL15" i="71"/>
  <c r="FI15" i="71"/>
  <c r="EG15" i="71"/>
  <c r="FP15" i="71"/>
  <c r="CR15" i="66"/>
  <c r="BP40" i="101"/>
  <c r="BR40" i="101" s="1"/>
  <c r="CS15" i="66"/>
  <c r="BQ40" i="101"/>
  <c r="BS40" i="101" s="1"/>
  <c r="HE15" i="100"/>
  <c r="AB96" i="101"/>
  <c r="AC96" i="101" s="1"/>
  <c r="DZ15" i="100"/>
  <c r="FX15" i="100"/>
  <c r="FO15" i="100"/>
  <c r="FL15" i="100"/>
  <c r="FF15" i="100"/>
  <c r="GM15" i="100"/>
  <c r="HK15" i="100"/>
  <c r="GE15" i="100"/>
  <c r="FJ15" i="100"/>
  <c r="HF15" i="100"/>
  <c r="EA15" i="100"/>
  <c r="FK15" i="100"/>
  <c r="EB15" i="100"/>
  <c r="HM15" i="100"/>
  <c r="EC15" i="100"/>
  <c r="FY15" i="100"/>
  <c r="FZ15" i="100"/>
  <c r="GA15" i="100"/>
  <c r="EM15" i="100"/>
  <c r="GS15" i="100"/>
  <c r="EX15" i="100"/>
  <c r="FR15" i="100"/>
  <c r="HP15" i="100"/>
  <c r="HQ15" i="100"/>
  <c r="EK13" i="84"/>
  <c r="GV14" i="84"/>
  <c r="FX14" i="84"/>
  <c r="EQ14" i="84"/>
  <c r="FX13" i="84"/>
  <c r="GY13" i="84"/>
  <c r="GI14" i="84"/>
  <c r="EX13" i="84"/>
  <c r="FR14" i="84"/>
  <c r="FO13" i="84"/>
  <c r="GU13" i="84"/>
  <c r="GX13" i="84"/>
  <c r="HL13" i="84"/>
  <c r="FV13" i="84"/>
  <c r="GD13" i="84"/>
  <c r="GA13" i="84"/>
  <c r="FH13" i="84"/>
  <c r="EO13" i="84"/>
  <c r="GF13" i="84"/>
  <c r="ES13" i="84"/>
  <c r="HD13" i="84"/>
  <c r="GO13" i="84"/>
  <c r="EY13" i="84"/>
  <c r="HM13" i="84"/>
  <c r="ED14" i="84"/>
  <c r="HJ14" i="84"/>
  <c r="GM14" i="84"/>
  <c r="GV13" i="84"/>
  <c r="FZ13" i="84"/>
  <c r="HP13" i="84"/>
  <c r="EC13" i="84"/>
  <c r="GB13" i="84"/>
  <c r="DZ13" i="84"/>
  <c r="EE13" i="84"/>
  <c r="EN13" i="84"/>
  <c r="EB13" i="84"/>
  <c r="FD13" i="84"/>
  <c r="GJ13" i="84"/>
  <c r="FL13" i="84"/>
  <c r="FE13" i="84"/>
  <c r="FM13" i="84"/>
  <c r="DY13" i="84"/>
  <c r="HA13" i="84"/>
  <c r="GK13" i="84"/>
  <c r="EW13" i="84"/>
  <c r="EH13" i="84"/>
  <c r="FN13" i="84"/>
  <c r="HM14" i="84"/>
  <c r="AB63" i="101"/>
  <c r="AC63" i="101" s="1"/>
  <c r="FA14" i="84"/>
  <c r="GW13" i="84"/>
  <c r="FC13" i="84"/>
  <c r="HH13" i="84"/>
  <c r="EP13" i="84"/>
  <c r="HQ13" i="84"/>
  <c r="FI14" i="84"/>
  <c r="HA14" i="84"/>
  <c r="FF13" i="84"/>
  <c r="ED13" i="84"/>
  <c r="EQ13" i="84"/>
  <c r="GP13" i="84"/>
  <c r="DY14" i="84"/>
  <c r="GX14" i="84"/>
  <c r="FG13" i="84"/>
  <c r="GZ13" i="84"/>
  <c r="GM13" i="84"/>
  <c r="EA13" i="84"/>
  <c r="EH14" i="84"/>
  <c r="GE13" i="84"/>
  <c r="EL13" i="84"/>
  <c r="HK13" i="84"/>
  <c r="DW13" i="84"/>
  <c r="GD14" i="84"/>
  <c r="HC13" i="84"/>
  <c r="FJ13" i="84"/>
  <c r="HR13" i="84"/>
  <c r="EU13" i="84"/>
  <c r="FJ14" i="84"/>
  <c r="FW13" i="84"/>
  <c r="GH13" i="84"/>
  <c r="HS13" i="84"/>
  <c r="FS13" i="84"/>
  <c r="GH14" i="84"/>
  <c r="FB13" i="84"/>
  <c r="HF13" i="84"/>
  <c r="EF13" i="84"/>
  <c r="GQ13" i="84"/>
  <c r="EN14" i="84"/>
  <c r="EG13" i="84"/>
  <c r="EM13" i="84"/>
  <c r="HI13" i="84"/>
  <c r="HO13" i="84"/>
  <c r="FL14" i="84"/>
  <c r="HB13" i="84"/>
  <c r="FK13" i="84"/>
  <c r="ER13" i="84"/>
  <c r="FT13" i="84"/>
  <c r="HH14" i="84"/>
  <c r="FB14" i="84"/>
  <c r="EJ13" i="84"/>
  <c r="GI13" i="84"/>
  <c r="FP13" i="84"/>
  <c r="GR13" i="84"/>
  <c r="GL14" i="84"/>
  <c r="DZ14" i="84"/>
  <c r="EC14" i="84"/>
  <c r="EM14" i="84"/>
  <c r="GR14" i="84"/>
  <c r="FY14" i="84"/>
  <c r="FZ14" i="84"/>
  <c r="FF14" i="84"/>
  <c r="GJ14" i="84"/>
  <c r="FO14" i="84"/>
  <c r="ET14" i="84"/>
  <c r="EE14" i="84"/>
  <c r="HB14" i="84"/>
  <c r="FT14" i="84"/>
  <c r="HK14" i="84"/>
  <c r="GP14" i="84"/>
  <c r="FC14" i="84"/>
  <c r="DW14" i="84"/>
  <c r="EW14" i="84"/>
  <c r="HO14" i="84"/>
  <c r="HN14" i="84"/>
  <c r="GA14" i="84"/>
  <c r="EB14" i="84"/>
  <c r="EY14" i="84"/>
  <c r="HR14" i="84"/>
  <c r="FG14" i="84"/>
  <c r="GN13" i="84"/>
  <c r="DX13" i="84"/>
  <c r="EF14" i="84"/>
  <c r="GE14" i="84"/>
  <c r="FM14" i="84"/>
  <c r="ER14" i="84"/>
  <c r="FD14" i="84"/>
  <c r="HC14" i="84"/>
  <c r="GK14" i="84"/>
  <c r="FP14" i="84"/>
  <c r="GB14" i="84"/>
  <c r="EJ14" i="84"/>
  <c r="HI14" i="84"/>
  <c r="GN14" i="84"/>
  <c r="GY14" i="84"/>
  <c r="HL14" i="84"/>
  <c r="DX14" i="84"/>
  <c r="GF14" i="84"/>
  <c r="GU14" i="84"/>
  <c r="GQ14" i="84"/>
  <c r="EX14" i="84"/>
  <c r="HD14" i="84"/>
  <c r="EZ14" i="84"/>
  <c r="GS14" i="84"/>
  <c r="FU14" i="84"/>
  <c r="EA14" i="84"/>
  <c r="FW14" i="84"/>
  <c r="HP14" i="84"/>
  <c r="HF14" i="84"/>
  <c r="ES14" i="84"/>
  <c r="EO14" i="84"/>
  <c r="FH14" i="84"/>
  <c r="HE14" i="84"/>
  <c r="EG14" i="84"/>
  <c r="GW14" i="84"/>
  <c r="FK14" i="84"/>
  <c r="FQ14" i="84"/>
  <c r="FV14" i="84"/>
  <c r="FQ13" i="84"/>
  <c r="FU13" i="84"/>
  <c r="FE14" i="84"/>
  <c r="EK14" i="84"/>
  <c r="EP14" i="84"/>
  <c r="GO14" i="84"/>
  <c r="HS14" i="84"/>
  <c r="GZ14" i="84"/>
  <c r="EU14" i="84"/>
  <c r="GC14" i="84"/>
  <c r="EL14" i="84"/>
  <c r="FN14" i="84"/>
  <c r="CR13" i="68"/>
  <c r="BP7" i="101"/>
  <c r="BR7" i="101" s="1"/>
  <c r="HR15" i="69"/>
  <c r="FY15" i="69"/>
  <c r="EY15" i="69"/>
  <c r="GL15" i="69"/>
  <c r="EO15" i="69"/>
  <c r="GE13" i="69"/>
  <c r="GI13" i="69"/>
  <c r="EP13" i="69"/>
  <c r="EU13" i="69"/>
  <c r="ET15" i="69"/>
  <c r="ED15" i="69"/>
  <c r="GV15" i="69"/>
  <c r="HJ15" i="69"/>
  <c r="FM15" i="69"/>
  <c r="HC13" i="69"/>
  <c r="EN13" i="69"/>
  <c r="FN13" i="69"/>
  <c r="FS13" i="69"/>
  <c r="FR15" i="69"/>
  <c r="FB15" i="69"/>
  <c r="EG15" i="69"/>
  <c r="DZ15" i="69"/>
  <c r="GK15" i="69"/>
  <c r="GW13" i="69"/>
  <c r="FL13" i="69"/>
  <c r="GL13" i="69"/>
  <c r="GQ13" i="69"/>
  <c r="GP15" i="69"/>
  <c r="EF15" i="69"/>
  <c r="FF15" i="69"/>
  <c r="HA15" i="69"/>
  <c r="HI15" i="69"/>
  <c r="GA13" i="69"/>
  <c r="GJ13" i="69"/>
  <c r="HJ13" i="69"/>
  <c r="HO13" i="69"/>
  <c r="HN15" i="69"/>
  <c r="FD15" i="69"/>
  <c r="EM15" i="69"/>
  <c r="EQ15" i="69"/>
  <c r="ES15" i="69"/>
  <c r="GB13" i="69"/>
  <c r="HH13" i="69"/>
  <c r="ER13" i="69"/>
  <c r="FY13" i="69"/>
  <c r="DW15" i="69"/>
  <c r="GB15" i="69"/>
  <c r="FK15" i="69"/>
  <c r="FO15" i="69"/>
  <c r="FQ15" i="69"/>
  <c r="EH13" i="69"/>
  <c r="GK13" i="69"/>
  <c r="FP13" i="69"/>
  <c r="DX13" i="69"/>
  <c r="EU15" i="69"/>
  <c r="GZ15" i="69"/>
  <c r="GI15" i="69"/>
  <c r="GM15" i="69"/>
  <c r="GO15" i="69"/>
  <c r="FF13" i="69"/>
  <c r="EZ13" i="69"/>
  <c r="GN13" i="69"/>
  <c r="FT13" i="69"/>
  <c r="FS15" i="69"/>
  <c r="EW15" i="69"/>
  <c r="FU15" i="69"/>
  <c r="HK15" i="69"/>
  <c r="HM15" i="69"/>
  <c r="GD13" i="69"/>
  <c r="GV13" i="69"/>
  <c r="HL13" i="69"/>
  <c r="CZ15" i="71"/>
  <c r="HF14" i="71"/>
  <c r="GS14" i="71"/>
  <c r="EQ14" i="71"/>
  <c r="GV14" i="71"/>
  <c r="GB14" i="71"/>
  <c r="FO14" i="71"/>
  <c r="FV15" i="71"/>
  <c r="EB15" i="71"/>
  <c r="FG15" i="71"/>
  <c r="FM15" i="71"/>
  <c r="HR14" i="71"/>
  <c r="GZ14" i="71"/>
  <c r="GM14" i="71"/>
  <c r="DW14" i="71"/>
  <c r="FY15" i="71"/>
  <c r="EW15" i="71"/>
  <c r="FH15" i="71"/>
  <c r="HI15" i="71"/>
  <c r="FG14" i="71"/>
  <c r="FA14" i="71"/>
  <c r="FE14" i="71"/>
  <c r="ER14" i="71"/>
  <c r="HK14" i="71"/>
  <c r="GC15" i="71"/>
  <c r="EX15" i="71"/>
  <c r="GF15" i="71"/>
  <c r="EP15" i="71"/>
  <c r="FS14" i="71"/>
  <c r="FB14" i="71"/>
  <c r="GC14" i="71"/>
  <c r="FP14" i="71"/>
  <c r="GX14" i="71"/>
  <c r="HO14" i="71"/>
  <c r="EG14" i="71"/>
  <c r="GD15" i="71"/>
  <c r="EY15" i="71"/>
  <c r="EK15" i="71"/>
  <c r="FN15" i="71"/>
  <c r="FT14" i="71"/>
  <c r="HB14" i="71"/>
  <c r="HA14" i="71"/>
  <c r="ET14" i="71"/>
  <c r="HS14" i="71"/>
  <c r="GQ15" i="71"/>
  <c r="HO15" i="71"/>
  <c r="EL15" i="71"/>
  <c r="HJ15" i="71"/>
  <c r="FV14" i="71"/>
  <c r="HC14" i="71"/>
  <c r="FI14" i="71"/>
  <c r="GP14" i="71"/>
  <c r="EH14" i="71"/>
  <c r="GW14" i="71"/>
  <c r="FC14" i="71"/>
  <c r="FH14" i="71"/>
  <c r="FR14" i="71"/>
  <c r="GR15" i="71"/>
  <c r="FE15" i="71"/>
  <c r="FJ15" i="71"/>
  <c r="ER15" i="71"/>
  <c r="FW14" i="71"/>
  <c r="FF14" i="71"/>
  <c r="HE14" i="71"/>
  <c r="HN14" i="71"/>
  <c r="DZ14" i="71"/>
  <c r="EL14" i="71"/>
  <c r="GU15" i="71"/>
  <c r="FT15" i="71"/>
  <c r="HF15" i="71"/>
  <c r="GN15" i="71"/>
  <c r="FX14" i="71"/>
  <c r="HQ14" i="71"/>
  <c r="FJ14" i="71"/>
  <c r="GR14" i="71"/>
  <c r="EU14" i="71"/>
  <c r="GL14" i="71"/>
  <c r="HP14" i="71"/>
  <c r="GV15" i="71"/>
  <c r="ED15" i="71"/>
  <c r="EM15" i="71"/>
  <c r="HL15" i="71"/>
  <c r="EA14" i="71"/>
  <c r="FU14" i="71"/>
  <c r="EM14" i="71"/>
  <c r="DZ15" i="71"/>
  <c r="HB15" i="71"/>
  <c r="GX15" i="71"/>
  <c r="EN15" i="71"/>
  <c r="GM15" i="71"/>
  <c r="GA14" i="71"/>
  <c r="FY14" i="71"/>
  <c r="EJ14" i="71"/>
  <c r="EW14" i="71"/>
  <c r="DX14" i="71"/>
  <c r="DX15" i="71"/>
  <c r="GI15" i="71"/>
  <c r="DY14" i="71"/>
  <c r="EC15" i="71"/>
  <c r="HN15" i="71"/>
  <c r="EE15" i="71"/>
  <c r="FL15" i="71"/>
  <c r="HK15" i="71"/>
  <c r="ED14" i="71"/>
  <c r="EB14" i="71"/>
  <c r="GF14" i="71"/>
  <c r="EP14" i="71"/>
  <c r="GU14" i="71"/>
  <c r="FZ14" i="71"/>
  <c r="FK14" i="71"/>
  <c r="HA15" i="71"/>
  <c r="FZ15" i="71"/>
  <c r="EC14" i="71"/>
  <c r="EN14" i="71"/>
  <c r="EH15" i="71"/>
  <c r="HP15" i="71"/>
  <c r="FC15" i="71"/>
  <c r="GJ15" i="71"/>
  <c r="ES15" i="71"/>
  <c r="GE14" i="71"/>
  <c r="GD14" i="71"/>
  <c r="HD14" i="71"/>
  <c r="GI14" i="71"/>
  <c r="GN14" i="71"/>
  <c r="HL14" i="71"/>
  <c r="FL14" i="71"/>
  <c r="ES14" i="71"/>
  <c r="EX14" i="71"/>
  <c r="EY14" i="71"/>
  <c r="GJ14" i="71"/>
  <c r="FQ14" i="71"/>
  <c r="HH14" i="71"/>
  <c r="GO14" i="71"/>
  <c r="EZ14" i="71"/>
  <c r="EO14" i="71"/>
  <c r="HM14" i="71"/>
  <c r="FM14" i="71"/>
  <c r="GH14" i="71"/>
  <c r="EF14" i="71"/>
  <c r="GK14" i="71"/>
  <c r="FN14" i="71"/>
  <c r="GY14" i="71"/>
  <c r="FD14" i="71"/>
  <c r="HI14" i="71"/>
  <c r="HJ14" i="71"/>
  <c r="HN13" i="72"/>
  <c r="GF13" i="72"/>
  <c r="GC13" i="72"/>
  <c r="GA13" i="72"/>
  <c r="GZ13" i="72"/>
  <c r="EL13" i="72"/>
  <c r="EH13" i="72"/>
  <c r="ER13" i="72"/>
  <c r="HF13" i="72"/>
  <c r="FJ13" i="72"/>
  <c r="HC13" i="72"/>
  <c r="FP13" i="72"/>
  <c r="GK13" i="72"/>
  <c r="FV13" i="72"/>
  <c r="EO13" i="72"/>
  <c r="GN13" i="72"/>
  <c r="DW13" i="72"/>
  <c r="HR13" i="72"/>
  <c r="FM13" i="72"/>
  <c r="HL13" i="72"/>
  <c r="EU13" i="72"/>
  <c r="FD13" i="72"/>
  <c r="DZ13" i="72"/>
  <c r="FY13" i="72"/>
  <c r="FS13" i="72"/>
  <c r="HA13" i="72"/>
  <c r="EJ13" i="72"/>
  <c r="ED13" i="72"/>
  <c r="GU14" i="92"/>
  <c r="EU14" i="92"/>
  <c r="FK14" i="92"/>
  <c r="GL14" i="92"/>
  <c r="EB14" i="92"/>
  <c r="DX14" i="92"/>
  <c r="FT14" i="92"/>
  <c r="GI14" i="92"/>
  <c r="HJ14" i="92"/>
  <c r="GV14" i="92"/>
  <c r="HB14" i="92"/>
  <c r="EX14" i="92"/>
  <c r="FS14" i="92"/>
  <c r="GQ14" i="92"/>
  <c r="FZ14" i="92"/>
  <c r="GE14" i="92"/>
  <c r="FA14" i="92"/>
  <c r="FU14" i="92"/>
  <c r="DZ14" i="92"/>
  <c r="EQ14" i="92"/>
  <c r="HE14" i="92"/>
  <c r="HM14" i="92"/>
  <c r="FN14" i="92"/>
  <c r="EY14" i="92"/>
  <c r="ED14" i="92"/>
  <c r="EC14" i="92"/>
  <c r="FW14" i="92"/>
  <c r="GM14" i="92"/>
  <c r="FR14" i="92"/>
  <c r="GW14" i="92"/>
  <c r="FV14" i="92"/>
  <c r="FO14" i="92"/>
  <c r="FB14" i="92"/>
  <c r="EJ14" i="92"/>
  <c r="GX14" i="92"/>
  <c r="HK14" i="92"/>
  <c r="GP14" i="92"/>
  <c r="EP14" i="92"/>
  <c r="EM14" i="92"/>
  <c r="ET14" i="92"/>
  <c r="GY14" i="92"/>
  <c r="FH14" i="92"/>
  <c r="EE14" i="92"/>
  <c r="GS14" i="92"/>
  <c r="HN14" i="92"/>
  <c r="GD14" i="92"/>
  <c r="DY14" i="92"/>
  <c r="GF14" i="92"/>
  <c r="GB14" i="92"/>
  <c r="HD14" i="92"/>
  <c r="FI14" i="92"/>
  <c r="FY14" i="92"/>
  <c r="FG14" i="92"/>
  <c r="EG14" i="92"/>
  <c r="EW14" i="92"/>
  <c r="EN14" i="92"/>
  <c r="HC14" i="92"/>
  <c r="EF14" i="92"/>
  <c r="HS14" i="92"/>
  <c r="FE14" i="92"/>
  <c r="HR14" i="92"/>
  <c r="FL14" i="92"/>
  <c r="EG14" i="94"/>
  <c r="EC14" i="94"/>
  <c r="HB14" i="94"/>
  <c r="HK14" i="94"/>
  <c r="HQ14" i="94"/>
  <c r="FA14" i="94"/>
  <c r="HC14" i="94"/>
  <c r="GD14" i="94"/>
  <c r="EZ14" i="94"/>
  <c r="FY14" i="94"/>
  <c r="HE14" i="94"/>
  <c r="GE14" i="94"/>
  <c r="FE14" i="94"/>
  <c r="GW14" i="94"/>
  <c r="GH14" i="94"/>
  <c r="EJ14" i="94"/>
  <c r="EW14" i="94"/>
  <c r="ED14" i="94"/>
  <c r="EN14" i="94"/>
  <c r="FI14" i="94"/>
  <c r="FS14" i="94"/>
  <c r="FB14" i="94"/>
  <c r="FL14" i="94"/>
  <c r="ED15" i="100"/>
  <c r="EZ15" i="100"/>
  <c r="EG15" i="100"/>
  <c r="EJ15" i="100"/>
  <c r="EP15" i="100"/>
  <c r="EE15" i="100"/>
  <c r="GX15" i="100"/>
  <c r="FE15" i="100"/>
  <c r="EK15" i="100"/>
  <c r="ES15" i="100"/>
  <c r="EF15" i="100"/>
  <c r="GY15" i="100"/>
  <c r="GC15" i="100"/>
  <c r="EL15" i="100"/>
  <c r="FQ15" i="100"/>
  <c r="ET15" i="100"/>
  <c r="FB15" i="100"/>
  <c r="HA15" i="100"/>
  <c r="GH15" i="100"/>
  <c r="GO15" i="100"/>
  <c r="GQ15" i="100"/>
  <c r="HR15" i="100"/>
  <c r="HC15" i="100"/>
  <c r="HI15" i="100"/>
  <c r="GB15" i="100"/>
  <c r="FS15" i="100"/>
  <c r="FG15" i="100"/>
  <c r="FM15" i="100"/>
  <c r="EW15" i="100"/>
  <c r="HS15" i="100"/>
  <c r="GF15" i="100"/>
  <c r="ER15" i="100"/>
  <c r="GU15" i="100"/>
  <c r="DY15" i="100"/>
  <c r="GI15" i="100"/>
  <c r="FP15" i="100"/>
  <c r="EY15" i="100"/>
  <c r="GP15" i="100"/>
  <c r="GJ15" i="100"/>
  <c r="HL15" i="100"/>
  <c r="HN15" i="100"/>
  <c r="GR15" i="100"/>
  <c r="HH15" i="100"/>
  <c r="EH15" i="100"/>
  <c r="FD15" i="100"/>
  <c r="EU15" i="100"/>
  <c r="EO15" i="100"/>
  <c r="GD15" i="100"/>
  <c r="EN15" i="100"/>
  <c r="FT15" i="100"/>
  <c r="GW15" i="100"/>
  <c r="GK15" i="100"/>
  <c r="HB15" i="100"/>
  <c r="DW15" i="100"/>
  <c r="FA15" i="100"/>
  <c r="FN15" i="100"/>
  <c r="FH15" i="100"/>
  <c r="FW15" i="100"/>
  <c r="FU15" i="100"/>
  <c r="GZ15" i="100"/>
  <c r="GL15" i="100"/>
  <c r="HD15" i="100"/>
  <c r="GN15" i="100"/>
  <c r="DX15" i="100"/>
  <c r="FC15" i="100"/>
  <c r="HJ15" i="100"/>
  <c r="FI15" i="100"/>
  <c r="GV15" i="100"/>
  <c r="FV15" i="100"/>
  <c r="HO15" i="100"/>
  <c r="EQ15" i="100"/>
  <c r="IJ15" i="82"/>
  <c r="CW15" i="82" s="1"/>
  <c r="CZ15" i="82" s="1"/>
  <c r="IJ14" i="82"/>
  <c r="CW14" i="82" s="1"/>
  <c r="CZ14" i="82" s="1"/>
  <c r="IJ15" i="67"/>
  <c r="CW15" i="67" s="1"/>
  <c r="CZ15" i="67" s="1"/>
  <c r="CY14" i="67"/>
  <c r="IJ15" i="66"/>
  <c r="CW15" i="66" s="1"/>
  <c r="HV15" i="66"/>
  <c r="CV15" i="66" s="1"/>
  <c r="HV13" i="67"/>
  <c r="CV13" i="67" s="1"/>
  <c r="IJ13" i="67"/>
  <c r="CW13" i="67" s="1"/>
  <c r="GM15" i="66"/>
  <c r="AB40" i="101"/>
  <c r="AC40" i="101" s="1"/>
  <c r="IJ14" i="67"/>
  <c r="CW14" i="67" s="1"/>
  <c r="CZ14" i="67" s="1"/>
  <c r="HM15" i="66"/>
  <c r="IJ13" i="66"/>
  <c r="CW13" i="66" s="1"/>
  <c r="HV13" i="66"/>
  <c r="CV13" i="66" s="1"/>
  <c r="GL15" i="66"/>
  <c r="ES15" i="66"/>
  <c r="FQ15" i="66"/>
  <c r="GO15" i="66"/>
  <c r="HS15" i="66"/>
  <c r="FR15" i="66"/>
  <c r="GU15" i="66"/>
  <c r="EX15" i="66"/>
  <c r="FA15" i="66"/>
  <c r="HB15" i="66"/>
  <c r="GX15" i="66"/>
  <c r="FW15" i="66"/>
  <c r="EC15" i="66"/>
  <c r="EE15" i="66"/>
  <c r="GJ15" i="66"/>
  <c r="HH15" i="66"/>
  <c r="EO15" i="66"/>
  <c r="HI15" i="66"/>
  <c r="FU15" i="66"/>
  <c r="GA15" i="66"/>
  <c r="EJ15" i="66"/>
  <c r="FV15" i="66"/>
  <c r="FM15" i="66"/>
  <c r="GK15" i="66"/>
  <c r="FT15" i="66"/>
  <c r="FX15" i="66"/>
  <c r="FH15" i="66"/>
  <c r="GF15" i="66"/>
  <c r="EF15" i="66"/>
  <c r="GS15" i="66"/>
  <c r="GZ15" i="66"/>
  <c r="GP15" i="66"/>
  <c r="FE15" i="66"/>
  <c r="GC15" i="66"/>
  <c r="EY15" i="66"/>
  <c r="ER15" i="66"/>
  <c r="HF15" i="66"/>
  <c r="EM15" i="66"/>
  <c r="EH15" i="66"/>
  <c r="FI15" i="66"/>
  <c r="ET15" i="66"/>
  <c r="FN15" i="66"/>
  <c r="GY15" i="66"/>
  <c r="HO15" i="66"/>
  <c r="GB15" i="66"/>
  <c r="ED15" i="66"/>
  <c r="EL15" i="66"/>
  <c r="HP15" i="66"/>
  <c r="EK15" i="66"/>
  <c r="EZ15" i="66"/>
  <c r="FP15" i="66"/>
  <c r="FC15" i="66"/>
  <c r="GN15" i="66"/>
  <c r="FD15" i="66"/>
  <c r="FZ15" i="66"/>
  <c r="HL15" i="66"/>
  <c r="FF15" i="66"/>
  <c r="EN15" i="66"/>
  <c r="DW15" i="66"/>
  <c r="HJ15" i="66"/>
  <c r="HD15" i="66"/>
  <c r="HE15" i="66"/>
  <c r="HK15" i="66"/>
  <c r="EG15" i="66"/>
  <c r="EA15" i="66"/>
  <c r="HA15" i="66"/>
  <c r="GV15" i="66"/>
  <c r="GD15" i="66"/>
  <c r="FL15" i="66"/>
  <c r="EW15" i="66"/>
  <c r="DY15" i="66"/>
  <c r="FJ15" i="66"/>
  <c r="HR15" i="66"/>
  <c r="DZ15" i="66"/>
  <c r="GH15" i="66"/>
  <c r="GW15" i="66"/>
  <c r="EB15" i="66"/>
  <c r="EU15" i="66"/>
  <c r="FB15" i="66"/>
  <c r="FK15" i="66"/>
  <c r="GQ15" i="66"/>
  <c r="GE15" i="66"/>
  <c r="GI15" i="66"/>
  <c r="EQ15" i="66"/>
  <c r="HN15" i="66"/>
  <c r="EP15" i="66"/>
  <c r="DX15" i="66"/>
  <c r="HC15" i="66"/>
  <c r="FS15" i="66"/>
  <c r="FO15" i="66"/>
  <c r="FG15" i="66"/>
  <c r="HQ15" i="66"/>
  <c r="GR15" i="66"/>
  <c r="FY15" i="66"/>
  <c r="GS15" i="97"/>
  <c r="HO15" i="97"/>
  <c r="FS15" i="97"/>
  <c r="FR15" i="97"/>
  <c r="FE15" i="97"/>
  <c r="ET15" i="97"/>
  <c r="EG15" i="97"/>
  <c r="HN15" i="97"/>
  <c r="FT15" i="97"/>
  <c r="FD15" i="97"/>
  <c r="FC15" i="97"/>
  <c r="EX15" i="97"/>
  <c r="EW15" i="97"/>
  <c r="EU15" i="97"/>
  <c r="EF15" i="97"/>
  <c r="HQ15" i="97"/>
  <c r="HP15" i="97"/>
  <c r="FU15" i="97"/>
  <c r="ER15" i="97"/>
  <c r="GF15" i="97"/>
  <c r="GU15" i="97"/>
  <c r="EE15" i="97"/>
  <c r="EK15" i="97"/>
  <c r="GA15" i="97"/>
  <c r="EH15" i="97"/>
  <c r="GZ15" i="97"/>
  <c r="FN15" i="97"/>
  <c r="GK15" i="97"/>
  <c r="FA15" i="97"/>
  <c r="HI15" i="97"/>
  <c r="FK15" i="97"/>
  <c r="HH15" i="97"/>
  <c r="EJ15" i="97"/>
  <c r="FW15" i="97"/>
  <c r="HA15" i="97"/>
  <c r="FJ15" i="97"/>
  <c r="HK15" i="97"/>
  <c r="EL15" i="97"/>
  <c r="GM15" i="97"/>
  <c r="FO15" i="97"/>
  <c r="GY15" i="97"/>
  <c r="EQ15" i="97"/>
  <c r="GE15" i="97"/>
  <c r="GD15" i="97"/>
  <c r="GB15" i="97"/>
  <c r="GX15" i="97"/>
  <c r="GC15" i="97"/>
  <c r="GL15" i="97"/>
  <c r="FB15" i="97"/>
  <c r="HM15" i="97"/>
  <c r="FQ15" i="97"/>
  <c r="ES15" i="97"/>
  <c r="EO15" i="97"/>
  <c r="GJ15" i="97"/>
  <c r="GQ15" i="97"/>
  <c r="FL15" i="97"/>
  <c r="FF15" i="97"/>
  <c r="FX15" i="97"/>
  <c r="DW15" i="97"/>
  <c r="EZ15" i="97"/>
  <c r="GN15" i="97"/>
  <c r="HD15" i="97"/>
  <c r="EN15" i="97"/>
  <c r="HF15" i="97"/>
  <c r="EY15" i="97"/>
  <c r="FG15" i="97"/>
  <c r="GH15" i="97"/>
  <c r="EA15" i="97"/>
  <c r="HB15" i="97"/>
  <c r="HR15" i="97"/>
  <c r="FV15" i="97"/>
  <c r="HE15" i="97"/>
  <c r="DY15" i="97"/>
  <c r="FI15" i="97"/>
  <c r="FH15" i="97"/>
  <c r="DZ15" i="97"/>
  <c r="HJ15" i="97"/>
  <c r="DX15" i="97"/>
  <c r="FZ15" i="97"/>
  <c r="EP15" i="97"/>
  <c r="ED15" i="97"/>
  <c r="GO15" i="97"/>
  <c r="GW15" i="97"/>
  <c r="FM15" i="97"/>
  <c r="FY15" i="97"/>
  <c r="GP15" i="97"/>
  <c r="EC15" i="97"/>
  <c r="HC15" i="97"/>
  <c r="GV15" i="97"/>
  <c r="GI15" i="97"/>
  <c r="HL15" i="97"/>
  <c r="GR15" i="97"/>
  <c r="EM15" i="97"/>
  <c r="EB15" i="97"/>
  <c r="FP15" i="97"/>
  <c r="HS15" i="97"/>
  <c r="HM15" i="83"/>
  <c r="HK15" i="83"/>
  <c r="EO15" i="83"/>
  <c r="HD15" i="83"/>
  <c r="GM15" i="83"/>
  <c r="FF15" i="83"/>
  <c r="FQ15" i="83"/>
  <c r="FO15" i="83"/>
  <c r="FG15" i="83"/>
  <c r="FD15" i="83"/>
  <c r="GZ15" i="83"/>
  <c r="HR15" i="83"/>
  <c r="EZ15" i="83"/>
  <c r="EY15" i="83"/>
  <c r="GH15" i="83"/>
  <c r="DY15" i="83"/>
  <c r="EN15" i="83"/>
  <c r="HJ15" i="83"/>
  <c r="GP15" i="83"/>
  <c r="GU15" i="83"/>
  <c r="GC15" i="83"/>
  <c r="GN15" i="83"/>
  <c r="HQ15" i="83"/>
  <c r="FP15" i="83"/>
  <c r="ET15" i="83"/>
  <c r="ER15" i="83"/>
  <c r="EB15" i="83"/>
  <c r="FT15" i="83"/>
  <c r="HS15" i="83"/>
  <c r="GW15" i="83"/>
  <c r="FU15" i="83"/>
  <c r="FY15" i="83"/>
  <c r="GQ15" i="83"/>
  <c r="FA15" i="83"/>
  <c r="HE15" i="83"/>
  <c r="GO15" i="83"/>
  <c r="GF15" i="83"/>
  <c r="DX15" i="83"/>
  <c r="HH15" i="83"/>
  <c r="GJ15" i="83"/>
  <c r="EW15" i="83"/>
  <c r="GR15" i="83"/>
  <c r="EK15" i="83"/>
  <c r="HB15" i="83"/>
  <c r="FN15" i="83"/>
  <c r="EP15" i="83"/>
  <c r="GE15" i="83"/>
  <c r="EF15" i="83"/>
  <c r="FZ15" i="83"/>
  <c r="GD15" i="83"/>
  <c r="FR15" i="83"/>
  <c r="GI15" i="83"/>
  <c r="HI15" i="83"/>
  <c r="EM15" i="83"/>
  <c r="HN15" i="83"/>
  <c r="EC15" i="83"/>
  <c r="ES15" i="83"/>
  <c r="EQ15" i="83"/>
  <c r="EH15" i="83"/>
  <c r="GV15" i="83"/>
  <c r="FH15" i="83"/>
  <c r="EJ15" i="83"/>
  <c r="HA15" i="83"/>
  <c r="DZ15" i="83"/>
  <c r="EG15" i="83"/>
  <c r="HC15" i="83"/>
  <c r="EA15" i="83"/>
  <c r="GS15" i="83"/>
  <c r="FE15" i="83"/>
  <c r="GY15" i="83"/>
  <c r="HF15" i="83"/>
  <c r="FX15" i="83"/>
  <c r="FL15" i="83"/>
  <c r="FJ15" i="83"/>
  <c r="HO15" i="83"/>
  <c r="EL15" i="83"/>
  <c r="EU15" i="83"/>
  <c r="EE15" i="83"/>
  <c r="GL15" i="83"/>
  <c r="HL15" i="83"/>
  <c r="FV15" i="83"/>
  <c r="GB15" i="83"/>
  <c r="FC15" i="83"/>
  <c r="EX15" i="83"/>
  <c r="GX15" i="83"/>
  <c r="FI15" i="83"/>
  <c r="HP15" i="83"/>
  <c r="FW15" i="83"/>
  <c r="FS15" i="83"/>
  <c r="FB15" i="83"/>
  <c r="GA15" i="83"/>
  <c r="ED15" i="83"/>
  <c r="DW15" i="83"/>
  <c r="FK15" i="83"/>
  <c r="GK15" i="83"/>
  <c r="FM15" i="83"/>
  <c r="HQ13" i="100"/>
  <c r="GS13" i="100"/>
  <c r="FU13" i="100"/>
  <c r="EW13" i="100"/>
  <c r="DY13" i="100"/>
  <c r="FR13" i="100"/>
  <c r="HL13" i="100"/>
  <c r="FP13" i="100"/>
  <c r="FO13" i="100"/>
  <c r="GL13" i="100"/>
  <c r="EP13" i="100"/>
  <c r="HI13" i="100"/>
  <c r="GK13" i="100"/>
  <c r="FM13" i="100"/>
  <c r="GJ13" i="100"/>
  <c r="HF13" i="100"/>
  <c r="EL13" i="100"/>
  <c r="HP13" i="100"/>
  <c r="GR13" i="100"/>
  <c r="FT13" i="100"/>
  <c r="DX13" i="100"/>
  <c r="GP13" i="100"/>
  <c r="HM13" i="100"/>
  <c r="GO13" i="100"/>
  <c r="ES13" i="100"/>
  <c r="GM13" i="100"/>
  <c r="HH13" i="100"/>
  <c r="EN13" i="100"/>
  <c r="FK13" i="100"/>
  <c r="GH13" i="100"/>
  <c r="FJ13" i="100"/>
  <c r="HO13" i="100"/>
  <c r="GQ13" i="100"/>
  <c r="FS13" i="100"/>
  <c r="EU13" i="100"/>
  <c r="DW13" i="100"/>
  <c r="HN13" i="100"/>
  <c r="ET13" i="100"/>
  <c r="FQ13" i="100"/>
  <c r="GN13" i="100"/>
  <c r="ER13" i="100"/>
  <c r="HK13" i="100"/>
  <c r="EQ13" i="100"/>
  <c r="HJ13" i="100"/>
  <c r="FN13" i="100"/>
  <c r="EO13" i="100"/>
  <c r="FL13" i="100"/>
  <c r="GI13" i="100"/>
  <c r="EM13" i="100"/>
  <c r="FZ13" i="100"/>
  <c r="ED13" i="100"/>
  <c r="FV13" i="100"/>
  <c r="HE13" i="100"/>
  <c r="GZ13" i="100"/>
  <c r="FD13" i="100"/>
  <c r="FC13" i="100"/>
  <c r="FA13" i="100"/>
  <c r="GV13" i="100"/>
  <c r="EK13" i="100"/>
  <c r="GD13" i="100"/>
  <c r="EH13" i="100"/>
  <c r="GC13" i="100"/>
  <c r="EF13" i="100"/>
  <c r="EE13" i="100"/>
  <c r="FY13" i="100"/>
  <c r="EC13" i="100"/>
  <c r="HD13" i="100"/>
  <c r="FG13" i="100"/>
  <c r="HB13" i="100"/>
  <c r="GY13" i="100"/>
  <c r="GX13" i="100"/>
  <c r="FB13" i="100"/>
  <c r="GW13" i="100"/>
  <c r="EZ13" i="100"/>
  <c r="GU13" i="100"/>
  <c r="EJ13" i="100"/>
  <c r="GB13" i="100"/>
  <c r="FX13" i="100"/>
  <c r="EB13" i="100"/>
  <c r="HS13" i="100"/>
  <c r="FW13" i="100"/>
  <c r="EA13" i="100"/>
  <c r="HR13" i="100"/>
  <c r="DZ13" i="100"/>
  <c r="FI13" i="100"/>
  <c r="FH13" i="100"/>
  <c r="HC13" i="100"/>
  <c r="FF13" i="100"/>
  <c r="HA13" i="100"/>
  <c r="FE13" i="100"/>
  <c r="EY13" i="100"/>
  <c r="EX13" i="100"/>
  <c r="GF13" i="100"/>
  <c r="GE13" i="100"/>
  <c r="EG13" i="100"/>
  <c r="GA13" i="100"/>
  <c r="HN14" i="100"/>
  <c r="GP14" i="100"/>
  <c r="FR14" i="100"/>
  <c r="ET14" i="100"/>
  <c r="GM14" i="100"/>
  <c r="HJ14" i="100"/>
  <c r="FM14" i="100"/>
  <c r="GJ14" i="100"/>
  <c r="EM14" i="100"/>
  <c r="FJ14" i="100"/>
  <c r="HE14" i="100"/>
  <c r="EK14" i="100"/>
  <c r="HB14" i="100"/>
  <c r="HM14" i="100"/>
  <c r="GO14" i="100"/>
  <c r="FQ14" i="100"/>
  <c r="ES14" i="100"/>
  <c r="EQ14" i="100"/>
  <c r="GL14" i="100"/>
  <c r="FN14" i="100"/>
  <c r="EP14" i="100"/>
  <c r="EN14" i="100"/>
  <c r="FK14" i="100"/>
  <c r="FI14" i="100"/>
  <c r="GF14" i="100"/>
  <c r="HC14" i="100"/>
  <c r="FG14" i="100"/>
  <c r="HL14" i="100"/>
  <c r="GN14" i="100"/>
  <c r="FP14" i="100"/>
  <c r="ER14" i="100"/>
  <c r="HK14" i="100"/>
  <c r="FO14" i="100"/>
  <c r="HI14" i="100"/>
  <c r="GK14" i="100"/>
  <c r="EO14" i="100"/>
  <c r="HH14" i="100"/>
  <c r="FL14" i="100"/>
  <c r="GI14" i="100"/>
  <c r="HF14" i="100"/>
  <c r="GH14" i="100"/>
  <c r="EL14" i="100"/>
  <c r="HD14" i="100"/>
  <c r="FH14" i="100"/>
  <c r="EJ14" i="100"/>
  <c r="GE14" i="100"/>
  <c r="GD14" i="100"/>
  <c r="FF14" i="100"/>
  <c r="HS14" i="100"/>
  <c r="FU14" i="100"/>
  <c r="DX14" i="100"/>
  <c r="HA14" i="100"/>
  <c r="GV14" i="100"/>
  <c r="EX14" i="100"/>
  <c r="EH14" i="100"/>
  <c r="EG14" i="100"/>
  <c r="EE14" i="100"/>
  <c r="GA14" i="100"/>
  <c r="FZ14" i="100"/>
  <c r="FX14" i="100"/>
  <c r="DZ14" i="100"/>
  <c r="FV14" i="100"/>
  <c r="HR14" i="100"/>
  <c r="FT14" i="100"/>
  <c r="DW14" i="100"/>
  <c r="FD14" i="100"/>
  <c r="FB14" i="100"/>
  <c r="FA14" i="100"/>
  <c r="GU14" i="100"/>
  <c r="EW14" i="100"/>
  <c r="GS14" i="100"/>
  <c r="EU14" i="100"/>
  <c r="GR14" i="100"/>
  <c r="GQ14" i="100"/>
  <c r="EF14" i="100"/>
  <c r="GB14" i="100"/>
  <c r="ED14" i="100"/>
  <c r="EC14" i="100"/>
  <c r="HQ14" i="100"/>
  <c r="FS14" i="100"/>
  <c r="HP14" i="100"/>
  <c r="FE14" i="100"/>
  <c r="HO14" i="100"/>
  <c r="FC14" i="100"/>
  <c r="GZ14" i="100"/>
  <c r="GY14" i="100"/>
  <c r="GX14" i="100"/>
  <c r="EZ14" i="100"/>
  <c r="GW14" i="100"/>
  <c r="EY14" i="100"/>
  <c r="GC14" i="100"/>
  <c r="FY14" i="100"/>
  <c r="EB14" i="100"/>
  <c r="EA14" i="100"/>
  <c r="FW14" i="100"/>
  <c r="DY14" i="100"/>
  <c r="GT15" i="99"/>
  <c r="EV15" i="99"/>
  <c r="HN14" i="99"/>
  <c r="GP14" i="99"/>
  <c r="FR14" i="99"/>
  <c r="ET14" i="99"/>
  <c r="GI14" i="99"/>
  <c r="HF14" i="99"/>
  <c r="HM14" i="99"/>
  <c r="GO14" i="99"/>
  <c r="FQ14" i="99"/>
  <c r="ES14" i="99"/>
  <c r="FH14" i="99"/>
  <c r="HL14" i="99"/>
  <c r="GN14" i="99"/>
  <c r="FP14" i="99"/>
  <c r="ER14" i="99"/>
  <c r="EL14" i="99"/>
  <c r="HE14" i="99"/>
  <c r="EK14" i="99"/>
  <c r="HK14" i="99"/>
  <c r="GM14" i="99"/>
  <c r="FO14" i="99"/>
  <c r="EQ14" i="99"/>
  <c r="FK14" i="99"/>
  <c r="FJ14" i="99"/>
  <c r="HJ14" i="99"/>
  <c r="GL14" i="99"/>
  <c r="FN14" i="99"/>
  <c r="EP14" i="99"/>
  <c r="EM14" i="99"/>
  <c r="GH14" i="99"/>
  <c r="HD14" i="99"/>
  <c r="HI14" i="99"/>
  <c r="GK14" i="99"/>
  <c r="FM14" i="99"/>
  <c r="EO14" i="99"/>
  <c r="GF14" i="99"/>
  <c r="HH14" i="99"/>
  <c r="GJ14" i="99"/>
  <c r="FL14" i="99"/>
  <c r="EN14" i="99"/>
  <c r="HA14" i="99"/>
  <c r="GC14" i="99"/>
  <c r="FE14" i="99"/>
  <c r="EG14" i="99"/>
  <c r="GZ14" i="99"/>
  <c r="GB14" i="99"/>
  <c r="FD14" i="99"/>
  <c r="EF14" i="99"/>
  <c r="GY14" i="99"/>
  <c r="GA14" i="99"/>
  <c r="FC14" i="99"/>
  <c r="EE14" i="99"/>
  <c r="GX14" i="99"/>
  <c r="FZ14" i="99"/>
  <c r="FB14" i="99"/>
  <c r="ED14" i="99"/>
  <c r="GW14" i="99"/>
  <c r="FY14" i="99"/>
  <c r="FA14" i="99"/>
  <c r="EC14" i="99"/>
  <c r="HQ14" i="99"/>
  <c r="GS14" i="99"/>
  <c r="FU14" i="99"/>
  <c r="EW14" i="99"/>
  <c r="DY14" i="99"/>
  <c r="HP14" i="99"/>
  <c r="GR14" i="99"/>
  <c r="FT14" i="99"/>
  <c r="DX14" i="99"/>
  <c r="HO14" i="99"/>
  <c r="GQ14" i="99"/>
  <c r="FS14" i="99"/>
  <c r="EU14" i="99"/>
  <c r="DW14" i="99"/>
  <c r="FI14" i="99"/>
  <c r="EJ14" i="99"/>
  <c r="EX14" i="99"/>
  <c r="FV14" i="99"/>
  <c r="FG14" i="99"/>
  <c r="FF14" i="99"/>
  <c r="EY14" i="99"/>
  <c r="EH14" i="99"/>
  <c r="HR14" i="99"/>
  <c r="HB14" i="99"/>
  <c r="EB14" i="99"/>
  <c r="GV14" i="99"/>
  <c r="EA14" i="99"/>
  <c r="DZ14" i="99"/>
  <c r="HS14" i="99"/>
  <c r="HC14" i="99"/>
  <c r="EZ14" i="99"/>
  <c r="GU14" i="99"/>
  <c r="GE14" i="99"/>
  <c r="GD14" i="99"/>
  <c r="FX14" i="99"/>
  <c r="FW14" i="99"/>
  <c r="HQ13" i="99"/>
  <c r="GS13" i="99"/>
  <c r="FU13" i="99"/>
  <c r="EW13" i="99"/>
  <c r="DY13" i="99"/>
  <c r="HH13" i="99"/>
  <c r="HP13" i="99"/>
  <c r="GR13" i="99"/>
  <c r="FT13" i="99"/>
  <c r="DX13" i="99"/>
  <c r="FN13" i="99"/>
  <c r="GI13" i="99"/>
  <c r="EM13" i="99"/>
  <c r="HO13" i="99"/>
  <c r="GQ13" i="99"/>
  <c r="FS13" i="99"/>
  <c r="EU13" i="99"/>
  <c r="DW13" i="99"/>
  <c r="GL13" i="99"/>
  <c r="GJ13" i="99"/>
  <c r="EN13" i="99"/>
  <c r="FK13" i="99"/>
  <c r="HN13" i="99"/>
  <c r="GP13" i="99"/>
  <c r="FR13" i="99"/>
  <c r="ET13" i="99"/>
  <c r="HJ13" i="99"/>
  <c r="HI13" i="99"/>
  <c r="EO13" i="99"/>
  <c r="HM13" i="99"/>
  <c r="GO13" i="99"/>
  <c r="FQ13" i="99"/>
  <c r="ES13" i="99"/>
  <c r="EP13" i="99"/>
  <c r="FM13" i="99"/>
  <c r="HL13" i="99"/>
  <c r="GN13" i="99"/>
  <c r="FP13" i="99"/>
  <c r="ER13" i="99"/>
  <c r="GK13" i="99"/>
  <c r="HK13" i="99"/>
  <c r="GM13" i="99"/>
  <c r="FO13" i="99"/>
  <c r="EQ13" i="99"/>
  <c r="HD13" i="99"/>
  <c r="GF13" i="99"/>
  <c r="FH13" i="99"/>
  <c r="EJ13" i="99"/>
  <c r="HC13" i="99"/>
  <c r="GE13" i="99"/>
  <c r="FG13" i="99"/>
  <c r="HB13" i="99"/>
  <c r="GD13" i="99"/>
  <c r="FF13" i="99"/>
  <c r="EH13" i="99"/>
  <c r="HA13" i="99"/>
  <c r="GC13" i="99"/>
  <c r="FE13" i="99"/>
  <c r="EG13" i="99"/>
  <c r="GV13" i="99"/>
  <c r="FX13" i="99"/>
  <c r="EZ13" i="99"/>
  <c r="EB13" i="99"/>
  <c r="HS13" i="99"/>
  <c r="GU13" i="99"/>
  <c r="FW13" i="99"/>
  <c r="EY13" i="99"/>
  <c r="EA13" i="99"/>
  <c r="HR13" i="99"/>
  <c r="FV13" i="99"/>
  <c r="EX13" i="99"/>
  <c r="DZ13" i="99"/>
  <c r="FL13" i="99"/>
  <c r="FZ13" i="99"/>
  <c r="EF13" i="99"/>
  <c r="FY13" i="99"/>
  <c r="EK13" i="99"/>
  <c r="EE13" i="99"/>
  <c r="ED13" i="99"/>
  <c r="GA13" i="99"/>
  <c r="FJ13" i="99"/>
  <c r="GW13" i="99"/>
  <c r="FI13" i="99"/>
  <c r="FD13" i="99"/>
  <c r="FC13" i="99"/>
  <c r="GH13" i="99"/>
  <c r="FB13" i="99"/>
  <c r="FA13" i="99"/>
  <c r="EL13" i="99"/>
  <c r="GB13" i="99"/>
  <c r="EC13" i="99"/>
  <c r="HF13" i="99"/>
  <c r="HE13" i="99"/>
  <c r="GZ13" i="99"/>
  <c r="GY13" i="99"/>
  <c r="GX13" i="99"/>
  <c r="HT15" i="99"/>
  <c r="HN14" i="98"/>
  <c r="GP14" i="98"/>
  <c r="FR14" i="98"/>
  <c r="ET14" i="98"/>
  <c r="GK14" i="98"/>
  <c r="EO14" i="98"/>
  <c r="GJ14" i="98"/>
  <c r="HC14" i="98"/>
  <c r="GE14" i="98"/>
  <c r="GC14" i="98"/>
  <c r="EG14" i="98"/>
  <c r="GB14" i="98"/>
  <c r="EF14" i="98"/>
  <c r="EE14" i="98"/>
  <c r="FY14" i="98"/>
  <c r="HM14" i="98"/>
  <c r="GO14" i="98"/>
  <c r="FQ14" i="98"/>
  <c r="ES14" i="98"/>
  <c r="EP14" i="98"/>
  <c r="GF14" i="98"/>
  <c r="FG14" i="98"/>
  <c r="EH14" i="98"/>
  <c r="HA14" i="98"/>
  <c r="FB14" i="98"/>
  <c r="FA14" i="98"/>
  <c r="EZ14" i="98"/>
  <c r="HL14" i="98"/>
  <c r="GN14" i="98"/>
  <c r="FP14" i="98"/>
  <c r="ER14" i="98"/>
  <c r="HJ14" i="98"/>
  <c r="GL14" i="98"/>
  <c r="FN14" i="98"/>
  <c r="HH14" i="98"/>
  <c r="FL14" i="98"/>
  <c r="EJ14" i="98"/>
  <c r="GD14" i="98"/>
  <c r="FE14" i="98"/>
  <c r="FD14" i="98"/>
  <c r="FC14" i="98"/>
  <c r="GX14" i="98"/>
  <c r="GW14" i="98"/>
  <c r="GV14" i="98"/>
  <c r="EB14" i="98"/>
  <c r="HK14" i="98"/>
  <c r="GM14" i="98"/>
  <c r="FO14" i="98"/>
  <c r="EQ14" i="98"/>
  <c r="HI14" i="98"/>
  <c r="FM14" i="98"/>
  <c r="EN14" i="98"/>
  <c r="FF14" i="98"/>
  <c r="GZ14" i="98"/>
  <c r="FZ14" i="98"/>
  <c r="EC14" i="98"/>
  <c r="FX14" i="98"/>
  <c r="GI14" i="98"/>
  <c r="FK14" i="98"/>
  <c r="EM14" i="98"/>
  <c r="HF14" i="98"/>
  <c r="GH14" i="98"/>
  <c r="FJ14" i="98"/>
  <c r="EL14" i="98"/>
  <c r="HE14" i="98"/>
  <c r="FI14" i="98"/>
  <c r="EK14" i="98"/>
  <c r="HD14" i="98"/>
  <c r="FH14" i="98"/>
  <c r="HB14" i="98"/>
  <c r="GY14" i="98"/>
  <c r="GA14" i="98"/>
  <c r="ED14" i="98"/>
  <c r="GU14" i="98"/>
  <c r="GS14" i="98"/>
  <c r="GR14" i="98"/>
  <c r="GQ14" i="98"/>
  <c r="EW14" i="98"/>
  <c r="FW14" i="98"/>
  <c r="FS14" i="98"/>
  <c r="EY14" i="98"/>
  <c r="EX14" i="98"/>
  <c r="EU14" i="98"/>
  <c r="FV14" i="98"/>
  <c r="FU14" i="98"/>
  <c r="FT14" i="98"/>
  <c r="HO14" i="98"/>
  <c r="EA14" i="98"/>
  <c r="DZ14" i="98"/>
  <c r="DY14" i="98"/>
  <c r="DX14" i="98"/>
  <c r="HS14" i="98"/>
  <c r="DW14" i="98"/>
  <c r="HR14" i="98"/>
  <c r="HQ14" i="98"/>
  <c r="HP14" i="98"/>
  <c r="HQ13" i="97"/>
  <c r="GS13" i="97"/>
  <c r="FU13" i="97"/>
  <c r="EW13" i="97"/>
  <c r="DY13" i="97"/>
  <c r="FP13" i="97"/>
  <c r="GH13" i="97"/>
  <c r="HP13" i="97"/>
  <c r="GR13" i="97"/>
  <c r="FT13" i="97"/>
  <c r="DX13" i="97"/>
  <c r="ES13" i="97"/>
  <c r="ER13" i="97"/>
  <c r="HO13" i="97"/>
  <c r="GQ13" i="97"/>
  <c r="FS13" i="97"/>
  <c r="EU13" i="97"/>
  <c r="DW13" i="97"/>
  <c r="GO13" i="97"/>
  <c r="HN13" i="97"/>
  <c r="GP13" i="97"/>
  <c r="FR13" i="97"/>
  <c r="ET13" i="97"/>
  <c r="HM13" i="97"/>
  <c r="FQ13" i="97"/>
  <c r="HL13" i="97"/>
  <c r="GN13" i="97"/>
  <c r="HK13" i="97"/>
  <c r="GM13" i="97"/>
  <c r="FO13" i="97"/>
  <c r="EQ13" i="97"/>
  <c r="FM13" i="97"/>
  <c r="FL13" i="97"/>
  <c r="FK13" i="97"/>
  <c r="HF13" i="97"/>
  <c r="FJ13" i="97"/>
  <c r="HJ13" i="97"/>
  <c r="GL13" i="97"/>
  <c r="FN13" i="97"/>
  <c r="EP13" i="97"/>
  <c r="HI13" i="97"/>
  <c r="GK13" i="97"/>
  <c r="EO13" i="97"/>
  <c r="HH13" i="97"/>
  <c r="GJ13" i="97"/>
  <c r="EN13" i="97"/>
  <c r="GI13" i="97"/>
  <c r="EM13" i="97"/>
  <c r="EL13" i="97"/>
  <c r="HB13" i="97"/>
  <c r="GD13" i="97"/>
  <c r="FF13" i="97"/>
  <c r="EH13" i="97"/>
  <c r="HA13" i="97"/>
  <c r="GC13" i="97"/>
  <c r="FE13" i="97"/>
  <c r="EG13" i="97"/>
  <c r="GZ13" i="97"/>
  <c r="GB13" i="97"/>
  <c r="FD13" i="97"/>
  <c r="EF13" i="97"/>
  <c r="GY13" i="97"/>
  <c r="GA13" i="97"/>
  <c r="FC13" i="97"/>
  <c r="EE13" i="97"/>
  <c r="HS13" i="97"/>
  <c r="EY13" i="97"/>
  <c r="EC13" i="97"/>
  <c r="GF13" i="97"/>
  <c r="FG13" i="97"/>
  <c r="FA13" i="97"/>
  <c r="HR13" i="97"/>
  <c r="EX13" i="97"/>
  <c r="GW13" i="97"/>
  <c r="HE13" i="97"/>
  <c r="EK13" i="97"/>
  <c r="FZ13" i="97"/>
  <c r="FI13" i="97"/>
  <c r="HD13" i="97"/>
  <c r="EJ13" i="97"/>
  <c r="DZ13" i="97"/>
  <c r="FY13" i="97"/>
  <c r="HC13" i="97"/>
  <c r="FW13" i="97"/>
  <c r="GX13" i="97"/>
  <c r="ED13" i="97"/>
  <c r="FH13" i="97"/>
  <c r="GV13" i="97"/>
  <c r="EB13" i="97"/>
  <c r="GU13" i="97"/>
  <c r="EA13" i="97"/>
  <c r="GE13" i="97"/>
  <c r="FX13" i="97"/>
  <c r="FV13" i="97"/>
  <c r="EZ13" i="97"/>
  <c r="FB13" i="97"/>
  <c r="HN14" i="97"/>
  <c r="GP14" i="97"/>
  <c r="FR14" i="97"/>
  <c r="ET14" i="97"/>
  <c r="HJ14" i="97"/>
  <c r="GK14" i="97"/>
  <c r="HM14" i="97"/>
  <c r="GO14" i="97"/>
  <c r="FQ14" i="97"/>
  <c r="ES14" i="97"/>
  <c r="FN14" i="97"/>
  <c r="HI14" i="97"/>
  <c r="EO14" i="97"/>
  <c r="HL14" i="97"/>
  <c r="GN14" i="97"/>
  <c r="FP14" i="97"/>
  <c r="ER14" i="97"/>
  <c r="EP14" i="97"/>
  <c r="HK14" i="97"/>
  <c r="GM14" i="97"/>
  <c r="FO14" i="97"/>
  <c r="EQ14" i="97"/>
  <c r="GL14" i="97"/>
  <c r="FM14" i="97"/>
  <c r="HH14" i="97"/>
  <c r="GJ14" i="97"/>
  <c r="FL14" i="97"/>
  <c r="EN14" i="97"/>
  <c r="HF14" i="97"/>
  <c r="GH14" i="97"/>
  <c r="FJ14" i="97"/>
  <c r="EL14" i="97"/>
  <c r="HE14" i="97"/>
  <c r="FI14" i="97"/>
  <c r="HD14" i="97"/>
  <c r="GF14" i="97"/>
  <c r="FH14" i="97"/>
  <c r="EJ14" i="97"/>
  <c r="HC14" i="97"/>
  <c r="GI14" i="97"/>
  <c r="FK14" i="97"/>
  <c r="EM14" i="97"/>
  <c r="EK14" i="97"/>
  <c r="GE14" i="97"/>
  <c r="FG14" i="97"/>
  <c r="GY14" i="97"/>
  <c r="GA14" i="97"/>
  <c r="FC14" i="97"/>
  <c r="EE14" i="97"/>
  <c r="GX14" i="97"/>
  <c r="FZ14" i="97"/>
  <c r="FB14" i="97"/>
  <c r="ED14" i="97"/>
  <c r="GW14" i="97"/>
  <c r="FY14" i="97"/>
  <c r="FA14" i="97"/>
  <c r="EC14" i="97"/>
  <c r="GV14" i="97"/>
  <c r="FX14" i="97"/>
  <c r="EZ14" i="97"/>
  <c r="EB14" i="97"/>
  <c r="HB14" i="97"/>
  <c r="EH14" i="97"/>
  <c r="DX14" i="97"/>
  <c r="FT14" i="97"/>
  <c r="FD14" i="97"/>
  <c r="HA14" i="97"/>
  <c r="EG14" i="97"/>
  <c r="GB14" i="97"/>
  <c r="EX14" i="97"/>
  <c r="GZ14" i="97"/>
  <c r="EF14" i="97"/>
  <c r="FW14" i="97"/>
  <c r="FV14" i="97"/>
  <c r="FE14" i="97"/>
  <c r="HP14" i="97"/>
  <c r="HO14" i="97"/>
  <c r="GU14" i="97"/>
  <c r="EA14" i="97"/>
  <c r="FS14" i="97"/>
  <c r="HQ14" i="97"/>
  <c r="EU14" i="97"/>
  <c r="DZ14" i="97"/>
  <c r="GR14" i="97"/>
  <c r="GC14" i="97"/>
  <c r="FF14" i="97"/>
  <c r="EY14" i="97"/>
  <c r="EW14" i="97"/>
  <c r="GS14" i="97"/>
  <c r="DY14" i="97"/>
  <c r="FU14" i="97"/>
  <c r="GQ14" i="97"/>
  <c r="DW14" i="97"/>
  <c r="GD14" i="97"/>
  <c r="HS14" i="97"/>
  <c r="HR14" i="97"/>
  <c r="HN14" i="96"/>
  <c r="GP14" i="96"/>
  <c r="FR14" i="96"/>
  <c r="ET14" i="96"/>
  <c r="FI14" i="96"/>
  <c r="HD14" i="96"/>
  <c r="HM14" i="96"/>
  <c r="GO14" i="96"/>
  <c r="FQ14" i="96"/>
  <c r="ES14" i="96"/>
  <c r="HL14" i="96"/>
  <c r="GN14" i="96"/>
  <c r="FP14" i="96"/>
  <c r="ER14" i="96"/>
  <c r="HK14" i="96"/>
  <c r="GM14" i="96"/>
  <c r="FO14" i="96"/>
  <c r="EQ14" i="96"/>
  <c r="HJ14" i="96"/>
  <c r="GL14" i="96"/>
  <c r="FN14" i="96"/>
  <c r="EP14" i="96"/>
  <c r="FH14" i="96"/>
  <c r="HI14" i="96"/>
  <c r="GK14" i="96"/>
  <c r="FM14" i="96"/>
  <c r="EO14" i="96"/>
  <c r="HH14" i="96"/>
  <c r="GJ14" i="96"/>
  <c r="FL14" i="96"/>
  <c r="EN14" i="96"/>
  <c r="GI14" i="96"/>
  <c r="FK14" i="96"/>
  <c r="EM14" i="96"/>
  <c r="HF14" i="96"/>
  <c r="GH14" i="96"/>
  <c r="FJ14" i="96"/>
  <c r="EL14" i="96"/>
  <c r="HE14" i="96"/>
  <c r="EK14" i="96"/>
  <c r="GF14" i="96"/>
  <c r="EJ14" i="96"/>
  <c r="GW14" i="96"/>
  <c r="FC14" i="96"/>
  <c r="GS14" i="96"/>
  <c r="EE14" i="96"/>
  <c r="ED14" i="96"/>
  <c r="FS14" i="96"/>
  <c r="DY14" i="96"/>
  <c r="HA14" i="96"/>
  <c r="FG14" i="96"/>
  <c r="DX14" i="96"/>
  <c r="GV14" i="96"/>
  <c r="FB14" i="96"/>
  <c r="GU14" i="96"/>
  <c r="FA14" i="96"/>
  <c r="EZ14" i="96"/>
  <c r="EY14" i="96"/>
  <c r="EH14" i="96"/>
  <c r="EG14" i="96"/>
  <c r="FZ14" i="96"/>
  <c r="EF14" i="96"/>
  <c r="FY14" i="96"/>
  <c r="HP14" i="96"/>
  <c r="EB14" i="96"/>
  <c r="HO14" i="96"/>
  <c r="EA14" i="96"/>
  <c r="GZ14" i="96"/>
  <c r="FF14" i="96"/>
  <c r="DW14" i="96"/>
  <c r="GY14" i="96"/>
  <c r="FE14" i="96"/>
  <c r="GX14" i="96"/>
  <c r="FD14" i="96"/>
  <c r="GR14" i="96"/>
  <c r="EX14" i="96"/>
  <c r="GQ14" i="96"/>
  <c r="EW14" i="96"/>
  <c r="GE14" i="96"/>
  <c r="GD14" i="96"/>
  <c r="EU14" i="96"/>
  <c r="GC14" i="96"/>
  <c r="GB14" i="96"/>
  <c r="GA14" i="96"/>
  <c r="HS14" i="96"/>
  <c r="HR14" i="96"/>
  <c r="FX14" i="96"/>
  <c r="HQ14" i="96"/>
  <c r="FW14" i="96"/>
  <c r="EC14" i="96"/>
  <c r="FV14" i="96"/>
  <c r="FU14" i="96"/>
  <c r="HC14" i="96"/>
  <c r="FT14" i="96"/>
  <c r="DZ14" i="96"/>
  <c r="HB14" i="96"/>
  <c r="HN14" i="95"/>
  <c r="GP14" i="95"/>
  <c r="FR14" i="95"/>
  <c r="ET14" i="95"/>
  <c r="GI14" i="95"/>
  <c r="GF14" i="95"/>
  <c r="GE14" i="95"/>
  <c r="FF14" i="95"/>
  <c r="EG14" i="95"/>
  <c r="GZ14" i="95"/>
  <c r="EE14" i="95"/>
  <c r="FZ14" i="95"/>
  <c r="GW14" i="95"/>
  <c r="FX14" i="95"/>
  <c r="EU14" i="95"/>
  <c r="HM14" i="95"/>
  <c r="GO14" i="95"/>
  <c r="FQ14" i="95"/>
  <c r="ES14" i="95"/>
  <c r="FJ14" i="95"/>
  <c r="EL14" i="95"/>
  <c r="HC14" i="95"/>
  <c r="EH14" i="95"/>
  <c r="GA14" i="95"/>
  <c r="FY14" i="95"/>
  <c r="EY14" i="95"/>
  <c r="FV14" i="95"/>
  <c r="HQ14" i="95"/>
  <c r="DY14" i="95"/>
  <c r="HP14" i="95"/>
  <c r="GQ14" i="95"/>
  <c r="HL14" i="95"/>
  <c r="GN14" i="95"/>
  <c r="FP14" i="95"/>
  <c r="ER14" i="95"/>
  <c r="HE14" i="95"/>
  <c r="FH14" i="95"/>
  <c r="EF14" i="95"/>
  <c r="FC14" i="95"/>
  <c r="DZ14" i="95"/>
  <c r="FU14" i="95"/>
  <c r="HK14" i="95"/>
  <c r="GM14" i="95"/>
  <c r="FO14" i="95"/>
  <c r="EQ14" i="95"/>
  <c r="EK14" i="95"/>
  <c r="EJ14" i="95"/>
  <c r="GY14" i="95"/>
  <c r="ED14" i="95"/>
  <c r="HJ14" i="95"/>
  <c r="GL14" i="95"/>
  <c r="FN14" i="95"/>
  <c r="EP14" i="95"/>
  <c r="FK14" i="95"/>
  <c r="FI14" i="95"/>
  <c r="FG14" i="95"/>
  <c r="HB14" i="95"/>
  <c r="HA14" i="95"/>
  <c r="FB14" i="95"/>
  <c r="FA14" i="95"/>
  <c r="EC14" i="95"/>
  <c r="GV14" i="95"/>
  <c r="EZ14" i="95"/>
  <c r="GU14" i="95"/>
  <c r="GR14" i="95"/>
  <c r="HO14" i="95"/>
  <c r="FS14" i="95"/>
  <c r="HI14" i="95"/>
  <c r="GK14" i="95"/>
  <c r="FM14" i="95"/>
  <c r="EO14" i="95"/>
  <c r="GH14" i="95"/>
  <c r="FE14" i="95"/>
  <c r="FD14" i="95"/>
  <c r="EA14" i="95"/>
  <c r="HR14" i="95"/>
  <c r="FT14" i="95"/>
  <c r="DW14" i="95"/>
  <c r="HH14" i="95"/>
  <c r="GJ14" i="95"/>
  <c r="FL14" i="95"/>
  <c r="EN14" i="95"/>
  <c r="EM14" i="95"/>
  <c r="HF14" i="95"/>
  <c r="HD14" i="95"/>
  <c r="GD14" i="95"/>
  <c r="GC14" i="95"/>
  <c r="GB14" i="95"/>
  <c r="GX14" i="95"/>
  <c r="EB14" i="95"/>
  <c r="HS14" i="95"/>
  <c r="FW14" i="95"/>
  <c r="EX14" i="95"/>
  <c r="GS14" i="95"/>
  <c r="EW14" i="95"/>
  <c r="DX14" i="95"/>
  <c r="HQ13" i="95"/>
  <c r="GS13" i="95"/>
  <c r="FU13" i="95"/>
  <c r="EW13" i="95"/>
  <c r="DY13" i="95"/>
  <c r="GL13" i="95"/>
  <c r="EP13" i="95"/>
  <c r="HF13" i="95"/>
  <c r="HE13" i="95"/>
  <c r="EJ13" i="95"/>
  <c r="EH13" i="95"/>
  <c r="EG13" i="95"/>
  <c r="FD13" i="95"/>
  <c r="HS13" i="95"/>
  <c r="EY13" i="95"/>
  <c r="HP13" i="95"/>
  <c r="GR13" i="95"/>
  <c r="FT13" i="95"/>
  <c r="DX13" i="95"/>
  <c r="GJ13" i="95"/>
  <c r="FK13" i="95"/>
  <c r="GY13" i="95"/>
  <c r="FZ13" i="95"/>
  <c r="GW13" i="95"/>
  <c r="EC13" i="95"/>
  <c r="EZ13" i="95"/>
  <c r="FW13" i="95"/>
  <c r="HR13" i="95"/>
  <c r="DZ13" i="95"/>
  <c r="HO13" i="95"/>
  <c r="GQ13" i="95"/>
  <c r="FS13" i="95"/>
  <c r="EU13" i="95"/>
  <c r="DW13" i="95"/>
  <c r="FM13" i="95"/>
  <c r="FI13" i="95"/>
  <c r="GF13" i="95"/>
  <c r="HC13" i="95"/>
  <c r="HB13" i="95"/>
  <c r="HA13" i="95"/>
  <c r="GB13" i="95"/>
  <c r="FX13" i="95"/>
  <c r="HN13" i="95"/>
  <c r="GP13" i="95"/>
  <c r="FR13" i="95"/>
  <c r="ET13" i="95"/>
  <c r="EO13" i="95"/>
  <c r="GH13" i="95"/>
  <c r="EK13" i="95"/>
  <c r="HD13" i="95"/>
  <c r="FF13" i="95"/>
  <c r="HM13" i="95"/>
  <c r="GO13" i="95"/>
  <c r="FQ13" i="95"/>
  <c r="ES13" i="95"/>
  <c r="HH13" i="95"/>
  <c r="EN13" i="95"/>
  <c r="EL13" i="95"/>
  <c r="GD13" i="95"/>
  <c r="GC13" i="95"/>
  <c r="GZ13" i="95"/>
  <c r="EF13" i="95"/>
  <c r="EE13" i="95"/>
  <c r="GV13" i="95"/>
  <c r="EA13" i="95"/>
  <c r="EX13" i="95"/>
  <c r="HL13" i="95"/>
  <c r="GN13" i="95"/>
  <c r="FP13" i="95"/>
  <c r="ER13" i="95"/>
  <c r="GK13" i="95"/>
  <c r="FL13" i="95"/>
  <c r="FH13" i="95"/>
  <c r="FG13" i="95"/>
  <c r="ED13" i="95"/>
  <c r="FY13" i="95"/>
  <c r="FA13" i="95"/>
  <c r="GU13" i="95"/>
  <c r="HK13" i="95"/>
  <c r="GM13" i="95"/>
  <c r="FO13" i="95"/>
  <c r="EQ13" i="95"/>
  <c r="HJ13" i="95"/>
  <c r="FN13" i="95"/>
  <c r="HI13" i="95"/>
  <c r="GI13" i="95"/>
  <c r="EM13" i="95"/>
  <c r="FJ13" i="95"/>
  <c r="GE13" i="95"/>
  <c r="FE13" i="95"/>
  <c r="GA13" i="95"/>
  <c r="FC13" i="95"/>
  <c r="GX13" i="95"/>
  <c r="FB13" i="95"/>
  <c r="EB13" i="95"/>
  <c r="FV13" i="95"/>
  <c r="HQ13" i="94"/>
  <c r="GS13" i="94"/>
  <c r="FU13" i="94"/>
  <c r="EW13" i="94"/>
  <c r="DY13" i="94"/>
  <c r="HF13" i="94"/>
  <c r="HP13" i="94"/>
  <c r="GR13" i="94"/>
  <c r="FT13" i="94"/>
  <c r="DX13" i="94"/>
  <c r="HI13" i="94"/>
  <c r="EL13" i="94"/>
  <c r="HE13" i="94"/>
  <c r="HO13" i="94"/>
  <c r="GQ13" i="94"/>
  <c r="FS13" i="94"/>
  <c r="EU13" i="94"/>
  <c r="DW13" i="94"/>
  <c r="HH13" i="94"/>
  <c r="HN13" i="94"/>
  <c r="GP13" i="94"/>
  <c r="FR13" i="94"/>
  <c r="ET13" i="94"/>
  <c r="GJ13" i="94"/>
  <c r="EM13" i="94"/>
  <c r="HM13" i="94"/>
  <c r="GO13" i="94"/>
  <c r="FQ13" i="94"/>
  <c r="ES13" i="94"/>
  <c r="FM13" i="94"/>
  <c r="EO13" i="94"/>
  <c r="GH13" i="94"/>
  <c r="HL13" i="94"/>
  <c r="GN13" i="94"/>
  <c r="FP13" i="94"/>
  <c r="ER13" i="94"/>
  <c r="GI13" i="94"/>
  <c r="HK13" i="94"/>
  <c r="GM13" i="94"/>
  <c r="FO13" i="94"/>
  <c r="EQ13" i="94"/>
  <c r="GK13" i="94"/>
  <c r="EN13" i="94"/>
  <c r="FK13" i="94"/>
  <c r="HJ13" i="94"/>
  <c r="GL13" i="94"/>
  <c r="FN13" i="94"/>
  <c r="EP13" i="94"/>
  <c r="FL13" i="94"/>
  <c r="FJ13" i="94"/>
  <c r="FI13" i="94"/>
  <c r="HC13" i="94"/>
  <c r="GE13" i="94"/>
  <c r="FG13" i="94"/>
  <c r="HB13" i="94"/>
  <c r="GD13" i="94"/>
  <c r="FF13" i="94"/>
  <c r="EH13" i="94"/>
  <c r="HA13" i="94"/>
  <c r="GC13" i="94"/>
  <c r="FE13" i="94"/>
  <c r="EG13" i="94"/>
  <c r="GZ13" i="94"/>
  <c r="GB13" i="94"/>
  <c r="FD13" i="94"/>
  <c r="EF13" i="94"/>
  <c r="FX13" i="94"/>
  <c r="HR13" i="94"/>
  <c r="ED13" i="94"/>
  <c r="FW13" i="94"/>
  <c r="EE13" i="94"/>
  <c r="FZ13" i="94"/>
  <c r="FV13" i="94"/>
  <c r="EY13" i="94"/>
  <c r="EK13" i="94"/>
  <c r="FH13" i="94"/>
  <c r="EX13" i="94"/>
  <c r="EJ13" i="94"/>
  <c r="GA13" i="94"/>
  <c r="FC13" i="94"/>
  <c r="HD13" i="94"/>
  <c r="FB13" i="94"/>
  <c r="GF13" i="94"/>
  <c r="FA13" i="94"/>
  <c r="EZ13" i="94"/>
  <c r="HS13" i="94"/>
  <c r="GY13" i="94"/>
  <c r="EC13" i="94"/>
  <c r="GX13" i="94"/>
  <c r="EB13" i="94"/>
  <c r="GW13" i="94"/>
  <c r="EA13" i="94"/>
  <c r="GV13" i="94"/>
  <c r="DZ13" i="94"/>
  <c r="GU13" i="94"/>
  <c r="FY13" i="94"/>
  <c r="HM15" i="93"/>
  <c r="GO15" i="93"/>
  <c r="FQ15" i="93"/>
  <c r="ES15" i="93"/>
  <c r="GC15" i="93"/>
  <c r="EB15" i="93"/>
  <c r="HL15" i="93"/>
  <c r="GN15" i="93"/>
  <c r="FP15" i="93"/>
  <c r="ER15" i="93"/>
  <c r="FY15" i="93"/>
  <c r="HK15" i="93"/>
  <c r="GM15" i="93"/>
  <c r="FO15" i="93"/>
  <c r="EQ15" i="93"/>
  <c r="HQ15" i="93"/>
  <c r="HJ15" i="93"/>
  <c r="GL15" i="93"/>
  <c r="FN15" i="93"/>
  <c r="EP15" i="93"/>
  <c r="FE15" i="93"/>
  <c r="EC15" i="93"/>
  <c r="EZ15" i="93"/>
  <c r="EX15" i="93"/>
  <c r="HI15" i="93"/>
  <c r="GK15" i="93"/>
  <c r="FM15" i="93"/>
  <c r="EO15" i="93"/>
  <c r="FG15" i="93"/>
  <c r="HS15" i="93"/>
  <c r="FV15" i="93"/>
  <c r="HH15" i="93"/>
  <c r="GJ15" i="93"/>
  <c r="FL15" i="93"/>
  <c r="EN15" i="93"/>
  <c r="GD15" i="93"/>
  <c r="EY15" i="93"/>
  <c r="FU15" i="93"/>
  <c r="GI15" i="93"/>
  <c r="FK15" i="93"/>
  <c r="EM15" i="93"/>
  <c r="HC15" i="93"/>
  <c r="HB15" i="93"/>
  <c r="FW15" i="93"/>
  <c r="EW15" i="93"/>
  <c r="HF15" i="93"/>
  <c r="GH15" i="93"/>
  <c r="FJ15" i="93"/>
  <c r="EL15" i="93"/>
  <c r="GE15" i="93"/>
  <c r="FF15" i="93"/>
  <c r="EG15" i="93"/>
  <c r="GW15" i="93"/>
  <c r="GV15" i="93"/>
  <c r="DY15" i="93"/>
  <c r="HE15" i="93"/>
  <c r="FI15" i="93"/>
  <c r="EK15" i="93"/>
  <c r="EA15" i="93"/>
  <c r="HD15" i="93"/>
  <c r="GF15" i="93"/>
  <c r="FH15" i="93"/>
  <c r="EJ15" i="93"/>
  <c r="EH15" i="93"/>
  <c r="HA15" i="93"/>
  <c r="FA15" i="93"/>
  <c r="GU15" i="93"/>
  <c r="HR15" i="93"/>
  <c r="GZ15" i="93"/>
  <c r="GB15" i="93"/>
  <c r="FD15" i="93"/>
  <c r="EF15" i="93"/>
  <c r="GY15" i="93"/>
  <c r="GA15" i="93"/>
  <c r="FC15" i="93"/>
  <c r="EE15" i="93"/>
  <c r="GX15" i="93"/>
  <c r="FZ15" i="93"/>
  <c r="FB15" i="93"/>
  <c r="ED15" i="93"/>
  <c r="DZ15" i="93"/>
  <c r="HP15" i="93"/>
  <c r="GR15" i="93"/>
  <c r="FT15" i="93"/>
  <c r="DX15" i="93"/>
  <c r="HO15" i="93"/>
  <c r="GQ15" i="93"/>
  <c r="FS15" i="93"/>
  <c r="EU15" i="93"/>
  <c r="DW15" i="93"/>
  <c r="HN15" i="93"/>
  <c r="GP15" i="93"/>
  <c r="FR15" i="93"/>
  <c r="ET15" i="93"/>
  <c r="FX15" i="93"/>
  <c r="GS15" i="93"/>
  <c r="HQ13" i="93"/>
  <c r="GS13" i="93"/>
  <c r="FU13" i="93"/>
  <c r="EW13" i="93"/>
  <c r="DY13" i="93"/>
  <c r="HF13" i="93"/>
  <c r="HP13" i="93"/>
  <c r="GR13" i="93"/>
  <c r="FT13" i="93"/>
  <c r="DX13" i="93"/>
  <c r="EK13" i="93"/>
  <c r="GC13" i="93"/>
  <c r="HO13" i="93"/>
  <c r="GQ13" i="93"/>
  <c r="FS13" i="93"/>
  <c r="EU13" i="93"/>
  <c r="DW13" i="93"/>
  <c r="GI13" i="93"/>
  <c r="EL13" i="93"/>
  <c r="GD13" i="93"/>
  <c r="EG13" i="93"/>
  <c r="EE13" i="93"/>
  <c r="GX13" i="93"/>
  <c r="FA13" i="93"/>
  <c r="HN13" i="93"/>
  <c r="GP13" i="93"/>
  <c r="FR13" i="93"/>
  <c r="ET13" i="93"/>
  <c r="FE13" i="93"/>
  <c r="HM13" i="93"/>
  <c r="GO13" i="93"/>
  <c r="FQ13" i="93"/>
  <c r="ES13" i="93"/>
  <c r="HA13" i="93"/>
  <c r="GZ13" i="93"/>
  <c r="FD13" i="93"/>
  <c r="GY13" i="93"/>
  <c r="EC13" i="93"/>
  <c r="HL13" i="93"/>
  <c r="GN13" i="93"/>
  <c r="FP13" i="93"/>
  <c r="ER13" i="93"/>
  <c r="GH13" i="93"/>
  <c r="FZ13" i="93"/>
  <c r="GW13" i="93"/>
  <c r="HK13" i="93"/>
  <c r="GM13" i="93"/>
  <c r="FO13" i="93"/>
  <c r="EQ13" i="93"/>
  <c r="FK13" i="93"/>
  <c r="HE13" i="93"/>
  <c r="FF13" i="93"/>
  <c r="FY13" i="93"/>
  <c r="HJ13" i="93"/>
  <c r="GL13" i="93"/>
  <c r="FN13" i="93"/>
  <c r="EP13" i="93"/>
  <c r="FJ13" i="93"/>
  <c r="HI13" i="93"/>
  <c r="GK13" i="93"/>
  <c r="FM13" i="93"/>
  <c r="EO13" i="93"/>
  <c r="EM13" i="93"/>
  <c r="HB13" i="93"/>
  <c r="GA13" i="93"/>
  <c r="FC13" i="93"/>
  <c r="HH13" i="93"/>
  <c r="GJ13" i="93"/>
  <c r="FL13" i="93"/>
  <c r="EN13" i="93"/>
  <c r="FI13" i="93"/>
  <c r="EH13" i="93"/>
  <c r="GB13" i="93"/>
  <c r="FB13" i="93"/>
  <c r="HD13" i="93"/>
  <c r="GF13" i="93"/>
  <c r="FH13" i="93"/>
  <c r="EJ13" i="93"/>
  <c r="HC13" i="93"/>
  <c r="GE13" i="93"/>
  <c r="FG13" i="93"/>
  <c r="GV13" i="93"/>
  <c r="FX13" i="93"/>
  <c r="EZ13" i="93"/>
  <c r="EB13" i="93"/>
  <c r="HS13" i="93"/>
  <c r="GU13" i="93"/>
  <c r="FW13" i="93"/>
  <c r="EY13" i="93"/>
  <c r="EA13" i="93"/>
  <c r="HR13" i="93"/>
  <c r="FV13" i="93"/>
  <c r="EX13" i="93"/>
  <c r="DZ13" i="93"/>
  <c r="EF13" i="93"/>
  <c r="ED13" i="93"/>
  <c r="HN14" i="93"/>
  <c r="GP14" i="93"/>
  <c r="FR14" i="93"/>
  <c r="ET14" i="93"/>
  <c r="FW14" i="93"/>
  <c r="HM14" i="93"/>
  <c r="GO14" i="93"/>
  <c r="FQ14" i="93"/>
  <c r="ES14" i="93"/>
  <c r="FX14" i="93"/>
  <c r="FV14" i="93"/>
  <c r="HL14" i="93"/>
  <c r="GN14" i="93"/>
  <c r="FP14" i="93"/>
  <c r="ER14" i="93"/>
  <c r="FZ14" i="93"/>
  <c r="ED14" i="93"/>
  <c r="GV14" i="93"/>
  <c r="EX14" i="93"/>
  <c r="HK14" i="93"/>
  <c r="GM14" i="93"/>
  <c r="FO14" i="93"/>
  <c r="EQ14" i="93"/>
  <c r="HJ14" i="93"/>
  <c r="GL14" i="93"/>
  <c r="FN14" i="93"/>
  <c r="EP14" i="93"/>
  <c r="GX14" i="93"/>
  <c r="FA14" i="93"/>
  <c r="EY14" i="93"/>
  <c r="HR14" i="93"/>
  <c r="HI14" i="93"/>
  <c r="GK14" i="93"/>
  <c r="FM14" i="93"/>
  <c r="EO14" i="93"/>
  <c r="GF14" i="93"/>
  <c r="HC14" i="93"/>
  <c r="FY14" i="93"/>
  <c r="HH14" i="93"/>
  <c r="GJ14" i="93"/>
  <c r="FL14" i="93"/>
  <c r="EN14" i="93"/>
  <c r="EJ14" i="93"/>
  <c r="GD14" i="93"/>
  <c r="GU14" i="93"/>
  <c r="GI14" i="93"/>
  <c r="FK14" i="93"/>
  <c r="EM14" i="93"/>
  <c r="FG14" i="93"/>
  <c r="HB14" i="93"/>
  <c r="EH14" i="93"/>
  <c r="HS14" i="93"/>
  <c r="HF14" i="93"/>
  <c r="GH14" i="93"/>
  <c r="FJ14" i="93"/>
  <c r="EL14" i="93"/>
  <c r="FH14" i="93"/>
  <c r="GW14" i="93"/>
  <c r="EB14" i="93"/>
  <c r="HE14" i="93"/>
  <c r="FI14" i="93"/>
  <c r="EK14" i="93"/>
  <c r="HD14" i="93"/>
  <c r="GE14" i="93"/>
  <c r="FF14" i="93"/>
  <c r="EC14" i="93"/>
  <c r="DZ14" i="93"/>
  <c r="HA14" i="93"/>
  <c r="GC14" i="93"/>
  <c r="FE14" i="93"/>
  <c r="EG14" i="93"/>
  <c r="GZ14" i="93"/>
  <c r="GB14" i="93"/>
  <c r="FD14" i="93"/>
  <c r="EF14" i="93"/>
  <c r="GY14" i="93"/>
  <c r="GA14" i="93"/>
  <c r="FC14" i="93"/>
  <c r="EE14" i="93"/>
  <c r="FB14" i="93"/>
  <c r="HQ14" i="93"/>
  <c r="GS14" i="93"/>
  <c r="FU14" i="93"/>
  <c r="EW14" i="93"/>
  <c r="DY14" i="93"/>
  <c r="HP14" i="93"/>
  <c r="GR14" i="93"/>
  <c r="FT14" i="93"/>
  <c r="DX14" i="93"/>
  <c r="HO14" i="93"/>
  <c r="GQ14" i="93"/>
  <c r="FS14" i="93"/>
  <c r="EU14" i="93"/>
  <c r="DW14" i="93"/>
  <c r="EZ14" i="93"/>
  <c r="EA14" i="93"/>
  <c r="HQ13" i="92"/>
  <c r="GS13" i="92"/>
  <c r="FU13" i="92"/>
  <c r="EW13" i="92"/>
  <c r="DY13" i="92"/>
  <c r="FF13" i="92"/>
  <c r="EF13" i="92"/>
  <c r="FC13" i="92"/>
  <c r="EE13" i="92"/>
  <c r="ED13" i="92"/>
  <c r="EZ13" i="92"/>
  <c r="GU13" i="92"/>
  <c r="EA13" i="92"/>
  <c r="HP13" i="92"/>
  <c r="GR13" i="92"/>
  <c r="FT13" i="92"/>
  <c r="DX13" i="92"/>
  <c r="HF13" i="92"/>
  <c r="HB13" i="92"/>
  <c r="GY13" i="92"/>
  <c r="HO13" i="92"/>
  <c r="GQ13" i="92"/>
  <c r="FS13" i="92"/>
  <c r="EU13" i="92"/>
  <c r="DW13" i="92"/>
  <c r="FJ13" i="92"/>
  <c r="GA13" i="92"/>
  <c r="HN13" i="92"/>
  <c r="GP13" i="92"/>
  <c r="FR13" i="92"/>
  <c r="ET13" i="92"/>
  <c r="EL13" i="92"/>
  <c r="GX13" i="92"/>
  <c r="EC13" i="92"/>
  <c r="HM13" i="92"/>
  <c r="GO13" i="92"/>
  <c r="FQ13" i="92"/>
  <c r="ES13" i="92"/>
  <c r="GH13" i="92"/>
  <c r="EH13" i="92"/>
  <c r="FZ13" i="92"/>
  <c r="HL13" i="92"/>
  <c r="GN13" i="92"/>
  <c r="FP13" i="92"/>
  <c r="ER13" i="92"/>
  <c r="GD13" i="92"/>
  <c r="GW13" i="92"/>
  <c r="EX13" i="92"/>
  <c r="HK13" i="92"/>
  <c r="GM13" i="92"/>
  <c r="FO13" i="92"/>
  <c r="EQ13" i="92"/>
  <c r="FL13" i="92"/>
  <c r="FB13" i="92"/>
  <c r="HJ13" i="92"/>
  <c r="GL13" i="92"/>
  <c r="FN13" i="92"/>
  <c r="EP13" i="92"/>
  <c r="HH13" i="92"/>
  <c r="EN13" i="92"/>
  <c r="FW13" i="92"/>
  <c r="HI13" i="92"/>
  <c r="GK13" i="92"/>
  <c r="FM13" i="92"/>
  <c r="EO13" i="92"/>
  <c r="GJ13" i="92"/>
  <c r="FA13" i="92"/>
  <c r="EB13" i="92"/>
  <c r="GI13" i="92"/>
  <c r="FK13" i="92"/>
  <c r="EM13" i="92"/>
  <c r="HE13" i="92"/>
  <c r="FI13" i="92"/>
  <c r="EK13" i="92"/>
  <c r="FG13" i="92"/>
  <c r="HD13" i="92"/>
  <c r="GF13" i="92"/>
  <c r="FH13" i="92"/>
  <c r="EJ13" i="92"/>
  <c r="HC13" i="92"/>
  <c r="GE13" i="92"/>
  <c r="HA13" i="92"/>
  <c r="GC13" i="92"/>
  <c r="FE13" i="92"/>
  <c r="EG13" i="92"/>
  <c r="GZ13" i="92"/>
  <c r="GB13" i="92"/>
  <c r="FD13" i="92"/>
  <c r="FX13" i="92"/>
  <c r="HR13" i="92"/>
  <c r="DZ13" i="92"/>
  <c r="FY13" i="92"/>
  <c r="GV13" i="92"/>
  <c r="HS13" i="92"/>
  <c r="EY13" i="92"/>
  <c r="FV13" i="92"/>
  <c r="HM15" i="92"/>
  <c r="GO15" i="92"/>
  <c r="FQ15" i="92"/>
  <c r="ES15" i="92"/>
  <c r="FF15" i="92"/>
  <c r="HS15" i="92"/>
  <c r="HP15" i="92"/>
  <c r="FS15" i="92"/>
  <c r="GP15" i="92"/>
  <c r="HL15" i="92"/>
  <c r="GN15" i="92"/>
  <c r="FP15" i="92"/>
  <c r="ER15" i="92"/>
  <c r="HB15" i="92"/>
  <c r="GW15" i="92"/>
  <c r="EA15" i="92"/>
  <c r="FV15" i="92"/>
  <c r="FT15" i="92"/>
  <c r="HK15" i="92"/>
  <c r="GM15" i="92"/>
  <c r="FO15" i="92"/>
  <c r="EQ15" i="92"/>
  <c r="HD15" i="92"/>
  <c r="EH15" i="92"/>
  <c r="GQ15" i="92"/>
  <c r="HN15" i="92"/>
  <c r="HJ15" i="92"/>
  <c r="GL15" i="92"/>
  <c r="FN15" i="92"/>
  <c r="EP15" i="92"/>
  <c r="GV15" i="92"/>
  <c r="EY15" i="92"/>
  <c r="DX15" i="92"/>
  <c r="HI15" i="92"/>
  <c r="GK15" i="92"/>
  <c r="FM15" i="92"/>
  <c r="EO15" i="92"/>
  <c r="EB15" i="92"/>
  <c r="FU15" i="92"/>
  <c r="ET15" i="92"/>
  <c r="HH15" i="92"/>
  <c r="GJ15" i="92"/>
  <c r="FL15" i="92"/>
  <c r="EN15" i="92"/>
  <c r="FY15" i="92"/>
  <c r="EW15" i="92"/>
  <c r="GI15" i="92"/>
  <c r="FK15" i="92"/>
  <c r="EM15" i="92"/>
  <c r="GF15" i="92"/>
  <c r="FH15" i="92"/>
  <c r="GD15" i="92"/>
  <c r="FW15" i="92"/>
  <c r="HQ15" i="92"/>
  <c r="HF15" i="92"/>
  <c r="GH15" i="92"/>
  <c r="FJ15" i="92"/>
  <c r="EL15" i="92"/>
  <c r="EC15" i="92"/>
  <c r="HE15" i="92"/>
  <c r="FI15" i="92"/>
  <c r="EK15" i="92"/>
  <c r="EJ15" i="92"/>
  <c r="FX15" i="92"/>
  <c r="HR15" i="92"/>
  <c r="GR15" i="92"/>
  <c r="HO15" i="92"/>
  <c r="HC15" i="92"/>
  <c r="GE15" i="92"/>
  <c r="FG15" i="92"/>
  <c r="EU15" i="92"/>
  <c r="HA15" i="92"/>
  <c r="GC15" i="92"/>
  <c r="FE15" i="92"/>
  <c r="EG15" i="92"/>
  <c r="GY15" i="92"/>
  <c r="EE15" i="92"/>
  <c r="FZ15" i="92"/>
  <c r="FB15" i="92"/>
  <c r="FA15" i="92"/>
  <c r="EZ15" i="92"/>
  <c r="EX15" i="92"/>
  <c r="DY15" i="92"/>
  <c r="DW15" i="92"/>
  <c r="GZ15" i="92"/>
  <c r="GB15" i="92"/>
  <c r="FD15" i="92"/>
  <c r="EF15" i="92"/>
  <c r="GA15" i="92"/>
  <c r="FC15" i="92"/>
  <c r="GX15" i="92"/>
  <c r="ED15" i="92"/>
  <c r="DZ15" i="92"/>
  <c r="GS15" i="92"/>
  <c r="FR15" i="92"/>
  <c r="GU15" i="92"/>
  <c r="GT14" i="91"/>
  <c r="HM15" i="91"/>
  <c r="GO15" i="91"/>
  <c r="FQ15" i="91"/>
  <c r="ES15" i="91"/>
  <c r="GF15" i="91"/>
  <c r="GE15" i="91"/>
  <c r="HL15" i="91"/>
  <c r="GN15" i="91"/>
  <c r="FP15" i="91"/>
  <c r="ER15" i="91"/>
  <c r="HD15" i="91"/>
  <c r="EJ15" i="91"/>
  <c r="FZ15" i="91"/>
  <c r="HK15" i="91"/>
  <c r="GM15" i="91"/>
  <c r="FO15" i="91"/>
  <c r="EQ15" i="91"/>
  <c r="FG15" i="91"/>
  <c r="FB15" i="91"/>
  <c r="HJ15" i="91"/>
  <c r="GL15" i="91"/>
  <c r="FN15" i="91"/>
  <c r="EP15" i="91"/>
  <c r="HI15" i="91"/>
  <c r="GK15" i="91"/>
  <c r="FM15" i="91"/>
  <c r="EO15" i="91"/>
  <c r="GX15" i="91"/>
  <c r="HH15" i="91"/>
  <c r="GJ15" i="91"/>
  <c r="FL15" i="91"/>
  <c r="EN15" i="91"/>
  <c r="GI15" i="91"/>
  <c r="FK15" i="91"/>
  <c r="EM15" i="91"/>
  <c r="HC15" i="91"/>
  <c r="ED15" i="91"/>
  <c r="HF15" i="91"/>
  <c r="GH15" i="91"/>
  <c r="FJ15" i="91"/>
  <c r="EL15" i="91"/>
  <c r="HE15" i="91"/>
  <c r="FI15" i="91"/>
  <c r="EK15" i="91"/>
  <c r="FH15" i="91"/>
  <c r="HB15" i="91"/>
  <c r="GD15" i="91"/>
  <c r="FF15" i="91"/>
  <c r="EH15" i="91"/>
  <c r="HA15" i="91"/>
  <c r="GC15" i="91"/>
  <c r="FE15" i="91"/>
  <c r="EG15" i="91"/>
  <c r="GZ15" i="91"/>
  <c r="GB15" i="91"/>
  <c r="FD15" i="91"/>
  <c r="EF15" i="91"/>
  <c r="GY15" i="91"/>
  <c r="GA15" i="91"/>
  <c r="FC15" i="91"/>
  <c r="EE15" i="91"/>
  <c r="HR15" i="91"/>
  <c r="FV15" i="91"/>
  <c r="EX15" i="91"/>
  <c r="DZ15" i="91"/>
  <c r="HQ15" i="91"/>
  <c r="GS15" i="91"/>
  <c r="FU15" i="91"/>
  <c r="EW15" i="91"/>
  <c r="DY15" i="91"/>
  <c r="HP15" i="91"/>
  <c r="GR15" i="91"/>
  <c r="FT15" i="91"/>
  <c r="DX15" i="91"/>
  <c r="HO15" i="91"/>
  <c r="GQ15" i="91"/>
  <c r="FS15" i="91"/>
  <c r="EU15" i="91"/>
  <c r="DW15" i="91"/>
  <c r="GP15" i="91"/>
  <c r="EZ15" i="91"/>
  <c r="GV15" i="91"/>
  <c r="FY15" i="91"/>
  <c r="FX15" i="91"/>
  <c r="FW15" i="91"/>
  <c r="HN15" i="91"/>
  <c r="FR15" i="91"/>
  <c r="FA15" i="91"/>
  <c r="EB15" i="91"/>
  <c r="EA15" i="91"/>
  <c r="EY15" i="91"/>
  <c r="HS15" i="91"/>
  <c r="GW15" i="91"/>
  <c r="GU15" i="91"/>
  <c r="ET15" i="91"/>
  <c r="EC15" i="91"/>
  <c r="DV14" i="91"/>
  <c r="CX14" i="91" s="1"/>
  <c r="EI14" i="91"/>
  <c r="GG14" i="91"/>
  <c r="HG14" i="91"/>
  <c r="HT14" i="91"/>
  <c r="EV14" i="91"/>
  <c r="HM15" i="90"/>
  <c r="GO15" i="90"/>
  <c r="FQ15" i="90"/>
  <c r="ES15" i="90"/>
  <c r="HL15" i="90"/>
  <c r="GN15" i="90"/>
  <c r="FP15" i="90"/>
  <c r="ER15" i="90"/>
  <c r="HK15" i="90"/>
  <c r="GM15" i="90"/>
  <c r="FO15" i="90"/>
  <c r="EQ15" i="90"/>
  <c r="HJ15" i="90"/>
  <c r="GL15" i="90"/>
  <c r="FN15" i="90"/>
  <c r="EP15" i="90"/>
  <c r="HI15" i="90"/>
  <c r="GK15" i="90"/>
  <c r="FM15" i="90"/>
  <c r="EO15" i="90"/>
  <c r="HB15" i="90"/>
  <c r="FY15" i="90"/>
  <c r="HA15" i="90"/>
  <c r="FX15" i="90"/>
  <c r="EU15" i="90"/>
  <c r="GZ15" i="90"/>
  <c r="FW15" i="90"/>
  <c r="ET15" i="90"/>
  <c r="GY15" i="90"/>
  <c r="FV15" i="90"/>
  <c r="EN15" i="90"/>
  <c r="GX15" i="90"/>
  <c r="FU15" i="90"/>
  <c r="EM15" i="90"/>
  <c r="GW15" i="90"/>
  <c r="FT15" i="90"/>
  <c r="EL15" i="90"/>
  <c r="GQ15" i="90"/>
  <c r="FC15" i="90"/>
  <c r="GP15" i="90"/>
  <c r="FB15" i="90"/>
  <c r="GJ15" i="90"/>
  <c r="FA15" i="90"/>
  <c r="GI15" i="90"/>
  <c r="EZ15" i="90"/>
  <c r="GH15" i="90"/>
  <c r="EY15" i="90"/>
  <c r="EX15" i="90"/>
  <c r="GF15" i="90"/>
  <c r="EW15" i="90"/>
  <c r="HS15" i="90"/>
  <c r="GE15" i="90"/>
  <c r="EK15" i="90"/>
  <c r="GD15" i="90"/>
  <c r="EB15" i="90"/>
  <c r="GC15" i="90"/>
  <c r="EA15" i="90"/>
  <c r="GB15" i="90"/>
  <c r="DZ15" i="90"/>
  <c r="GA15" i="90"/>
  <c r="DY15" i="90"/>
  <c r="FZ15" i="90"/>
  <c r="DX15" i="90"/>
  <c r="FS15" i="90"/>
  <c r="DW15" i="90"/>
  <c r="FR15" i="90"/>
  <c r="FL15" i="90"/>
  <c r="HR15" i="90"/>
  <c r="FK15" i="90"/>
  <c r="HQ15" i="90"/>
  <c r="FJ15" i="90"/>
  <c r="HP15" i="90"/>
  <c r="FI15" i="90"/>
  <c r="HO15" i="90"/>
  <c r="FH15" i="90"/>
  <c r="HN15" i="90"/>
  <c r="FG15" i="90"/>
  <c r="HH15" i="90"/>
  <c r="FF15" i="90"/>
  <c r="FE15" i="90"/>
  <c r="HF15" i="90"/>
  <c r="FD15" i="90"/>
  <c r="HE15" i="90"/>
  <c r="EJ15" i="90"/>
  <c r="HD15" i="90"/>
  <c r="HC15" i="90"/>
  <c r="EH15" i="90"/>
  <c r="GV15" i="90"/>
  <c r="EG15" i="90"/>
  <c r="GU15" i="90"/>
  <c r="EF15" i="90"/>
  <c r="EE15" i="90"/>
  <c r="GS15" i="90"/>
  <c r="ED15" i="90"/>
  <c r="GR15" i="90"/>
  <c r="EC15" i="90"/>
  <c r="HV13" i="90"/>
  <c r="CV13" i="90" s="1"/>
  <c r="HQ13" i="90"/>
  <c r="GS13" i="90"/>
  <c r="FU13" i="90"/>
  <c r="EW13" i="90"/>
  <c r="DY13" i="90"/>
  <c r="HP13" i="90"/>
  <c r="GR13" i="90"/>
  <c r="FT13" i="90"/>
  <c r="DX13" i="90"/>
  <c r="HO13" i="90"/>
  <c r="GQ13" i="90"/>
  <c r="FS13" i="90"/>
  <c r="EU13" i="90"/>
  <c r="DW13" i="90"/>
  <c r="HN13" i="90"/>
  <c r="GP13" i="90"/>
  <c r="FR13" i="90"/>
  <c r="ET13" i="90"/>
  <c r="HA13" i="90"/>
  <c r="FY13" i="90"/>
  <c r="ES13" i="90"/>
  <c r="GZ13" i="90"/>
  <c r="FX13" i="90"/>
  <c r="ER13" i="90"/>
  <c r="GY13" i="90"/>
  <c r="FW13" i="90"/>
  <c r="EQ13" i="90"/>
  <c r="GX13" i="90"/>
  <c r="FV13" i="90"/>
  <c r="EP13" i="90"/>
  <c r="GW13" i="90"/>
  <c r="FQ13" i="90"/>
  <c r="EO13" i="90"/>
  <c r="GV13" i="90"/>
  <c r="HJ13" i="90"/>
  <c r="GB13" i="90"/>
  <c r="EL13" i="90"/>
  <c r="HI13" i="90"/>
  <c r="GA13" i="90"/>
  <c r="EK13" i="90"/>
  <c r="HH13" i="90"/>
  <c r="FZ13" i="90"/>
  <c r="EJ13" i="90"/>
  <c r="FP13" i="90"/>
  <c r="HF13" i="90"/>
  <c r="FO13" i="90"/>
  <c r="EH13" i="90"/>
  <c r="HE13" i="90"/>
  <c r="FN13" i="90"/>
  <c r="EG13" i="90"/>
  <c r="HD13" i="90"/>
  <c r="FM13" i="90"/>
  <c r="EF13" i="90"/>
  <c r="HB13" i="90"/>
  <c r="FD13" i="90"/>
  <c r="GU13" i="90"/>
  <c r="FC13" i="90"/>
  <c r="FB13" i="90"/>
  <c r="GO13" i="90"/>
  <c r="FA13" i="90"/>
  <c r="GN13" i="90"/>
  <c r="EZ13" i="90"/>
  <c r="GM13" i="90"/>
  <c r="EY13" i="90"/>
  <c r="GL13" i="90"/>
  <c r="EX13" i="90"/>
  <c r="GK13" i="90"/>
  <c r="EN13" i="90"/>
  <c r="GJ13" i="90"/>
  <c r="EM13" i="90"/>
  <c r="GI13" i="90"/>
  <c r="EE13" i="90"/>
  <c r="GH13" i="90"/>
  <c r="ED13" i="90"/>
  <c r="EC13" i="90"/>
  <c r="GF13" i="90"/>
  <c r="EB13" i="90"/>
  <c r="GE13" i="90"/>
  <c r="EA13" i="90"/>
  <c r="GD13" i="90"/>
  <c r="DZ13" i="90"/>
  <c r="GC13" i="90"/>
  <c r="FL13" i="90"/>
  <c r="FK13" i="90"/>
  <c r="HS13" i="90"/>
  <c r="FJ13" i="90"/>
  <c r="HR13" i="90"/>
  <c r="FI13" i="90"/>
  <c r="HM13" i="90"/>
  <c r="FH13" i="90"/>
  <c r="HL13" i="90"/>
  <c r="FG13" i="90"/>
  <c r="HK13" i="90"/>
  <c r="FF13" i="90"/>
  <c r="HC13" i="90"/>
  <c r="FE13" i="90"/>
  <c r="IJ14" i="90"/>
  <c r="CW14" i="90" s="1"/>
  <c r="CZ14" i="90" s="1"/>
  <c r="GG15" i="89"/>
  <c r="GT15" i="89"/>
  <c r="HQ13" i="89"/>
  <c r="GS13" i="89"/>
  <c r="FU13" i="89"/>
  <c r="EW13" i="89"/>
  <c r="DY13" i="89"/>
  <c r="GK13" i="89"/>
  <c r="FK13" i="89"/>
  <c r="HF13" i="89"/>
  <c r="HP13" i="89"/>
  <c r="GR13" i="89"/>
  <c r="FT13" i="89"/>
  <c r="DX13" i="89"/>
  <c r="FM13" i="89"/>
  <c r="GH13" i="89"/>
  <c r="GV13" i="89"/>
  <c r="HO13" i="89"/>
  <c r="GQ13" i="89"/>
  <c r="FS13" i="89"/>
  <c r="EU13" i="89"/>
  <c r="DW13" i="89"/>
  <c r="FX13" i="89"/>
  <c r="HN13" i="89"/>
  <c r="GP13" i="89"/>
  <c r="FR13" i="89"/>
  <c r="ET13" i="89"/>
  <c r="GI13" i="89"/>
  <c r="EM13" i="89"/>
  <c r="HE13" i="89"/>
  <c r="HS13" i="89"/>
  <c r="EY13" i="89"/>
  <c r="HM13" i="89"/>
  <c r="GO13" i="89"/>
  <c r="FQ13" i="89"/>
  <c r="ES13" i="89"/>
  <c r="GJ13" i="89"/>
  <c r="FJ13" i="89"/>
  <c r="FI13" i="89"/>
  <c r="EZ13" i="89"/>
  <c r="GU13" i="89"/>
  <c r="EA13" i="89"/>
  <c r="HL13" i="89"/>
  <c r="GN13" i="89"/>
  <c r="FP13" i="89"/>
  <c r="ER13" i="89"/>
  <c r="EO13" i="89"/>
  <c r="HH13" i="89"/>
  <c r="EN13" i="89"/>
  <c r="EL13" i="89"/>
  <c r="EK13" i="89"/>
  <c r="HK13" i="89"/>
  <c r="GM13" i="89"/>
  <c r="FO13" i="89"/>
  <c r="EQ13" i="89"/>
  <c r="HI13" i="89"/>
  <c r="HJ13" i="89"/>
  <c r="GL13" i="89"/>
  <c r="FN13" i="89"/>
  <c r="EP13" i="89"/>
  <c r="FL13" i="89"/>
  <c r="HD13" i="89"/>
  <c r="GF13" i="89"/>
  <c r="FH13" i="89"/>
  <c r="EJ13" i="89"/>
  <c r="HC13" i="89"/>
  <c r="GE13" i="89"/>
  <c r="FG13" i="89"/>
  <c r="GZ13" i="89"/>
  <c r="GB13" i="89"/>
  <c r="FD13" i="89"/>
  <c r="EF13" i="89"/>
  <c r="GX13" i="89"/>
  <c r="FZ13" i="89"/>
  <c r="FB13" i="89"/>
  <c r="ED13" i="89"/>
  <c r="FA13" i="89"/>
  <c r="EB13" i="89"/>
  <c r="FW13" i="89"/>
  <c r="HB13" i="89"/>
  <c r="GD13" i="89"/>
  <c r="FF13" i="89"/>
  <c r="EH13" i="89"/>
  <c r="HA13" i="89"/>
  <c r="GC13" i="89"/>
  <c r="FE13" i="89"/>
  <c r="EG13" i="89"/>
  <c r="GY13" i="89"/>
  <c r="GA13" i="89"/>
  <c r="FC13" i="89"/>
  <c r="EE13" i="89"/>
  <c r="GW13" i="89"/>
  <c r="FY13" i="89"/>
  <c r="EC13" i="89"/>
  <c r="FV13" i="89"/>
  <c r="HR13" i="89"/>
  <c r="EX13" i="89"/>
  <c r="DZ13" i="89"/>
  <c r="EI15" i="89"/>
  <c r="DV15" i="89"/>
  <c r="CX15" i="89" s="1"/>
  <c r="HN14" i="89"/>
  <c r="GP14" i="89"/>
  <c r="FR14" i="89"/>
  <c r="ET14" i="89"/>
  <c r="FH14" i="89"/>
  <c r="FU14" i="89"/>
  <c r="HM14" i="89"/>
  <c r="GO14" i="89"/>
  <c r="FQ14" i="89"/>
  <c r="ES14" i="89"/>
  <c r="HF14" i="89"/>
  <c r="EL14" i="89"/>
  <c r="EW14" i="89"/>
  <c r="GR14" i="89"/>
  <c r="HL14" i="89"/>
  <c r="GN14" i="89"/>
  <c r="FP14" i="89"/>
  <c r="ER14" i="89"/>
  <c r="HC14" i="89"/>
  <c r="FG14" i="89"/>
  <c r="FF14" i="89"/>
  <c r="GS14" i="89"/>
  <c r="HK14" i="89"/>
  <c r="GM14" i="89"/>
  <c r="FO14" i="89"/>
  <c r="EQ14" i="89"/>
  <c r="HD14" i="89"/>
  <c r="GF14" i="89"/>
  <c r="GD14" i="89"/>
  <c r="HQ14" i="89"/>
  <c r="HP14" i="89"/>
  <c r="DW14" i="89"/>
  <c r="HJ14" i="89"/>
  <c r="GL14" i="89"/>
  <c r="FN14" i="89"/>
  <c r="EP14" i="89"/>
  <c r="GH14" i="89"/>
  <c r="FJ14" i="89"/>
  <c r="GE14" i="89"/>
  <c r="HB14" i="89"/>
  <c r="DY14" i="89"/>
  <c r="FT14" i="89"/>
  <c r="GQ14" i="89"/>
  <c r="HI14" i="89"/>
  <c r="GK14" i="89"/>
  <c r="FM14" i="89"/>
  <c r="EO14" i="89"/>
  <c r="HE14" i="89"/>
  <c r="EK14" i="89"/>
  <c r="EJ14" i="89"/>
  <c r="EH14" i="89"/>
  <c r="FS14" i="89"/>
  <c r="HH14" i="89"/>
  <c r="GJ14" i="89"/>
  <c r="FL14" i="89"/>
  <c r="EN14" i="89"/>
  <c r="GI14" i="89"/>
  <c r="FK14" i="89"/>
  <c r="EM14" i="89"/>
  <c r="FI14" i="89"/>
  <c r="HA14" i="89"/>
  <c r="GC14" i="89"/>
  <c r="FE14" i="89"/>
  <c r="EG14" i="89"/>
  <c r="GZ14" i="89"/>
  <c r="GB14" i="89"/>
  <c r="FD14" i="89"/>
  <c r="EF14" i="89"/>
  <c r="GW14" i="89"/>
  <c r="FY14" i="89"/>
  <c r="FA14" i="89"/>
  <c r="EC14" i="89"/>
  <c r="FX14" i="89"/>
  <c r="EY14" i="89"/>
  <c r="HR14" i="89"/>
  <c r="FV14" i="89"/>
  <c r="EX14" i="89"/>
  <c r="DX14" i="89"/>
  <c r="EU14" i="89"/>
  <c r="GY14" i="89"/>
  <c r="GA14" i="89"/>
  <c r="FC14" i="89"/>
  <c r="EE14" i="89"/>
  <c r="GX14" i="89"/>
  <c r="FZ14" i="89"/>
  <c r="FB14" i="89"/>
  <c r="ED14" i="89"/>
  <c r="GV14" i="89"/>
  <c r="EZ14" i="89"/>
  <c r="EB14" i="89"/>
  <c r="HS14" i="89"/>
  <c r="GU14" i="89"/>
  <c r="FW14" i="89"/>
  <c r="EA14" i="89"/>
  <c r="DZ14" i="89"/>
  <c r="HO14" i="89"/>
  <c r="EV15" i="89"/>
  <c r="HG15" i="89"/>
  <c r="HT15" i="89"/>
  <c r="EV13" i="88"/>
  <c r="HN14" i="88"/>
  <c r="GP14" i="88"/>
  <c r="FR14" i="88"/>
  <c r="ET14" i="88"/>
  <c r="FF14" i="88"/>
  <c r="HM14" i="88"/>
  <c r="GO14" i="88"/>
  <c r="FQ14" i="88"/>
  <c r="ES14" i="88"/>
  <c r="EH14" i="88"/>
  <c r="HL14" i="88"/>
  <c r="GN14" i="88"/>
  <c r="FP14" i="88"/>
  <c r="ER14" i="88"/>
  <c r="HK14" i="88"/>
  <c r="GM14" i="88"/>
  <c r="FO14" i="88"/>
  <c r="EQ14" i="88"/>
  <c r="HJ14" i="88"/>
  <c r="GL14" i="88"/>
  <c r="FN14" i="88"/>
  <c r="EP14" i="88"/>
  <c r="HI14" i="88"/>
  <c r="GK14" i="88"/>
  <c r="FM14" i="88"/>
  <c r="EO14" i="88"/>
  <c r="HD14" i="88"/>
  <c r="EC14" i="88"/>
  <c r="HH14" i="88"/>
  <c r="GJ14" i="88"/>
  <c r="FL14" i="88"/>
  <c r="EN14" i="88"/>
  <c r="FH14" i="88"/>
  <c r="HB14" i="88"/>
  <c r="GW14" i="88"/>
  <c r="GI14" i="88"/>
  <c r="FK14" i="88"/>
  <c r="EM14" i="88"/>
  <c r="GF14" i="88"/>
  <c r="GX14" i="88"/>
  <c r="HF14" i="88"/>
  <c r="GH14" i="88"/>
  <c r="FJ14" i="88"/>
  <c r="EL14" i="88"/>
  <c r="EJ14" i="88"/>
  <c r="HE14" i="88"/>
  <c r="FI14" i="88"/>
  <c r="EK14" i="88"/>
  <c r="GD14" i="88"/>
  <c r="FY14" i="88"/>
  <c r="HC14" i="88"/>
  <c r="GE14" i="88"/>
  <c r="FG14" i="88"/>
  <c r="HA14" i="88"/>
  <c r="GC14" i="88"/>
  <c r="FE14" i="88"/>
  <c r="EG14" i="88"/>
  <c r="GZ14" i="88"/>
  <c r="GB14" i="88"/>
  <c r="FD14" i="88"/>
  <c r="EF14" i="88"/>
  <c r="GY14" i="88"/>
  <c r="GA14" i="88"/>
  <c r="FC14" i="88"/>
  <c r="EE14" i="88"/>
  <c r="FZ14" i="88"/>
  <c r="FB14" i="88"/>
  <c r="ED14" i="88"/>
  <c r="FA14" i="88"/>
  <c r="HS14" i="88"/>
  <c r="GU14" i="88"/>
  <c r="FW14" i="88"/>
  <c r="EY14" i="88"/>
  <c r="EA14" i="88"/>
  <c r="HR14" i="88"/>
  <c r="FV14" i="88"/>
  <c r="EX14" i="88"/>
  <c r="DZ14" i="88"/>
  <c r="HQ14" i="88"/>
  <c r="GS14" i="88"/>
  <c r="FU14" i="88"/>
  <c r="EW14" i="88"/>
  <c r="DY14" i="88"/>
  <c r="HP14" i="88"/>
  <c r="GR14" i="88"/>
  <c r="FT14" i="88"/>
  <c r="DX14" i="88"/>
  <c r="HO14" i="88"/>
  <c r="GV14" i="88"/>
  <c r="GQ14" i="88"/>
  <c r="FX14" i="88"/>
  <c r="FS14" i="88"/>
  <c r="EZ14" i="88"/>
  <c r="EU14" i="88"/>
  <c r="EB14" i="88"/>
  <c r="DW14" i="88"/>
  <c r="HM15" i="88"/>
  <c r="GO15" i="88"/>
  <c r="FQ15" i="88"/>
  <c r="ES15" i="88"/>
  <c r="FG15" i="88"/>
  <c r="FE15" i="88"/>
  <c r="HL15" i="88"/>
  <c r="GN15" i="88"/>
  <c r="FP15" i="88"/>
  <c r="ER15" i="88"/>
  <c r="GC15" i="88"/>
  <c r="HK15" i="88"/>
  <c r="GM15" i="88"/>
  <c r="FO15" i="88"/>
  <c r="EQ15" i="88"/>
  <c r="EG15" i="88"/>
  <c r="HJ15" i="88"/>
  <c r="GL15" i="88"/>
  <c r="FN15" i="88"/>
  <c r="EP15" i="88"/>
  <c r="FY15" i="88"/>
  <c r="HI15" i="88"/>
  <c r="GK15" i="88"/>
  <c r="FM15" i="88"/>
  <c r="EO15" i="88"/>
  <c r="GW15" i="88"/>
  <c r="HH15" i="88"/>
  <c r="GJ15" i="88"/>
  <c r="FL15" i="88"/>
  <c r="EN15" i="88"/>
  <c r="HA15" i="88"/>
  <c r="EC15" i="88"/>
  <c r="GV15" i="88"/>
  <c r="GI15" i="88"/>
  <c r="FK15" i="88"/>
  <c r="EM15" i="88"/>
  <c r="HF15" i="88"/>
  <c r="GH15" i="88"/>
  <c r="FJ15" i="88"/>
  <c r="EL15" i="88"/>
  <c r="EB15" i="88"/>
  <c r="HE15" i="88"/>
  <c r="FI15" i="88"/>
  <c r="EK15" i="88"/>
  <c r="HC15" i="88"/>
  <c r="EZ15" i="88"/>
  <c r="HD15" i="88"/>
  <c r="GF15" i="88"/>
  <c r="FH15" i="88"/>
  <c r="EJ15" i="88"/>
  <c r="GE15" i="88"/>
  <c r="FA15" i="88"/>
  <c r="HB15" i="88"/>
  <c r="GD15" i="88"/>
  <c r="FF15" i="88"/>
  <c r="EH15" i="88"/>
  <c r="GZ15" i="88"/>
  <c r="GB15" i="88"/>
  <c r="FD15" i="88"/>
  <c r="EF15" i="88"/>
  <c r="GY15" i="88"/>
  <c r="GA15" i="88"/>
  <c r="FC15" i="88"/>
  <c r="EE15" i="88"/>
  <c r="GX15" i="88"/>
  <c r="FZ15" i="88"/>
  <c r="FB15" i="88"/>
  <c r="ED15" i="88"/>
  <c r="FX15" i="88"/>
  <c r="HR15" i="88"/>
  <c r="FV15" i="88"/>
  <c r="EX15" i="88"/>
  <c r="DZ15" i="88"/>
  <c r="HQ15" i="88"/>
  <c r="GS15" i="88"/>
  <c r="FU15" i="88"/>
  <c r="EW15" i="88"/>
  <c r="DY15" i="88"/>
  <c r="HP15" i="88"/>
  <c r="GR15" i="88"/>
  <c r="FT15" i="88"/>
  <c r="DX15" i="88"/>
  <c r="HO15" i="88"/>
  <c r="GQ15" i="88"/>
  <c r="FS15" i="88"/>
  <c r="EU15" i="88"/>
  <c r="DW15" i="88"/>
  <c r="HN15" i="88"/>
  <c r="GP15" i="88"/>
  <c r="FR15" i="88"/>
  <c r="ET15" i="88"/>
  <c r="HS15" i="88"/>
  <c r="GU15" i="88"/>
  <c r="FW15" i="88"/>
  <c r="EY15" i="88"/>
  <c r="EA15" i="88"/>
  <c r="HG13" i="87"/>
  <c r="HN14" i="87"/>
  <c r="GP14" i="87"/>
  <c r="FR14" i="87"/>
  <c r="ET14" i="87"/>
  <c r="FA14" i="87"/>
  <c r="HM14" i="87"/>
  <c r="GO14" i="87"/>
  <c r="FQ14" i="87"/>
  <c r="ES14" i="87"/>
  <c r="HH14" i="87"/>
  <c r="GI14" i="87"/>
  <c r="HF14" i="87"/>
  <c r="GH14" i="87"/>
  <c r="EL14" i="87"/>
  <c r="EJ14" i="87"/>
  <c r="EG14" i="87"/>
  <c r="FD14" i="87"/>
  <c r="GY14" i="87"/>
  <c r="GX14" i="87"/>
  <c r="FB14" i="87"/>
  <c r="ED14" i="87"/>
  <c r="GW14" i="87"/>
  <c r="HL14" i="87"/>
  <c r="GN14" i="87"/>
  <c r="FP14" i="87"/>
  <c r="ER14" i="87"/>
  <c r="FM14" i="87"/>
  <c r="GJ14" i="87"/>
  <c r="FJ14" i="87"/>
  <c r="EH14" i="87"/>
  <c r="HA14" i="87"/>
  <c r="FE14" i="87"/>
  <c r="GV14" i="87"/>
  <c r="FX14" i="87"/>
  <c r="EB14" i="87"/>
  <c r="HK14" i="87"/>
  <c r="GM14" i="87"/>
  <c r="FO14" i="87"/>
  <c r="EQ14" i="87"/>
  <c r="HI14" i="87"/>
  <c r="FL14" i="87"/>
  <c r="FK14" i="87"/>
  <c r="HE14" i="87"/>
  <c r="FI14" i="87"/>
  <c r="GF14" i="87"/>
  <c r="GE14" i="87"/>
  <c r="GD14" i="87"/>
  <c r="GB14" i="87"/>
  <c r="FC14" i="87"/>
  <c r="EE14" i="87"/>
  <c r="HJ14" i="87"/>
  <c r="GL14" i="87"/>
  <c r="FN14" i="87"/>
  <c r="EP14" i="87"/>
  <c r="GK14" i="87"/>
  <c r="EO14" i="87"/>
  <c r="EN14" i="87"/>
  <c r="EM14" i="87"/>
  <c r="EK14" i="87"/>
  <c r="HD14" i="87"/>
  <c r="FH14" i="87"/>
  <c r="HC14" i="87"/>
  <c r="FG14" i="87"/>
  <c r="HB14" i="87"/>
  <c r="FF14" i="87"/>
  <c r="GC14" i="87"/>
  <c r="GZ14" i="87"/>
  <c r="EF14" i="87"/>
  <c r="GA14" i="87"/>
  <c r="FZ14" i="87"/>
  <c r="FY14" i="87"/>
  <c r="EC14" i="87"/>
  <c r="EZ14" i="87"/>
  <c r="EX14" i="87"/>
  <c r="EW14" i="87"/>
  <c r="HS14" i="87"/>
  <c r="HR14" i="87"/>
  <c r="HQ14" i="87"/>
  <c r="HP14" i="87"/>
  <c r="HO14" i="87"/>
  <c r="GU14" i="87"/>
  <c r="GS14" i="87"/>
  <c r="GR14" i="87"/>
  <c r="GQ14" i="87"/>
  <c r="FV14" i="87"/>
  <c r="FU14" i="87"/>
  <c r="FT14" i="87"/>
  <c r="FS14" i="87"/>
  <c r="EY14" i="87"/>
  <c r="EA14" i="87"/>
  <c r="DW14" i="87"/>
  <c r="FW14" i="87"/>
  <c r="EU14" i="87"/>
  <c r="DZ14" i="87"/>
  <c r="DY14" i="87"/>
  <c r="DX14" i="87"/>
  <c r="HM15" i="87"/>
  <c r="GO15" i="87"/>
  <c r="FQ15" i="87"/>
  <c r="ES15" i="87"/>
  <c r="GJ15" i="87"/>
  <c r="GI15" i="87"/>
  <c r="GH15" i="87"/>
  <c r="GF15" i="87"/>
  <c r="GE15" i="87"/>
  <c r="GD15" i="87"/>
  <c r="GC15" i="87"/>
  <c r="GB15" i="87"/>
  <c r="GA15" i="87"/>
  <c r="GX15" i="87"/>
  <c r="ED15" i="87"/>
  <c r="FW15" i="87"/>
  <c r="HL15" i="87"/>
  <c r="GN15" i="87"/>
  <c r="FP15" i="87"/>
  <c r="ER15" i="87"/>
  <c r="HF15" i="87"/>
  <c r="FJ15" i="87"/>
  <c r="EJ15" i="87"/>
  <c r="EE15" i="87"/>
  <c r="FZ15" i="87"/>
  <c r="FY15" i="87"/>
  <c r="FX15" i="87"/>
  <c r="HK15" i="87"/>
  <c r="GM15" i="87"/>
  <c r="FO15" i="87"/>
  <c r="EQ15" i="87"/>
  <c r="HH15" i="87"/>
  <c r="FK15" i="87"/>
  <c r="HD15" i="87"/>
  <c r="FE15" i="87"/>
  <c r="EC15" i="87"/>
  <c r="EZ15" i="87"/>
  <c r="GU15" i="87"/>
  <c r="HJ15" i="87"/>
  <c r="GL15" i="87"/>
  <c r="FN15" i="87"/>
  <c r="EP15" i="87"/>
  <c r="EM15" i="87"/>
  <c r="HB15" i="87"/>
  <c r="FF15" i="87"/>
  <c r="HA15" i="87"/>
  <c r="GZ15" i="87"/>
  <c r="FD15" i="87"/>
  <c r="FB15" i="87"/>
  <c r="GW15" i="87"/>
  <c r="FA15" i="87"/>
  <c r="GV15" i="87"/>
  <c r="HS15" i="87"/>
  <c r="HI15" i="87"/>
  <c r="GK15" i="87"/>
  <c r="FM15" i="87"/>
  <c r="EO15" i="87"/>
  <c r="FL15" i="87"/>
  <c r="EN15" i="87"/>
  <c r="EL15" i="87"/>
  <c r="HE15" i="87"/>
  <c r="FI15" i="87"/>
  <c r="EK15" i="87"/>
  <c r="FH15" i="87"/>
  <c r="HC15" i="87"/>
  <c r="FG15" i="87"/>
  <c r="EH15" i="87"/>
  <c r="EG15" i="87"/>
  <c r="EF15" i="87"/>
  <c r="GY15" i="87"/>
  <c r="FC15" i="87"/>
  <c r="EB15" i="87"/>
  <c r="EY15" i="87"/>
  <c r="EA15" i="87"/>
  <c r="EX15" i="87"/>
  <c r="HQ15" i="87"/>
  <c r="GQ15" i="87"/>
  <c r="GP15" i="87"/>
  <c r="FV15" i="87"/>
  <c r="DZ15" i="87"/>
  <c r="DW15" i="87"/>
  <c r="HP15" i="87"/>
  <c r="HO15" i="87"/>
  <c r="FU15" i="87"/>
  <c r="FT15" i="87"/>
  <c r="FR15" i="87"/>
  <c r="HN15" i="87"/>
  <c r="FS15" i="87"/>
  <c r="EW15" i="87"/>
  <c r="ET15" i="87"/>
  <c r="DX15" i="87"/>
  <c r="HR15" i="87"/>
  <c r="GS15" i="87"/>
  <c r="GR15" i="87"/>
  <c r="EU15" i="87"/>
  <c r="DY15" i="87"/>
  <c r="HQ13" i="86"/>
  <c r="GS13" i="86"/>
  <c r="FU13" i="86"/>
  <c r="EW13" i="86"/>
  <c r="DY13" i="86"/>
  <c r="HL13" i="86"/>
  <c r="FP13" i="86"/>
  <c r="FN13" i="86"/>
  <c r="FL13" i="86"/>
  <c r="GI13" i="86"/>
  <c r="HF13" i="86"/>
  <c r="HE13" i="86"/>
  <c r="EJ13" i="86"/>
  <c r="HP13" i="86"/>
  <c r="GR13" i="86"/>
  <c r="FT13" i="86"/>
  <c r="DX13" i="86"/>
  <c r="ER13" i="86"/>
  <c r="HO13" i="86"/>
  <c r="GQ13" i="86"/>
  <c r="FS13" i="86"/>
  <c r="EU13" i="86"/>
  <c r="DW13" i="86"/>
  <c r="GN13" i="86"/>
  <c r="HK13" i="86"/>
  <c r="EQ13" i="86"/>
  <c r="HH13" i="86"/>
  <c r="EN13" i="86"/>
  <c r="GH13" i="86"/>
  <c r="EL13" i="86"/>
  <c r="FI13" i="86"/>
  <c r="GE13" i="86"/>
  <c r="HN13" i="86"/>
  <c r="GP13" i="86"/>
  <c r="FR13" i="86"/>
  <c r="ET13" i="86"/>
  <c r="GM13" i="86"/>
  <c r="HI13" i="86"/>
  <c r="FM13" i="86"/>
  <c r="FK13" i="86"/>
  <c r="FJ13" i="86"/>
  <c r="GF13" i="86"/>
  <c r="FH13" i="86"/>
  <c r="FG13" i="86"/>
  <c r="GD13" i="86"/>
  <c r="FF13" i="86"/>
  <c r="EH13" i="86"/>
  <c r="HA13" i="86"/>
  <c r="GC13" i="86"/>
  <c r="FE13" i="86"/>
  <c r="EG13" i="86"/>
  <c r="HM13" i="86"/>
  <c r="GO13" i="86"/>
  <c r="FQ13" i="86"/>
  <c r="ES13" i="86"/>
  <c r="FO13" i="86"/>
  <c r="HJ13" i="86"/>
  <c r="GL13" i="86"/>
  <c r="EP13" i="86"/>
  <c r="GK13" i="86"/>
  <c r="EO13" i="86"/>
  <c r="GJ13" i="86"/>
  <c r="EM13" i="86"/>
  <c r="EK13" i="86"/>
  <c r="HD13" i="86"/>
  <c r="HC13" i="86"/>
  <c r="HB13" i="86"/>
  <c r="GA13" i="86"/>
  <c r="FD13" i="86"/>
  <c r="FC13" i="86"/>
  <c r="FB13" i="86"/>
  <c r="EC13" i="86"/>
  <c r="GW13" i="86"/>
  <c r="GV13" i="86"/>
  <c r="FZ13" i="86"/>
  <c r="FY13" i="86"/>
  <c r="FX13" i="86"/>
  <c r="FW13" i="86"/>
  <c r="FV13" i="86"/>
  <c r="FA13" i="86"/>
  <c r="EY13" i="86"/>
  <c r="EX13" i="86"/>
  <c r="EF13" i="86"/>
  <c r="HS13" i="86"/>
  <c r="HR13" i="86"/>
  <c r="GZ13" i="86"/>
  <c r="GY13" i="86"/>
  <c r="EA13" i="86"/>
  <c r="DZ13" i="86"/>
  <c r="GU13" i="86"/>
  <c r="GB13" i="86"/>
  <c r="EZ13" i="86"/>
  <c r="EE13" i="86"/>
  <c r="ED13" i="86"/>
  <c r="EB13" i="86"/>
  <c r="GX13" i="86"/>
  <c r="HM15" i="86"/>
  <c r="GO15" i="86"/>
  <c r="FQ15" i="86"/>
  <c r="ES15" i="86"/>
  <c r="EN15" i="86"/>
  <c r="EM15" i="86"/>
  <c r="EJ15" i="86"/>
  <c r="HC15" i="86"/>
  <c r="HB15" i="86"/>
  <c r="EG15" i="86"/>
  <c r="FD15" i="86"/>
  <c r="FC15" i="86"/>
  <c r="GX15" i="86"/>
  <c r="FB15" i="86"/>
  <c r="ED15" i="86"/>
  <c r="HL15" i="86"/>
  <c r="GN15" i="86"/>
  <c r="FP15" i="86"/>
  <c r="ER15" i="86"/>
  <c r="GI15" i="86"/>
  <c r="GH15" i="86"/>
  <c r="HD15" i="86"/>
  <c r="GE15" i="86"/>
  <c r="GD15" i="86"/>
  <c r="GC15" i="86"/>
  <c r="GB15" i="86"/>
  <c r="GA15" i="86"/>
  <c r="FZ15" i="86"/>
  <c r="HK15" i="86"/>
  <c r="GM15" i="86"/>
  <c r="FO15" i="86"/>
  <c r="EQ15" i="86"/>
  <c r="HH15" i="86"/>
  <c r="GJ15" i="86"/>
  <c r="FK15" i="86"/>
  <c r="EL15" i="86"/>
  <c r="EE15" i="86"/>
  <c r="HJ15" i="86"/>
  <c r="GL15" i="86"/>
  <c r="FN15" i="86"/>
  <c r="EP15" i="86"/>
  <c r="FL15" i="86"/>
  <c r="FJ15" i="86"/>
  <c r="HE15" i="86"/>
  <c r="EK15" i="86"/>
  <c r="GF15" i="86"/>
  <c r="FG15" i="86"/>
  <c r="FF15" i="86"/>
  <c r="EH15" i="86"/>
  <c r="GZ15" i="86"/>
  <c r="FY15" i="86"/>
  <c r="FA15" i="86"/>
  <c r="EC15" i="86"/>
  <c r="GV15" i="86"/>
  <c r="FX15" i="86"/>
  <c r="EZ15" i="86"/>
  <c r="HI15" i="86"/>
  <c r="GK15" i="86"/>
  <c r="FM15" i="86"/>
  <c r="EO15" i="86"/>
  <c r="HF15" i="86"/>
  <c r="FI15" i="86"/>
  <c r="FH15" i="86"/>
  <c r="HA15" i="86"/>
  <c r="FE15" i="86"/>
  <c r="EF15" i="86"/>
  <c r="GY15" i="86"/>
  <c r="EB15" i="86"/>
  <c r="HR15" i="86"/>
  <c r="EA15" i="86"/>
  <c r="GW15" i="86"/>
  <c r="FS15" i="86"/>
  <c r="EW15" i="86"/>
  <c r="HS15" i="86"/>
  <c r="HQ15" i="86"/>
  <c r="DZ15" i="86"/>
  <c r="DW15" i="86"/>
  <c r="GR15" i="86"/>
  <c r="GP15" i="86"/>
  <c r="FV15" i="86"/>
  <c r="FU15" i="86"/>
  <c r="EY15" i="86"/>
  <c r="HP15" i="86"/>
  <c r="DY15" i="86"/>
  <c r="GQ15" i="86"/>
  <c r="ET15" i="86"/>
  <c r="HO15" i="86"/>
  <c r="DX15" i="86"/>
  <c r="HN15" i="86"/>
  <c r="GU15" i="86"/>
  <c r="GS15" i="86"/>
  <c r="FW15" i="86"/>
  <c r="FT15" i="86"/>
  <c r="FR15" i="86"/>
  <c r="EX15" i="86"/>
  <c r="EU15" i="86"/>
  <c r="HQ13" i="85"/>
  <c r="GS13" i="85"/>
  <c r="FU13" i="85"/>
  <c r="EW13" i="85"/>
  <c r="DY13" i="85"/>
  <c r="FN13" i="85"/>
  <c r="HH13" i="85"/>
  <c r="FL13" i="85"/>
  <c r="GI13" i="85"/>
  <c r="EM13" i="85"/>
  <c r="GH13" i="85"/>
  <c r="EL13" i="85"/>
  <c r="GD13" i="85"/>
  <c r="HA13" i="85"/>
  <c r="FE13" i="85"/>
  <c r="GZ13" i="85"/>
  <c r="ED13" i="85"/>
  <c r="FA13" i="85"/>
  <c r="HP13" i="85"/>
  <c r="GR13" i="85"/>
  <c r="FT13" i="85"/>
  <c r="DX13" i="85"/>
  <c r="EP13" i="85"/>
  <c r="GK13" i="85"/>
  <c r="EO13" i="85"/>
  <c r="HE13" i="85"/>
  <c r="EK13" i="85"/>
  <c r="EF13" i="85"/>
  <c r="GY13" i="85"/>
  <c r="FC13" i="85"/>
  <c r="FB13" i="85"/>
  <c r="HO13" i="85"/>
  <c r="GQ13" i="85"/>
  <c r="FS13" i="85"/>
  <c r="EU13" i="85"/>
  <c r="DW13" i="85"/>
  <c r="HM13" i="85"/>
  <c r="ES13" i="85"/>
  <c r="FK13" i="85"/>
  <c r="HF13" i="85"/>
  <c r="FF13" i="85"/>
  <c r="HN13" i="85"/>
  <c r="GP13" i="85"/>
  <c r="FR13" i="85"/>
  <c r="ET13" i="85"/>
  <c r="GO13" i="85"/>
  <c r="FQ13" i="85"/>
  <c r="GL13" i="85"/>
  <c r="HI13" i="85"/>
  <c r="FM13" i="85"/>
  <c r="GJ13" i="85"/>
  <c r="EN13" i="85"/>
  <c r="FI13" i="85"/>
  <c r="EG13" i="85"/>
  <c r="FY13" i="85"/>
  <c r="EC13" i="85"/>
  <c r="HL13" i="85"/>
  <c r="GN13" i="85"/>
  <c r="FP13" i="85"/>
  <c r="ER13" i="85"/>
  <c r="HK13" i="85"/>
  <c r="GM13" i="85"/>
  <c r="FO13" i="85"/>
  <c r="EQ13" i="85"/>
  <c r="HJ13" i="85"/>
  <c r="FJ13" i="85"/>
  <c r="HB13" i="85"/>
  <c r="EH13" i="85"/>
  <c r="EE13" i="85"/>
  <c r="GX13" i="85"/>
  <c r="GW13" i="85"/>
  <c r="HD13" i="85"/>
  <c r="GF13" i="85"/>
  <c r="FH13" i="85"/>
  <c r="EJ13" i="85"/>
  <c r="HC13" i="85"/>
  <c r="GE13" i="85"/>
  <c r="FG13" i="85"/>
  <c r="GC13" i="85"/>
  <c r="FD13" i="85"/>
  <c r="GV13" i="85"/>
  <c r="FX13" i="85"/>
  <c r="EZ13" i="85"/>
  <c r="EB13" i="85"/>
  <c r="HS13" i="85"/>
  <c r="GU13" i="85"/>
  <c r="FW13" i="85"/>
  <c r="EY13" i="85"/>
  <c r="EA13" i="85"/>
  <c r="HR13" i="85"/>
  <c r="FV13" i="85"/>
  <c r="EX13" i="85"/>
  <c r="DZ13" i="85"/>
  <c r="GB13" i="85"/>
  <c r="GA13" i="85"/>
  <c r="FZ13" i="85"/>
  <c r="HN14" i="85"/>
  <c r="GP14" i="85"/>
  <c r="FR14" i="85"/>
  <c r="ET14" i="85"/>
  <c r="FN14" i="85"/>
  <c r="EM14" i="85"/>
  <c r="HE14" i="85"/>
  <c r="EK14" i="85"/>
  <c r="HD14" i="85"/>
  <c r="EJ14" i="85"/>
  <c r="HB14" i="85"/>
  <c r="FC14" i="85"/>
  <c r="GX14" i="85"/>
  <c r="FZ14" i="85"/>
  <c r="FB14" i="85"/>
  <c r="ED14" i="85"/>
  <c r="HR14" i="85"/>
  <c r="EX14" i="85"/>
  <c r="HM14" i="85"/>
  <c r="GO14" i="85"/>
  <c r="FQ14" i="85"/>
  <c r="ES14" i="85"/>
  <c r="GI14" i="85"/>
  <c r="HC14" i="85"/>
  <c r="GD14" i="85"/>
  <c r="EZ14" i="85"/>
  <c r="EY14" i="85"/>
  <c r="HL14" i="85"/>
  <c r="GN14" i="85"/>
  <c r="FP14" i="85"/>
  <c r="ER14" i="85"/>
  <c r="GL14" i="85"/>
  <c r="EP14" i="85"/>
  <c r="FH14" i="85"/>
  <c r="FG14" i="85"/>
  <c r="GA14" i="85"/>
  <c r="EC14" i="85"/>
  <c r="FX14" i="85"/>
  <c r="EB14" i="85"/>
  <c r="HK14" i="85"/>
  <c r="GM14" i="85"/>
  <c r="FO14" i="85"/>
  <c r="EQ14" i="85"/>
  <c r="HJ14" i="85"/>
  <c r="FK14" i="85"/>
  <c r="HF14" i="85"/>
  <c r="GH14" i="85"/>
  <c r="FJ14" i="85"/>
  <c r="EL14" i="85"/>
  <c r="FI14" i="85"/>
  <c r="FF14" i="85"/>
  <c r="EH14" i="85"/>
  <c r="GU14" i="85"/>
  <c r="FW14" i="85"/>
  <c r="FV14" i="85"/>
  <c r="DZ14" i="85"/>
  <c r="HI14" i="85"/>
  <c r="GK14" i="85"/>
  <c r="FM14" i="85"/>
  <c r="EO14" i="85"/>
  <c r="HH14" i="85"/>
  <c r="GJ14" i="85"/>
  <c r="FL14" i="85"/>
  <c r="EN14" i="85"/>
  <c r="GF14" i="85"/>
  <c r="GE14" i="85"/>
  <c r="GY14" i="85"/>
  <c r="EE14" i="85"/>
  <c r="FA14" i="85"/>
  <c r="GV14" i="85"/>
  <c r="HS14" i="85"/>
  <c r="EA14" i="85"/>
  <c r="HA14" i="85"/>
  <c r="GC14" i="85"/>
  <c r="FE14" i="85"/>
  <c r="EG14" i="85"/>
  <c r="GZ14" i="85"/>
  <c r="GB14" i="85"/>
  <c r="FD14" i="85"/>
  <c r="EF14" i="85"/>
  <c r="GW14" i="85"/>
  <c r="HQ14" i="85"/>
  <c r="GS14" i="85"/>
  <c r="FU14" i="85"/>
  <c r="EW14" i="85"/>
  <c r="DY14" i="85"/>
  <c r="HP14" i="85"/>
  <c r="GR14" i="85"/>
  <c r="FT14" i="85"/>
  <c r="DX14" i="85"/>
  <c r="HO14" i="85"/>
  <c r="GQ14" i="85"/>
  <c r="FS14" i="85"/>
  <c r="EU14" i="85"/>
  <c r="DW14" i="85"/>
  <c r="FY14" i="85"/>
  <c r="HM15" i="84"/>
  <c r="GO15" i="84"/>
  <c r="FQ15" i="84"/>
  <c r="ES15" i="84"/>
  <c r="FJ15" i="84"/>
  <c r="EK15" i="84"/>
  <c r="HD15" i="84"/>
  <c r="FX15" i="84"/>
  <c r="FW15" i="84"/>
  <c r="DY15" i="84"/>
  <c r="GQ15" i="84"/>
  <c r="HL15" i="84"/>
  <c r="GN15" i="84"/>
  <c r="FP15" i="84"/>
  <c r="ER15" i="84"/>
  <c r="HE15" i="84"/>
  <c r="GF15" i="84"/>
  <c r="DZ15" i="84"/>
  <c r="HK15" i="84"/>
  <c r="GM15" i="84"/>
  <c r="FO15" i="84"/>
  <c r="EQ15" i="84"/>
  <c r="EJ15" i="84"/>
  <c r="HJ15" i="84"/>
  <c r="GL15" i="84"/>
  <c r="FN15" i="84"/>
  <c r="EP15" i="84"/>
  <c r="FH15" i="84"/>
  <c r="EZ15" i="84"/>
  <c r="EW15" i="84"/>
  <c r="HI15" i="84"/>
  <c r="GK15" i="84"/>
  <c r="FM15" i="84"/>
  <c r="EO15" i="84"/>
  <c r="HF15" i="84"/>
  <c r="EL15" i="84"/>
  <c r="FI15" i="84"/>
  <c r="GV15" i="84"/>
  <c r="EA15" i="84"/>
  <c r="HQ15" i="84"/>
  <c r="HH15" i="84"/>
  <c r="GJ15" i="84"/>
  <c r="FL15" i="84"/>
  <c r="EN15" i="84"/>
  <c r="EX15" i="84"/>
  <c r="GR15" i="84"/>
  <c r="FS15" i="84"/>
  <c r="GP15" i="84"/>
  <c r="GI15" i="84"/>
  <c r="FK15" i="84"/>
  <c r="EM15" i="84"/>
  <c r="GH15" i="84"/>
  <c r="GS15" i="84"/>
  <c r="HN15" i="84"/>
  <c r="HC15" i="84"/>
  <c r="GE15" i="84"/>
  <c r="FG15" i="84"/>
  <c r="HB15" i="84"/>
  <c r="GD15" i="84"/>
  <c r="FF15" i="84"/>
  <c r="EH15" i="84"/>
  <c r="GW15" i="84"/>
  <c r="EB15" i="84"/>
  <c r="HS15" i="84"/>
  <c r="DX15" i="84"/>
  <c r="ET15" i="84"/>
  <c r="HA15" i="84"/>
  <c r="GC15" i="84"/>
  <c r="FE15" i="84"/>
  <c r="EG15" i="84"/>
  <c r="GU15" i="84"/>
  <c r="HR15" i="84"/>
  <c r="FT15" i="84"/>
  <c r="DW15" i="84"/>
  <c r="GZ15" i="84"/>
  <c r="GB15" i="84"/>
  <c r="FD15" i="84"/>
  <c r="EF15" i="84"/>
  <c r="GX15" i="84"/>
  <c r="FZ15" i="84"/>
  <c r="FB15" i="84"/>
  <c r="ED15" i="84"/>
  <c r="EC15" i="84"/>
  <c r="EY15" i="84"/>
  <c r="FV15" i="84"/>
  <c r="HP15" i="84"/>
  <c r="EU15" i="84"/>
  <c r="GY15" i="84"/>
  <c r="GA15" i="84"/>
  <c r="FC15" i="84"/>
  <c r="EE15" i="84"/>
  <c r="FY15" i="84"/>
  <c r="FA15" i="84"/>
  <c r="FU15" i="84"/>
  <c r="HO15" i="84"/>
  <c r="FR15" i="84"/>
  <c r="HQ13" i="83"/>
  <c r="GS13" i="83"/>
  <c r="FU13" i="83"/>
  <c r="EW13" i="83"/>
  <c r="DY13" i="83"/>
  <c r="FK13" i="83"/>
  <c r="HD13" i="83"/>
  <c r="FG13" i="83"/>
  <c r="GZ13" i="83"/>
  <c r="FC13" i="83"/>
  <c r="EY13" i="83"/>
  <c r="HP13" i="83"/>
  <c r="GR13" i="83"/>
  <c r="FT13" i="83"/>
  <c r="DX13" i="83"/>
  <c r="EO13" i="83"/>
  <c r="FL13" i="83"/>
  <c r="GH13" i="83"/>
  <c r="GE13" i="83"/>
  <c r="EG13" i="83"/>
  <c r="FY13" i="83"/>
  <c r="HS13" i="83"/>
  <c r="EA13" i="83"/>
  <c r="HR13" i="83"/>
  <c r="EX13" i="83"/>
  <c r="HO13" i="83"/>
  <c r="GQ13" i="83"/>
  <c r="FS13" i="83"/>
  <c r="EU13" i="83"/>
  <c r="DW13" i="83"/>
  <c r="HH13" i="83"/>
  <c r="FI13" i="83"/>
  <c r="FH13" i="83"/>
  <c r="GY13" i="83"/>
  <c r="GA13" i="83"/>
  <c r="EE13" i="83"/>
  <c r="GU13" i="83"/>
  <c r="HN13" i="83"/>
  <c r="GP13" i="83"/>
  <c r="FR13" i="83"/>
  <c r="ET13" i="83"/>
  <c r="GI13" i="83"/>
  <c r="GF13" i="83"/>
  <c r="EJ13" i="83"/>
  <c r="EF13" i="83"/>
  <c r="EZ13" i="83"/>
  <c r="FW13" i="83"/>
  <c r="HM13" i="83"/>
  <c r="GO13" i="83"/>
  <c r="FQ13" i="83"/>
  <c r="ES13" i="83"/>
  <c r="FM13" i="83"/>
  <c r="GJ13" i="83"/>
  <c r="FJ13" i="83"/>
  <c r="GX13" i="83"/>
  <c r="FZ13" i="83"/>
  <c r="GW13" i="83"/>
  <c r="GV13" i="83"/>
  <c r="HL13" i="83"/>
  <c r="GN13" i="83"/>
  <c r="FP13" i="83"/>
  <c r="ER13" i="83"/>
  <c r="GK13" i="83"/>
  <c r="EM13" i="83"/>
  <c r="ED13" i="83"/>
  <c r="FA13" i="83"/>
  <c r="DZ13" i="83"/>
  <c r="HK13" i="83"/>
  <c r="GM13" i="83"/>
  <c r="FO13" i="83"/>
  <c r="EQ13" i="83"/>
  <c r="HI13" i="83"/>
  <c r="EN13" i="83"/>
  <c r="EL13" i="83"/>
  <c r="FD13" i="83"/>
  <c r="FX13" i="83"/>
  <c r="HJ13" i="83"/>
  <c r="GL13" i="83"/>
  <c r="FN13" i="83"/>
  <c r="EP13" i="83"/>
  <c r="HF13" i="83"/>
  <c r="HE13" i="83"/>
  <c r="EK13" i="83"/>
  <c r="HC13" i="83"/>
  <c r="FB13" i="83"/>
  <c r="EC13" i="83"/>
  <c r="EB13" i="83"/>
  <c r="FV13" i="83"/>
  <c r="HB13" i="83"/>
  <c r="GD13" i="83"/>
  <c r="FF13" i="83"/>
  <c r="EH13" i="83"/>
  <c r="HA13" i="83"/>
  <c r="GC13" i="83"/>
  <c r="FE13" i="83"/>
  <c r="GB13" i="83"/>
  <c r="HN14" i="83"/>
  <c r="GP14" i="83"/>
  <c r="FR14" i="83"/>
  <c r="ET14" i="83"/>
  <c r="EJ14" i="83"/>
  <c r="GC14" i="83"/>
  <c r="GB14" i="83"/>
  <c r="FY14" i="83"/>
  <c r="EB14" i="83"/>
  <c r="HQ14" i="83"/>
  <c r="HO14" i="83"/>
  <c r="HM14" i="83"/>
  <c r="GO14" i="83"/>
  <c r="FQ14" i="83"/>
  <c r="ES14" i="83"/>
  <c r="EL14" i="83"/>
  <c r="FG14" i="83"/>
  <c r="FD14" i="83"/>
  <c r="HR14" i="83"/>
  <c r="DZ14" i="83"/>
  <c r="FU14" i="83"/>
  <c r="GR14" i="83"/>
  <c r="GQ14" i="83"/>
  <c r="HL14" i="83"/>
  <c r="GN14" i="83"/>
  <c r="FP14" i="83"/>
  <c r="ER14" i="83"/>
  <c r="HF14" i="83"/>
  <c r="GF14" i="83"/>
  <c r="HB14" i="83"/>
  <c r="EG14" i="83"/>
  <c r="EF14" i="83"/>
  <c r="GW14" i="83"/>
  <c r="EZ14" i="83"/>
  <c r="FW14" i="83"/>
  <c r="DY14" i="83"/>
  <c r="FT14" i="83"/>
  <c r="HK14" i="83"/>
  <c r="GM14" i="83"/>
  <c r="FO14" i="83"/>
  <c r="EQ14" i="83"/>
  <c r="HE14" i="83"/>
  <c r="HD14" i="83"/>
  <c r="FE14" i="83"/>
  <c r="EC14" i="83"/>
  <c r="GV14" i="83"/>
  <c r="GU14" i="83"/>
  <c r="EY14" i="83"/>
  <c r="EW14" i="83"/>
  <c r="DX14" i="83"/>
  <c r="FS14" i="83"/>
  <c r="HJ14" i="83"/>
  <c r="GL14" i="83"/>
  <c r="FN14" i="83"/>
  <c r="EP14" i="83"/>
  <c r="FI14" i="83"/>
  <c r="EH14" i="83"/>
  <c r="HA14" i="83"/>
  <c r="HS14" i="83"/>
  <c r="EA14" i="83"/>
  <c r="EX14" i="83"/>
  <c r="HI14" i="83"/>
  <c r="GK14" i="83"/>
  <c r="FM14" i="83"/>
  <c r="EO14" i="83"/>
  <c r="FJ14" i="83"/>
  <c r="EK14" i="83"/>
  <c r="FH14" i="83"/>
  <c r="GZ14" i="83"/>
  <c r="FX14" i="83"/>
  <c r="GS14" i="83"/>
  <c r="HP14" i="83"/>
  <c r="DW14" i="83"/>
  <c r="HH14" i="83"/>
  <c r="GJ14" i="83"/>
  <c r="FL14" i="83"/>
  <c r="EN14" i="83"/>
  <c r="GH14" i="83"/>
  <c r="GE14" i="83"/>
  <c r="FF14" i="83"/>
  <c r="FA14" i="83"/>
  <c r="GI14" i="83"/>
  <c r="FK14" i="83"/>
  <c r="EM14" i="83"/>
  <c r="HC14" i="83"/>
  <c r="GD14" i="83"/>
  <c r="FV14" i="83"/>
  <c r="EU14" i="83"/>
  <c r="GY14" i="83"/>
  <c r="GA14" i="83"/>
  <c r="FC14" i="83"/>
  <c r="EE14" i="83"/>
  <c r="GX14" i="83"/>
  <c r="FZ14" i="83"/>
  <c r="FB14" i="83"/>
  <c r="ED14" i="83"/>
  <c r="HN14" i="81"/>
  <c r="GP14" i="81"/>
  <c r="FR14" i="81"/>
  <c r="ET14" i="81"/>
  <c r="HB14" i="81"/>
  <c r="FA14" i="81"/>
  <c r="EB14" i="81"/>
  <c r="EW14" i="81"/>
  <c r="DW14" i="81"/>
  <c r="HM14" i="81"/>
  <c r="GO14" i="81"/>
  <c r="FQ14" i="81"/>
  <c r="ES14" i="81"/>
  <c r="HC14" i="81"/>
  <c r="HS14" i="81"/>
  <c r="HR14" i="81"/>
  <c r="DX14" i="81"/>
  <c r="HL14" i="81"/>
  <c r="GN14" i="81"/>
  <c r="FP14" i="81"/>
  <c r="ER14" i="81"/>
  <c r="GU14" i="81"/>
  <c r="EX14" i="81"/>
  <c r="DY14" i="81"/>
  <c r="HK14" i="81"/>
  <c r="GM14" i="81"/>
  <c r="FO14" i="81"/>
  <c r="EQ14" i="81"/>
  <c r="HQ14" i="81"/>
  <c r="GQ14" i="81"/>
  <c r="HJ14" i="81"/>
  <c r="GL14" i="81"/>
  <c r="FN14" i="81"/>
  <c r="EP14" i="81"/>
  <c r="GE14" i="81"/>
  <c r="GD14" i="81"/>
  <c r="GC14" i="81"/>
  <c r="FE14" i="81"/>
  <c r="EG14" i="81"/>
  <c r="EY14" i="81"/>
  <c r="HI14" i="81"/>
  <c r="GK14" i="81"/>
  <c r="FM14" i="81"/>
  <c r="EO14" i="81"/>
  <c r="FG14" i="81"/>
  <c r="HA14" i="81"/>
  <c r="HP14" i="81"/>
  <c r="HH14" i="81"/>
  <c r="GJ14" i="81"/>
  <c r="FL14" i="81"/>
  <c r="EN14" i="81"/>
  <c r="FF14" i="81"/>
  <c r="GW14" i="81"/>
  <c r="EA14" i="81"/>
  <c r="GI14" i="81"/>
  <c r="FK14" i="81"/>
  <c r="EM14" i="81"/>
  <c r="GV14" i="81"/>
  <c r="FW14" i="81"/>
  <c r="FU14" i="81"/>
  <c r="FS14" i="81"/>
  <c r="HF14" i="81"/>
  <c r="GH14" i="81"/>
  <c r="FJ14" i="81"/>
  <c r="EL14" i="81"/>
  <c r="DZ14" i="81"/>
  <c r="FT14" i="81"/>
  <c r="HO14" i="81"/>
  <c r="HE14" i="81"/>
  <c r="FI14" i="81"/>
  <c r="EK14" i="81"/>
  <c r="EH14" i="81"/>
  <c r="FX14" i="81"/>
  <c r="HD14" i="81"/>
  <c r="GF14" i="81"/>
  <c r="FH14" i="81"/>
  <c r="EJ14" i="81"/>
  <c r="GR14" i="81"/>
  <c r="GZ14" i="81"/>
  <c r="GB14" i="81"/>
  <c r="FD14" i="81"/>
  <c r="EF14" i="81"/>
  <c r="FV14" i="81"/>
  <c r="GS14" i="81"/>
  <c r="EU14" i="81"/>
  <c r="GY14" i="81"/>
  <c r="GA14" i="81"/>
  <c r="FC14" i="81"/>
  <c r="EE14" i="81"/>
  <c r="GX14" i="81"/>
  <c r="FZ14" i="81"/>
  <c r="FB14" i="81"/>
  <c r="ED14" i="81"/>
  <c r="FY14" i="81"/>
  <c r="EC14" i="81"/>
  <c r="EZ14" i="81"/>
  <c r="HM15" i="81"/>
  <c r="GO15" i="81"/>
  <c r="FQ15" i="81"/>
  <c r="ES15" i="81"/>
  <c r="GD15" i="81"/>
  <c r="GC15" i="81"/>
  <c r="HQ15" i="81"/>
  <c r="HL15" i="81"/>
  <c r="GN15" i="81"/>
  <c r="FP15" i="81"/>
  <c r="ER15" i="81"/>
  <c r="EF15" i="81"/>
  <c r="FS15" i="81"/>
  <c r="HK15" i="81"/>
  <c r="GM15" i="81"/>
  <c r="FO15" i="81"/>
  <c r="EQ15" i="81"/>
  <c r="GB15" i="81"/>
  <c r="EY15" i="81"/>
  <c r="FT15" i="81"/>
  <c r="GP15" i="81"/>
  <c r="HJ15" i="81"/>
  <c r="GL15" i="81"/>
  <c r="FN15" i="81"/>
  <c r="EP15" i="81"/>
  <c r="EA15" i="81"/>
  <c r="FV15" i="81"/>
  <c r="EW15" i="81"/>
  <c r="DW15" i="81"/>
  <c r="HI15" i="81"/>
  <c r="GK15" i="81"/>
  <c r="FM15" i="81"/>
  <c r="EO15" i="81"/>
  <c r="HB15" i="81"/>
  <c r="EH15" i="81"/>
  <c r="GZ15" i="81"/>
  <c r="EU15" i="81"/>
  <c r="HN15" i="81"/>
  <c r="HH15" i="81"/>
  <c r="GJ15" i="81"/>
  <c r="FL15" i="81"/>
  <c r="EN15" i="81"/>
  <c r="GU15" i="81"/>
  <c r="DZ15" i="81"/>
  <c r="HP15" i="81"/>
  <c r="GI15" i="81"/>
  <c r="FK15" i="81"/>
  <c r="EM15" i="81"/>
  <c r="HA15" i="81"/>
  <c r="HR15" i="81"/>
  <c r="FR15" i="81"/>
  <c r="HF15" i="81"/>
  <c r="GH15" i="81"/>
  <c r="FJ15" i="81"/>
  <c r="EL15" i="81"/>
  <c r="GS15" i="81"/>
  <c r="HE15" i="81"/>
  <c r="FI15" i="81"/>
  <c r="EK15" i="81"/>
  <c r="EG15" i="81"/>
  <c r="FD15" i="81"/>
  <c r="EX15" i="81"/>
  <c r="FU15" i="81"/>
  <c r="GR15" i="81"/>
  <c r="HD15" i="81"/>
  <c r="GF15" i="81"/>
  <c r="FH15" i="81"/>
  <c r="EJ15" i="81"/>
  <c r="FF15" i="81"/>
  <c r="FE15" i="81"/>
  <c r="DX15" i="81"/>
  <c r="GQ15" i="81"/>
  <c r="HC15" i="81"/>
  <c r="GE15" i="81"/>
  <c r="FG15" i="81"/>
  <c r="HS15" i="81"/>
  <c r="DY15" i="81"/>
  <c r="GY15" i="81"/>
  <c r="GA15" i="81"/>
  <c r="FC15" i="81"/>
  <c r="EE15" i="81"/>
  <c r="GW15" i="81"/>
  <c r="FY15" i="81"/>
  <c r="FA15" i="81"/>
  <c r="EC15" i="81"/>
  <c r="FW15" i="81"/>
  <c r="GX15" i="81"/>
  <c r="FZ15" i="81"/>
  <c r="FB15" i="81"/>
  <c r="ED15" i="81"/>
  <c r="GV15" i="81"/>
  <c r="FX15" i="81"/>
  <c r="EZ15" i="81"/>
  <c r="EB15" i="81"/>
  <c r="HO15" i="81"/>
  <c r="ET15" i="81"/>
  <c r="HQ13" i="81"/>
  <c r="GS13" i="81"/>
  <c r="FU13" i="81"/>
  <c r="EW13" i="81"/>
  <c r="DY13" i="81"/>
  <c r="FI13" i="81"/>
  <c r="FH13" i="81"/>
  <c r="GA13" i="81"/>
  <c r="EX13" i="81"/>
  <c r="HP13" i="81"/>
  <c r="GR13" i="81"/>
  <c r="FT13" i="81"/>
  <c r="DX13" i="81"/>
  <c r="EL13" i="81"/>
  <c r="GF13" i="81"/>
  <c r="EZ13" i="81"/>
  <c r="EY13" i="81"/>
  <c r="HO13" i="81"/>
  <c r="GQ13" i="81"/>
  <c r="FS13" i="81"/>
  <c r="EU13" i="81"/>
  <c r="DW13" i="81"/>
  <c r="FW13" i="81"/>
  <c r="HN13" i="81"/>
  <c r="GP13" i="81"/>
  <c r="FR13" i="81"/>
  <c r="ET13" i="81"/>
  <c r="GH13" i="81"/>
  <c r="EF13" i="81"/>
  <c r="GY13" i="81"/>
  <c r="HM13" i="81"/>
  <c r="GO13" i="81"/>
  <c r="FQ13" i="81"/>
  <c r="ES13" i="81"/>
  <c r="FJ13" i="81"/>
  <c r="EK13" i="81"/>
  <c r="HD13" i="81"/>
  <c r="EB13" i="81"/>
  <c r="FV13" i="81"/>
  <c r="HL13" i="81"/>
  <c r="GN13" i="81"/>
  <c r="FP13" i="81"/>
  <c r="ER13" i="81"/>
  <c r="GB13" i="81"/>
  <c r="GW13" i="81"/>
  <c r="HK13" i="81"/>
  <c r="GM13" i="81"/>
  <c r="FO13" i="81"/>
  <c r="EQ13" i="81"/>
  <c r="FN13" i="81"/>
  <c r="FY13" i="81"/>
  <c r="GV13" i="81"/>
  <c r="HS13" i="81"/>
  <c r="HJ13" i="81"/>
  <c r="GL13" i="81"/>
  <c r="EP13" i="81"/>
  <c r="GX13" i="81"/>
  <c r="HI13" i="81"/>
  <c r="GK13" i="81"/>
  <c r="FM13" i="81"/>
  <c r="EO13" i="81"/>
  <c r="HF13" i="81"/>
  <c r="FC13" i="81"/>
  <c r="FZ13" i="81"/>
  <c r="EC13" i="81"/>
  <c r="FX13" i="81"/>
  <c r="HH13" i="81"/>
  <c r="GJ13" i="81"/>
  <c r="FL13" i="81"/>
  <c r="EN13" i="81"/>
  <c r="HE13" i="81"/>
  <c r="EJ13" i="81"/>
  <c r="EE13" i="81"/>
  <c r="FB13" i="81"/>
  <c r="GU13" i="81"/>
  <c r="DZ13" i="81"/>
  <c r="GI13" i="81"/>
  <c r="FK13" i="81"/>
  <c r="EM13" i="81"/>
  <c r="FD13" i="81"/>
  <c r="FA13" i="81"/>
  <c r="HC13" i="81"/>
  <c r="GE13" i="81"/>
  <c r="FG13" i="81"/>
  <c r="GZ13" i="81"/>
  <c r="ED13" i="81"/>
  <c r="HB13" i="81"/>
  <c r="GD13" i="81"/>
  <c r="FF13" i="81"/>
  <c r="EH13" i="81"/>
  <c r="HA13" i="81"/>
  <c r="GC13" i="81"/>
  <c r="FE13" i="81"/>
  <c r="EG13" i="81"/>
  <c r="EA13" i="81"/>
  <c r="HR13" i="81"/>
  <c r="HQ13" i="74"/>
  <c r="GS13" i="74"/>
  <c r="FU13" i="74"/>
  <c r="EW13" i="74"/>
  <c r="DY13" i="74"/>
  <c r="GQ13" i="74"/>
  <c r="FS13" i="74"/>
  <c r="DW13" i="74"/>
  <c r="HJ13" i="74"/>
  <c r="EK13" i="74"/>
  <c r="GE13" i="74"/>
  <c r="EC13" i="74"/>
  <c r="GU13" i="74"/>
  <c r="DZ13" i="74"/>
  <c r="HP13" i="74"/>
  <c r="GR13" i="74"/>
  <c r="FT13" i="74"/>
  <c r="DX13" i="74"/>
  <c r="FN13" i="74"/>
  <c r="HI13" i="74"/>
  <c r="FM13" i="74"/>
  <c r="EL13" i="74"/>
  <c r="FI13" i="74"/>
  <c r="FG13" i="74"/>
  <c r="GX13" i="74"/>
  <c r="FY13" i="74"/>
  <c r="FX13" i="74"/>
  <c r="HS13" i="74"/>
  <c r="HR13" i="74"/>
  <c r="HO13" i="74"/>
  <c r="EU13" i="74"/>
  <c r="GH13" i="74"/>
  <c r="HN13" i="74"/>
  <c r="GP13" i="74"/>
  <c r="FR13" i="74"/>
  <c r="ET13" i="74"/>
  <c r="HF13" i="74"/>
  <c r="HM13" i="74"/>
  <c r="GO13" i="74"/>
  <c r="FQ13" i="74"/>
  <c r="ES13" i="74"/>
  <c r="EP13" i="74"/>
  <c r="HE13" i="74"/>
  <c r="GC13" i="74"/>
  <c r="EG13" i="74"/>
  <c r="FZ13" i="74"/>
  <c r="HL13" i="74"/>
  <c r="GN13" i="74"/>
  <c r="FP13" i="74"/>
  <c r="ER13" i="74"/>
  <c r="GK13" i="74"/>
  <c r="EO13" i="74"/>
  <c r="GD13" i="74"/>
  <c r="EZ13" i="74"/>
  <c r="FW13" i="74"/>
  <c r="HK13" i="74"/>
  <c r="GM13" i="74"/>
  <c r="FO13" i="74"/>
  <c r="EQ13" i="74"/>
  <c r="GL13" i="74"/>
  <c r="GF13" i="74"/>
  <c r="HA13" i="74"/>
  <c r="FE13" i="74"/>
  <c r="FB13" i="74"/>
  <c r="FA13" i="74"/>
  <c r="GV13" i="74"/>
  <c r="EB13" i="74"/>
  <c r="EY13" i="74"/>
  <c r="FV13" i="74"/>
  <c r="HH13" i="74"/>
  <c r="GJ13" i="74"/>
  <c r="FL13" i="74"/>
  <c r="EN13" i="74"/>
  <c r="GI13" i="74"/>
  <c r="FK13" i="74"/>
  <c r="EM13" i="74"/>
  <c r="FJ13" i="74"/>
  <c r="HD13" i="74"/>
  <c r="FH13" i="74"/>
  <c r="EJ13" i="74"/>
  <c r="HC13" i="74"/>
  <c r="HB13" i="74"/>
  <c r="FF13" i="74"/>
  <c r="EH13" i="74"/>
  <c r="GW13" i="74"/>
  <c r="EA13" i="74"/>
  <c r="EX13" i="74"/>
  <c r="GZ13" i="74"/>
  <c r="GB13" i="74"/>
  <c r="FD13" i="74"/>
  <c r="EF13" i="74"/>
  <c r="GY13" i="74"/>
  <c r="GA13" i="74"/>
  <c r="FC13" i="74"/>
  <c r="EE13" i="74"/>
  <c r="ED13" i="74"/>
  <c r="HN14" i="74"/>
  <c r="GP14" i="74"/>
  <c r="FR14" i="74"/>
  <c r="ET14" i="74"/>
  <c r="EG14" i="74"/>
  <c r="FD14" i="74"/>
  <c r="GX14" i="74"/>
  <c r="FV14" i="74"/>
  <c r="HM14" i="74"/>
  <c r="GO14" i="74"/>
  <c r="FQ14" i="74"/>
  <c r="ES14" i="74"/>
  <c r="HF14" i="74"/>
  <c r="FJ14" i="74"/>
  <c r="EH14" i="74"/>
  <c r="GC14" i="74"/>
  <c r="EF14" i="74"/>
  <c r="EW14" i="74"/>
  <c r="GR14" i="74"/>
  <c r="HL14" i="74"/>
  <c r="GN14" i="74"/>
  <c r="FP14" i="74"/>
  <c r="ER14" i="74"/>
  <c r="ED14" i="74"/>
  <c r="HK14" i="74"/>
  <c r="GM14" i="74"/>
  <c r="FO14" i="74"/>
  <c r="EQ14" i="74"/>
  <c r="HJ14" i="74"/>
  <c r="GL14" i="74"/>
  <c r="FN14" i="74"/>
  <c r="EP14" i="74"/>
  <c r="FG14" i="74"/>
  <c r="HB14" i="74"/>
  <c r="GY14" i="74"/>
  <c r="FB14" i="74"/>
  <c r="HR14" i="74"/>
  <c r="EX14" i="74"/>
  <c r="HI14" i="74"/>
  <c r="GK14" i="74"/>
  <c r="FM14" i="74"/>
  <c r="EO14" i="74"/>
  <c r="EL14" i="74"/>
  <c r="HC14" i="74"/>
  <c r="GD14" i="74"/>
  <c r="HA14" i="74"/>
  <c r="GB14" i="74"/>
  <c r="FC14" i="74"/>
  <c r="FU14" i="74"/>
  <c r="DX14" i="74"/>
  <c r="FS14" i="74"/>
  <c r="HH14" i="74"/>
  <c r="GJ14" i="74"/>
  <c r="FL14" i="74"/>
  <c r="EN14" i="74"/>
  <c r="GI14" i="74"/>
  <c r="FK14" i="74"/>
  <c r="EM14" i="74"/>
  <c r="GH14" i="74"/>
  <c r="FF14" i="74"/>
  <c r="FZ14" i="74"/>
  <c r="DZ14" i="74"/>
  <c r="HQ14" i="74"/>
  <c r="GS14" i="74"/>
  <c r="DY14" i="74"/>
  <c r="HP14" i="74"/>
  <c r="GQ14" i="74"/>
  <c r="DW14" i="74"/>
  <c r="HE14" i="74"/>
  <c r="FI14" i="74"/>
  <c r="EK14" i="74"/>
  <c r="HD14" i="74"/>
  <c r="GF14" i="74"/>
  <c r="FH14" i="74"/>
  <c r="EJ14" i="74"/>
  <c r="GE14" i="74"/>
  <c r="FE14" i="74"/>
  <c r="GZ14" i="74"/>
  <c r="GA14" i="74"/>
  <c r="EE14" i="74"/>
  <c r="FT14" i="74"/>
  <c r="HO14" i="74"/>
  <c r="EU14" i="74"/>
  <c r="GW14" i="74"/>
  <c r="FY14" i="74"/>
  <c r="FA14" i="74"/>
  <c r="EC14" i="74"/>
  <c r="GV14" i="74"/>
  <c r="FX14" i="74"/>
  <c r="EZ14" i="74"/>
  <c r="EB14" i="74"/>
  <c r="HS14" i="74"/>
  <c r="GU14" i="74"/>
  <c r="FW14" i="74"/>
  <c r="EY14" i="74"/>
  <c r="EA14" i="74"/>
  <c r="HM15" i="74"/>
  <c r="GO15" i="74"/>
  <c r="FQ15" i="74"/>
  <c r="ES15" i="74"/>
  <c r="FI15" i="74"/>
  <c r="GC15" i="74"/>
  <c r="GY15" i="74"/>
  <c r="FU15" i="74"/>
  <c r="FS15" i="74"/>
  <c r="HL15" i="74"/>
  <c r="GN15" i="74"/>
  <c r="FP15" i="74"/>
  <c r="ER15" i="74"/>
  <c r="HE15" i="74"/>
  <c r="GB15" i="74"/>
  <c r="GA15" i="74"/>
  <c r="FB15" i="74"/>
  <c r="FY15" i="74"/>
  <c r="GS15" i="74"/>
  <c r="HK15" i="74"/>
  <c r="GM15" i="74"/>
  <c r="FO15" i="74"/>
  <c r="EQ15" i="74"/>
  <c r="EG15" i="74"/>
  <c r="EF15" i="74"/>
  <c r="EE15" i="74"/>
  <c r="ED15" i="74"/>
  <c r="ET15" i="74"/>
  <c r="HJ15" i="74"/>
  <c r="GL15" i="74"/>
  <c r="FN15" i="74"/>
  <c r="EP15" i="74"/>
  <c r="GW15" i="74"/>
  <c r="FT15" i="74"/>
  <c r="DW15" i="74"/>
  <c r="HI15" i="74"/>
  <c r="GK15" i="74"/>
  <c r="FM15" i="74"/>
  <c r="EO15" i="74"/>
  <c r="GX15" i="74"/>
  <c r="EC15" i="74"/>
  <c r="HQ15" i="74"/>
  <c r="HH15" i="74"/>
  <c r="GJ15" i="74"/>
  <c r="FL15" i="74"/>
  <c r="EN15" i="74"/>
  <c r="HA15" i="74"/>
  <c r="GZ15" i="74"/>
  <c r="FC15" i="74"/>
  <c r="GR15" i="74"/>
  <c r="HN15" i="74"/>
  <c r="GI15" i="74"/>
  <c r="FK15" i="74"/>
  <c r="EM15" i="74"/>
  <c r="HF15" i="74"/>
  <c r="GH15" i="74"/>
  <c r="FJ15" i="74"/>
  <c r="EL15" i="74"/>
  <c r="EK15" i="74"/>
  <c r="FE15" i="74"/>
  <c r="FA15" i="74"/>
  <c r="HP15" i="74"/>
  <c r="HO15" i="74"/>
  <c r="FR15" i="74"/>
  <c r="HD15" i="74"/>
  <c r="GF15" i="74"/>
  <c r="FH15" i="74"/>
  <c r="EJ15" i="74"/>
  <c r="HC15" i="74"/>
  <c r="GE15" i="74"/>
  <c r="FG15" i="74"/>
  <c r="HB15" i="74"/>
  <c r="GD15" i="74"/>
  <c r="FF15" i="74"/>
  <c r="EH15" i="74"/>
  <c r="FD15" i="74"/>
  <c r="FZ15" i="74"/>
  <c r="DY15" i="74"/>
  <c r="GQ15" i="74"/>
  <c r="GP15" i="74"/>
  <c r="GV15" i="74"/>
  <c r="FX15" i="74"/>
  <c r="EZ15" i="74"/>
  <c r="EB15" i="74"/>
  <c r="HS15" i="74"/>
  <c r="GU15" i="74"/>
  <c r="FW15" i="74"/>
  <c r="EY15" i="74"/>
  <c r="EA15" i="74"/>
  <c r="HR15" i="74"/>
  <c r="FV15" i="74"/>
  <c r="EX15" i="74"/>
  <c r="DZ15" i="74"/>
  <c r="EW15" i="74"/>
  <c r="DX15" i="74"/>
  <c r="EU15" i="74"/>
  <c r="HN14" i="72"/>
  <c r="GP14" i="72"/>
  <c r="FR14" i="72"/>
  <c r="ET14" i="72"/>
  <c r="GY14" i="72"/>
  <c r="GW14" i="72"/>
  <c r="GV14" i="72"/>
  <c r="HM14" i="72"/>
  <c r="GO14" i="72"/>
  <c r="FQ14" i="72"/>
  <c r="ES14" i="72"/>
  <c r="FD14" i="72"/>
  <c r="FX14" i="72"/>
  <c r="GS14" i="72"/>
  <c r="HL14" i="72"/>
  <c r="GN14" i="72"/>
  <c r="FP14" i="72"/>
  <c r="ER14" i="72"/>
  <c r="GA14" i="72"/>
  <c r="FY14" i="72"/>
  <c r="GU14" i="72"/>
  <c r="HR14" i="72"/>
  <c r="HQ14" i="72"/>
  <c r="HK14" i="72"/>
  <c r="GM14" i="72"/>
  <c r="FO14" i="72"/>
  <c r="EQ14" i="72"/>
  <c r="EF14" i="72"/>
  <c r="GX14" i="72"/>
  <c r="EX14" i="72"/>
  <c r="DY14" i="72"/>
  <c r="HJ14" i="72"/>
  <c r="GL14" i="72"/>
  <c r="FN14" i="72"/>
  <c r="EP14" i="72"/>
  <c r="FG14" i="72"/>
  <c r="FZ14" i="72"/>
  <c r="FU14" i="72"/>
  <c r="HO14" i="72"/>
  <c r="HI14" i="72"/>
  <c r="GK14" i="72"/>
  <c r="FM14" i="72"/>
  <c r="EO14" i="72"/>
  <c r="GC14" i="72"/>
  <c r="GB14" i="72"/>
  <c r="EA14" i="72"/>
  <c r="FT14" i="72"/>
  <c r="EU14" i="72"/>
  <c r="HH14" i="72"/>
  <c r="GJ14" i="72"/>
  <c r="FL14" i="72"/>
  <c r="EN14" i="72"/>
  <c r="EG14" i="72"/>
  <c r="GZ14" i="72"/>
  <c r="EE14" i="72"/>
  <c r="EC14" i="72"/>
  <c r="GI14" i="72"/>
  <c r="FK14" i="72"/>
  <c r="EM14" i="72"/>
  <c r="HA14" i="72"/>
  <c r="FC14" i="72"/>
  <c r="HS14" i="72"/>
  <c r="HF14" i="72"/>
  <c r="GH14" i="72"/>
  <c r="FJ14" i="72"/>
  <c r="EL14" i="72"/>
  <c r="FB14" i="72"/>
  <c r="EZ14" i="72"/>
  <c r="EY14" i="72"/>
  <c r="DZ14" i="72"/>
  <c r="HE14" i="72"/>
  <c r="FI14" i="72"/>
  <c r="EK14" i="72"/>
  <c r="HC14" i="72"/>
  <c r="EB14" i="72"/>
  <c r="FV14" i="72"/>
  <c r="EW14" i="72"/>
  <c r="HD14" i="72"/>
  <c r="GF14" i="72"/>
  <c r="FH14" i="72"/>
  <c r="EJ14" i="72"/>
  <c r="FA14" i="72"/>
  <c r="FW14" i="72"/>
  <c r="HP14" i="72"/>
  <c r="DX14" i="72"/>
  <c r="FS14" i="72"/>
  <c r="DW14" i="72"/>
  <c r="GE14" i="72"/>
  <c r="ED14" i="72"/>
  <c r="GR14" i="72"/>
  <c r="GQ14" i="72"/>
  <c r="HB14" i="72"/>
  <c r="GD14" i="72"/>
  <c r="FF14" i="72"/>
  <c r="EH14" i="72"/>
  <c r="FE14" i="72"/>
  <c r="HM15" i="72"/>
  <c r="GO15" i="72"/>
  <c r="FQ15" i="72"/>
  <c r="ES15" i="72"/>
  <c r="GY15" i="72"/>
  <c r="EC15" i="72"/>
  <c r="DZ15" i="72"/>
  <c r="EU15" i="72"/>
  <c r="HL15" i="72"/>
  <c r="GN15" i="72"/>
  <c r="FP15" i="72"/>
  <c r="ER15" i="72"/>
  <c r="GV15" i="72"/>
  <c r="EX15" i="72"/>
  <c r="GP15" i="72"/>
  <c r="HK15" i="72"/>
  <c r="GM15" i="72"/>
  <c r="FO15" i="72"/>
  <c r="EQ15" i="72"/>
  <c r="HJ15" i="72"/>
  <c r="GL15" i="72"/>
  <c r="FN15" i="72"/>
  <c r="EP15" i="72"/>
  <c r="GZ15" i="72"/>
  <c r="EZ15" i="72"/>
  <c r="EY15" i="72"/>
  <c r="HQ15" i="72"/>
  <c r="HI15" i="72"/>
  <c r="GK15" i="72"/>
  <c r="FM15" i="72"/>
  <c r="EO15" i="72"/>
  <c r="EE15" i="72"/>
  <c r="FX15" i="72"/>
  <c r="HR15" i="72"/>
  <c r="GR15" i="72"/>
  <c r="HH15" i="72"/>
  <c r="GJ15" i="72"/>
  <c r="FL15" i="72"/>
  <c r="EN15" i="72"/>
  <c r="GX15" i="72"/>
  <c r="EA15" i="72"/>
  <c r="DX15" i="72"/>
  <c r="HO15" i="72"/>
  <c r="ET15" i="72"/>
  <c r="GI15" i="72"/>
  <c r="FK15" i="72"/>
  <c r="EM15" i="72"/>
  <c r="GB15" i="72"/>
  <c r="ED15" i="72"/>
  <c r="GU15" i="72"/>
  <c r="HF15" i="72"/>
  <c r="GH15" i="72"/>
  <c r="FJ15" i="72"/>
  <c r="EL15" i="72"/>
  <c r="HE15" i="72"/>
  <c r="FI15" i="72"/>
  <c r="EK15" i="72"/>
  <c r="GA15" i="72"/>
  <c r="FB15" i="72"/>
  <c r="GW15" i="72"/>
  <c r="FV15" i="72"/>
  <c r="FU15" i="72"/>
  <c r="HD15" i="72"/>
  <c r="GF15" i="72"/>
  <c r="FH15" i="72"/>
  <c r="EJ15" i="72"/>
  <c r="FD15" i="72"/>
  <c r="FW15" i="72"/>
  <c r="GS15" i="72"/>
  <c r="HP15" i="72"/>
  <c r="HC15" i="72"/>
  <c r="GE15" i="72"/>
  <c r="FG15" i="72"/>
  <c r="EF15" i="72"/>
  <c r="FA15" i="72"/>
  <c r="EW15" i="72"/>
  <c r="FT15" i="72"/>
  <c r="FS15" i="72"/>
  <c r="FR15" i="72"/>
  <c r="HB15" i="72"/>
  <c r="GD15" i="72"/>
  <c r="FF15" i="72"/>
  <c r="EH15" i="72"/>
  <c r="FC15" i="72"/>
  <c r="FY15" i="72"/>
  <c r="HS15" i="72"/>
  <c r="GQ15" i="72"/>
  <c r="DW15" i="72"/>
  <c r="HN15" i="72"/>
  <c r="HA15" i="72"/>
  <c r="GC15" i="72"/>
  <c r="FE15" i="72"/>
  <c r="EG15" i="72"/>
  <c r="FZ15" i="72"/>
  <c r="EB15" i="72"/>
  <c r="DY15" i="72"/>
  <c r="HQ13" i="71"/>
  <c r="GS13" i="71"/>
  <c r="FU13" i="71"/>
  <c r="EW13" i="71"/>
  <c r="DY13" i="71"/>
  <c r="FQ13" i="71"/>
  <c r="HH13" i="71"/>
  <c r="HP13" i="71"/>
  <c r="GR13" i="71"/>
  <c r="FT13" i="71"/>
  <c r="DX13" i="71"/>
  <c r="HO13" i="71"/>
  <c r="GQ13" i="71"/>
  <c r="FS13" i="71"/>
  <c r="EU13" i="71"/>
  <c r="DW13" i="71"/>
  <c r="HN13" i="71"/>
  <c r="GP13" i="71"/>
  <c r="FR13" i="71"/>
  <c r="ET13" i="71"/>
  <c r="HM13" i="71"/>
  <c r="GO13" i="71"/>
  <c r="ES13" i="71"/>
  <c r="GK13" i="71"/>
  <c r="EO13" i="71"/>
  <c r="FL13" i="71"/>
  <c r="EN13" i="71"/>
  <c r="GI13" i="71"/>
  <c r="EM13" i="71"/>
  <c r="HL13" i="71"/>
  <c r="GN13" i="71"/>
  <c r="FP13" i="71"/>
  <c r="ER13" i="71"/>
  <c r="HK13" i="71"/>
  <c r="GM13" i="71"/>
  <c r="FO13" i="71"/>
  <c r="EQ13" i="71"/>
  <c r="HJ13" i="71"/>
  <c r="GL13" i="71"/>
  <c r="FN13" i="71"/>
  <c r="EP13" i="71"/>
  <c r="HI13" i="71"/>
  <c r="FM13" i="71"/>
  <c r="GJ13" i="71"/>
  <c r="FK13" i="71"/>
  <c r="HD13" i="71"/>
  <c r="GF13" i="71"/>
  <c r="FH13" i="71"/>
  <c r="EJ13" i="71"/>
  <c r="HC13" i="71"/>
  <c r="GE13" i="71"/>
  <c r="FG13" i="71"/>
  <c r="GW13" i="71"/>
  <c r="EY13" i="71"/>
  <c r="GV13" i="71"/>
  <c r="EX13" i="71"/>
  <c r="GU13" i="71"/>
  <c r="EK13" i="71"/>
  <c r="GH13" i="71"/>
  <c r="EH13" i="71"/>
  <c r="GC13" i="71"/>
  <c r="GB13" i="71"/>
  <c r="EC13" i="71"/>
  <c r="DZ13" i="71"/>
  <c r="FW13" i="71"/>
  <c r="FV13" i="71"/>
  <c r="HR13" i="71"/>
  <c r="FI13" i="71"/>
  <c r="FF13" i="71"/>
  <c r="HE13" i="71"/>
  <c r="HA13" i="71"/>
  <c r="FB13" i="71"/>
  <c r="GY13" i="71"/>
  <c r="FA13" i="71"/>
  <c r="EF13" i="71"/>
  <c r="FZ13" i="71"/>
  <c r="FY13" i="71"/>
  <c r="FX13" i="71"/>
  <c r="HF13" i="71"/>
  <c r="HB13" i="71"/>
  <c r="EL13" i="71"/>
  <c r="EG13" i="71"/>
  <c r="GD13" i="71"/>
  <c r="EE13" i="71"/>
  <c r="ED13" i="71"/>
  <c r="GA13" i="71"/>
  <c r="EB13" i="71"/>
  <c r="EA13" i="71"/>
  <c r="HS13" i="71"/>
  <c r="FJ13" i="71"/>
  <c r="FE13" i="71"/>
  <c r="FD13" i="71"/>
  <c r="FC13" i="71"/>
  <c r="GZ13" i="71"/>
  <c r="GX13" i="71"/>
  <c r="EZ13" i="71"/>
  <c r="HM15" i="70"/>
  <c r="GO15" i="70"/>
  <c r="FQ15" i="70"/>
  <c r="ES15" i="70"/>
  <c r="FZ15" i="70"/>
  <c r="FU15" i="70"/>
  <c r="HO15" i="70"/>
  <c r="HL15" i="70"/>
  <c r="GN15" i="70"/>
  <c r="FP15" i="70"/>
  <c r="ER15" i="70"/>
  <c r="GR15" i="70"/>
  <c r="EU15" i="70"/>
  <c r="ET15" i="70"/>
  <c r="HK15" i="70"/>
  <c r="GM15" i="70"/>
  <c r="FO15" i="70"/>
  <c r="EQ15" i="70"/>
  <c r="HA15" i="70"/>
  <c r="GZ15" i="70"/>
  <c r="FB15" i="70"/>
  <c r="GS15" i="70"/>
  <c r="HP15" i="70"/>
  <c r="HJ15" i="70"/>
  <c r="GL15" i="70"/>
  <c r="FN15" i="70"/>
  <c r="EP15" i="70"/>
  <c r="HI15" i="70"/>
  <c r="GK15" i="70"/>
  <c r="FM15" i="70"/>
  <c r="EO15" i="70"/>
  <c r="HH15" i="70"/>
  <c r="GJ15" i="70"/>
  <c r="FL15" i="70"/>
  <c r="EN15" i="70"/>
  <c r="GI15" i="70"/>
  <c r="FK15" i="70"/>
  <c r="EM15" i="70"/>
  <c r="EG15" i="70"/>
  <c r="GA15" i="70"/>
  <c r="ED15" i="70"/>
  <c r="EC15" i="70"/>
  <c r="HF15" i="70"/>
  <c r="GH15" i="70"/>
  <c r="FJ15" i="70"/>
  <c r="EL15" i="70"/>
  <c r="GB15" i="70"/>
  <c r="GY15" i="70"/>
  <c r="GX15" i="70"/>
  <c r="DW15" i="70"/>
  <c r="GP15" i="70"/>
  <c r="HE15" i="70"/>
  <c r="FI15" i="70"/>
  <c r="EK15" i="70"/>
  <c r="GC15" i="70"/>
  <c r="FS15" i="70"/>
  <c r="HD15" i="70"/>
  <c r="GF15" i="70"/>
  <c r="FH15" i="70"/>
  <c r="EJ15" i="70"/>
  <c r="FE15" i="70"/>
  <c r="FD15" i="70"/>
  <c r="FY15" i="70"/>
  <c r="DX15" i="70"/>
  <c r="HC15" i="70"/>
  <c r="GE15" i="70"/>
  <c r="FG15" i="70"/>
  <c r="EF15" i="70"/>
  <c r="EE15" i="70"/>
  <c r="FA15" i="70"/>
  <c r="DY15" i="70"/>
  <c r="FR15" i="70"/>
  <c r="HB15" i="70"/>
  <c r="GD15" i="70"/>
  <c r="FF15" i="70"/>
  <c r="EH15" i="70"/>
  <c r="FC15" i="70"/>
  <c r="GW15" i="70"/>
  <c r="EW15" i="70"/>
  <c r="HN15" i="70"/>
  <c r="GV15" i="70"/>
  <c r="FX15" i="70"/>
  <c r="EZ15" i="70"/>
  <c r="EB15" i="70"/>
  <c r="HS15" i="70"/>
  <c r="GU15" i="70"/>
  <c r="FW15" i="70"/>
  <c r="EY15" i="70"/>
  <c r="EA15" i="70"/>
  <c r="HR15" i="70"/>
  <c r="FV15" i="70"/>
  <c r="EX15" i="70"/>
  <c r="DZ15" i="70"/>
  <c r="HQ15" i="70"/>
  <c r="FT15" i="70"/>
  <c r="GQ15" i="70"/>
  <c r="HN14" i="70"/>
  <c r="GP14" i="70"/>
  <c r="FR14" i="70"/>
  <c r="ET14" i="70"/>
  <c r="FO14" i="70"/>
  <c r="EE14" i="70"/>
  <c r="GX14" i="70"/>
  <c r="ED14" i="70"/>
  <c r="HO14" i="70"/>
  <c r="DW14" i="70"/>
  <c r="HM14" i="70"/>
  <c r="GO14" i="70"/>
  <c r="FQ14" i="70"/>
  <c r="ES14" i="70"/>
  <c r="FE14" i="70"/>
  <c r="FD14" i="70"/>
  <c r="EW14" i="70"/>
  <c r="HL14" i="70"/>
  <c r="GN14" i="70"/>
  <c r="FP14" i="70"/>
  <c r="ER14" i="70"/>
  <c r="HK14" i="70"/>
  <c r="EQ14" i="70"/>
  <c r="GD14" i="70"/>
  <c r="FC14" i="70"/>
  <c r="FZ14" i="70"/>
  <c r="FU14" i="70"/>
  <c r="GM14" i="70"/>
  <c r="GZ14" i="70"/>
  <c r="HR14" i="70"/>
  <c r="HQ14" i="70"/>
  <c r="GQ14" i="70"/>
  <c r="HJ14" i="70"/>
  <c r="GL14" i="70"/>
  <c r="FN14" i="70"/>
  <c r="EP14" i="70"/>
  <c r="EO14" i="70"/>
  <c r="EG14" i="70"/>
  <c r="FB14" i="70"/>
  <c r="DY14" i="70"/>
  <c r="HI14" i="70"/>
  <c r="GK14" i="70"/>
  <c r="FM14" i="70"/>
  <c r="FV14" i="70"/>
  <c r="EU14" i="70"/>
  <c r="HH14" i="70"/>
  <c r="GJ14" i="70"/>
  <c r="FL14" i="70"/>
  <c r="EN14" i="70"/>
  <c r="GI14" i="70"/>
  <c r="FK14" i="70"/>
  <c r="EM14" i="70"/>
  <c r="FF14" i="70"/>
  <c r="EF14" i="70"/>
  <c r="EX14" i="70"/>
  <c r="HF14" i="70"/>
  <c r="GH14" i="70"/>
  <c r="FJ14" i="70"/>
  <c r="EL14" i="70"/>
  <c r="GC14" i="70"/>
  <c r="FS14" i="70"/>
  <c r="HE14" i="70"/>
  <c r="FI14" i="70"/>
  <c r="EK14" i="70"/>
  <c r="EH14" i="70"/>
  <c r="GB14" i="70"/>
  <c r="FT14" i="70"/>
  <c r="HD14" i="70"/>
  <c r="GF14" i="70"/>
  <c r="FH14" i="70"/>
  <c r="EJ14" i="70"/>
  <c r="GY14" i="70"/>
  <c r="HP14" i="70"/>
  <c r="HC14" i="70"/>
  <c r="GE14" i="70"/>
  <c r="FG14" i="70"/>
  <c r="HB14" i="70"/>
  <c r="HA14" i="70"/>
  <c r="GA14" i="70"/>
  <c r="GS14" i="70"/>
  <c r="GR14" i="70"/>
  <c r="GW14" i="70"/>
  <c r="FY14" i="70"/>
  <c r="FA14" i="70"/>
  <c r="EC14" i="70"/>
  <c r="GV14" i="70"/>
  <c r="FX14" i="70"/>
  <c r="EZ14" i="70"/>
  <c r="EB14" i="70"/>
  <c r="HS14" i="70"/>
  <c r="GU14" i="70"/>
  <c r="FW14" i="70"/>
  <c r="EY14" i="70"/>
  <c r="EA14" i="70"/>
  <c r="DZ14" i="70"/>
  <c r="DX14" i="70"/>
  <c r="HQ13" i="70"/>
  <c r="GS13" i="70"/>
  <c r="FU13" i="70"/>
  <c r="EW13" i="70"/>
  <c r="DY13" i="70"/>
  <c r="HN13" i="70"/>
  <c r="GI13" i="70"/>
  <c r="GD13" i="70"/>
  <c r="HA13" i="70"/>
  <c r="FA13" i="70"/>
  <c r="GV13" i="70"/>
  <c r="DZ13" i="70"/>
  <c r="HP13" i="70"/>
  <c r="GR13" i="70"/>
  <c r="FT13" i="70"/>
  <c r="DX13" i="70"/>
  <c r="FR13" i="70"/>
  <c r="ER13" i="70"/>
  <c r="GK13" i="70"/>
  <c r="FM13" i="70"/>
  <c r="FK13" i="70"/>
  <c r="HE13" i="70"/>
  <c r="EJ13" i="70"/>
  <c r="HC13" i="70"/>
  <c r="EC13" i="70"/>
  <c r="FX13" i="70"/>
  <c r="HO13" i="70"/>
  <c r="GQ13" i="70"/>
  <c r="FS13" i="70"/>
  <c r="EU13" i="70"/>
  <c r="DW13" i="70"/>
  <c r="GP13" i="70"/>
  <c r="ET13" i="70"/>
  <c r="FP13" i="70"/>
  <c r="EK13" i="70"/>
  <c r="FH13" i="70"/>
  <c r="GW13" i="70"/>
  <c r="EB13" i="70"/>
  <c r="HS13" i="70"/>
  <c r="HM13" i="70"/>
  <c r="GO13" i="70"/>
  <c r="FQ13" i="70"/>
  <c r="ES13" i="70"/>
  <c r="GN13" i="70"/>
  <c r="HI13" i="70"/>
  <c r="EO13" i="70"/>
  <c r="EM13" i="70"/>
  <c r="GF13" i="70"/>
  <c r="FG13" i="70"/>
  <c r="HB13" i="70"/>
  <c r="GC13" i="70"/>
  <c r="FZ13" i="70"/>
  <c r="HL13" i="70"/>
  <c r="HD13" i="70"/>
  <c r="HK13" i="70"/>
  <c r="GM13" i="70"/>
  <c r="FO13" i="70"/>
  <c r="EQ13" i="70"/>
  <c r="FI13" i="70"/>
  <c r="FE13" i="70"/>
  <c r="HJ13" i="70"/>
  <c r="GL13" i="70"/>
  <c r="FN13" i="70"/>
  <c r="EP13" i="70"/>
  <c r="GE13" i="70"/>
  <c r="FF13" i="70"/>
  <c r="FY13" i="70"/>
  <c r="GU13" i="70"/>
  <c r="EA13" i="70"/>
  <c r="FV13" i="70"/>
  <c r="HH13" i="70"/>
  <c r="GJ13" i="70"/>
  <c r="FL13" i="70"/>
  <c r="EN13" i="70"/>
  <c r="EG13" i="70"/>
  <c r="FB13" i="70"/>
  <c r="EY13" i="70"/>
  <c r="HF13" i="70"/>
  <c r="GH13" i="70"/>
  <c r="FJ13" i="70"/>
  <c r="EL13" i="70"/>
  <c r="EH13" i="70"/>
  <c r="FW13" i="70"/>
  <c r="EX13" i="70"/>
  <c r="GZ13" i="70"/>
  <c r="GB13" i="70"/>
  <c r="FD13" i="70"/>
  <c r="EF13" i="70"/>
  <c r="GY13" i="70"/>
  <c r="GA13" i="70"/>
  <c r="FC13" i="70"/>
  <c r="EE13" i="70"/>
  <c r="GX13" i="70"/>
  <c r="ED13" i="70"/>
  <c r="EZ13" i="70"/>
  <c r="HR13" i="70"/>
  <c r="HN14" i="69"/>
  <c r="GP14" i="69"/>
  <c r="FR14" i="69"/>
  <c r="ET14" i="69"/>
  <c r="HJ14" i="69"/>
  <c r="EP14" i="69"/>
  <c r="HB14" i="69"/>
  <c r="EH14" i="69"/>
  <c r="DZ14" i="69"/>
  <c r="DY14" i="69"/>
  <c r="HM14" i="69"/>
  <c r="GO14" i="69"/>
  <c r="FQ14" i="69"/>
  <c r="ES14" i="69"/>
  <c r="FF14" i="69"/>
  <c r="GU14" i="69"/>
  <c r="HL14" i="69"/>
  <c r="GN14" i="69"/>
  <c r="FP14" i="69"/>
  <c r="ER14" i="69"/>
  <c r="GL14" i="69"/>
  <c r="FG14" i="69"/>
  <c r="ED14" i="69"/>
  <c r="FA14" i="69"/>
  <c r="GV14" i="69"/>
  <c r="EB14" i="69"/>
  <c r="HK14" i="69"/>
  <c r="GM14" i="69"/>
  <c r="FO14" i="69"/>
  <c r="EQ14" i="69"/>
  <c r="FN14" i="69"/>
  <c r="GE14" i="69"/>
  <c r="FZ14" i="69"/>
  <c r="HI14" i="69"/>
  <c r="GK14" i="69"/>
  <c r="FM14" i="69"/>
  <c r="EO14" i="69"/>
  <c r="GH14" i="69"/>
  <c r="GD14" i="69"/>
  <c r="GW14" i="69"/>
  <c r="EZ14" i="69"/>
  <c r="FU14" i="69"/>
  <c r="HH14" i="69"/>
  <c r="GJ14" i="69"/>
  <c r="FL14" i="69"/>
  <c r="EN14" i="69"/>
  <c r="HF14" i="69"/>
  <c r="FJ14" i="69"/>
  <c r="EL14" i="69"/>
  <c r="EY14" i="69"/>
  <c r="HQ14" i="69"/>
  <c r="EW14" i="69"/>
  <c r="GI14" i="69"/>
  <c r="FK14" i="69"/>
  <c r="EM14" i="69"/>
  <c r="FB14" i="69"/>
  <c r="FY14" i="69"/>
  <c r="EC14" i="69"/>
  <c r="FX14" i="69"/>
  <c r="HR14" i="69"/>
  <c r="HE14" i="69"/>
  <c r="FI14" i="69"/>
  <c r="EK14" i="69"/>
  <c r="HD14" i="69"/>
  <c r="GF14" i="69"/>
  <c r="FH14" i="69"/>
  <c r="EJ14" i="69"/>
  <c r="HC14" i="69"/>
  <c r="EA14" i="69"/>
  <c r="FV14" i="69"/>
  <c r="HA14" i="69"/>
  <c r="GC14" i="69"/>
  <c r="FE14" i="69"/>
  <c r="EG14" i="69"/>
  <c r="GY14" i="69"/>
  <c r="GA14" i="69"/>
  <c r="FC14" i="69"/>
  <c r="EE14" i="69"/>
  <c r="EX14" i="69"/>
  <c r="GS14" i="69"/>
  <c r="GZ14" i="69"/>
  <c r="GB14" i="69"/>
  <c r="FD14" i="69"/>
  <c r="EF14" i="69"/>
  <c r="GX14" i="69"/>
  <c r="HS14" i="69"/>
  <c r="HP14" i="69"/>
  <c r="GR14" i="69"/>
  <c r="FT14" i="69"/>
  <c r="DX14" i="69"/>
  <c r="HO14" i="69"/>
  <c r="GQ14" i="69"/>
  <c r="FS14" i="69"/>
  <c r="EU14" i="69"/>
  <c r="DW14" i="69"/>
  <c r="FW14" i="69"/>
  <c r="HM15" i="68"/>
  <c r="GO15" i="68"/>
  <c r="FQ15" i="68"/>
  <c r="ES15" i="68"/>
  <c r="GR15" i="68"/>
  <c r="DW15" i="68"/>
  <c r="HL15" i="68"/>
  <c r="GN15" i="68"/>
  <c r="FP15" i="68"/>
  <c r="ER15" i="68"/>
  <c r="FC15" i="68"/>
  <c r="HQ15" i="68"/>
  <c r="HK15" i="68"/>
  <c r="GM15" i="68"/>
  <c r="FO15" i="68"/>
  <c r="EQ15" i="68"/>
  <c r="GZ15" i="68"/>
  <c r="GA15" i="68"/>
  <c r="ED15" i="68"/>
  <c r="EZ15" i="68"/>
  <c r="HJ15" i="68"/>
  <c r="GL15" i="68"/>
  <c r="FN15" i="68"/>
  <c r="EP15" i="68"/>
  <c r="GB15" i="68"/>
  <c r="EW15" i="68"/>
  <c r="DX15" i="68"/>
  <c r="FR15" i="68"/>
  <c r="HI15" i="68"/>
  <c r="GK15" i="68"/>
  <c r="FM15" i="68"/>
  <c r="EO15" i="68"/>
  <c r="GP15" i="68"/>
  <c r="HH15" i="68"/>
  <c r="GJ15" i="68"/>
  <c r="FL15" i="68"/>
  <c r="EN15" i="68"/>
  <c r="FZ15" i="68"/>
  <c r="GI15" i="68"/>
  <c r="FK15" i="68"/>
  <c r="EM15" i="68"/>
  <c r="EF15" i="68"/>
  <c r="EE15" i="68"/>
  <c r="DY15" i="68"/>
  <c r="FT15" i="68"/>
  <c r="FS15" i="68"/>
  <c r="HF15" i="68"/>
  <c r="GH15" i="68"/>
  <c r="FJ15" i="68"/>
  <c r="EL15" i="68"/>
  <c r="FD15" i="68"/>
  <c r="GY15" i="68"/>
  <c r="GV15" i="68"/>
  <c r="ET15" i="68"/>
  <c r="HE15" i="68"/>
  <c r="FI15" i="68"/>
  <c r="EK15" i="68"/>
  <c r="HD15" i="68"/>
  <c r="GF15" i="68"/>
  <c r="FH15" i="68"/>
  <c r="EJ15" i="68"/>
  <c r="HO15" i="68"/>
  <c r="HC15" i="68"/>
  <c r="GE15" i="68"/>
  <c r="FG15" i="68"/>
  <c r="FB15" i="68"/>
  <c r="EB15" i="68"/>
  <c r="HP15" i="68"/>
  <c r="HB15" i="68"/>
  <c r="GD15" i="68"/>
  <c r="FF15" i="68"/>
  <c r="EH15" i="68"/>
  <c r="GS15" i="68"/>
  <c r="EU15" i="68"/>
  <c r="HA15" i="68"/>
  <c r="GC15" i="68"/>
  <c r="FE15" i="68"/>
  <c r="EG15" i="68"/>
  <c r="GX15" i="68"/>
  <c r="FX15" i="68"/>
  <c r="HN15" i="68"/>
  <c r="GW15" i="68"/>
  <c r="FY15" i="68"/>
  <c r="FA15" i="68"/>
  <c r="EC15" i="68"/>
  <c r="FU15" i="68"/>
  <c r="HS15" i="68"/>
  <c r="GU15" i="68"/>
  <c r="FW15" i="68"/>
  <c r="EY15" i="68"/>
  <c r="EA15" i="68"/>
  <c r="HR15" i="68"/>
  <c r="FV15" i="68"/>
  <c r="EX15" i="68"/>
  <c r="DZ15" i="68"/>
  <c r="GQ15" i="68"/>
  <c r="HQ13" i="68"/>
  <c r="GS13" i="68"/>
  <c r="FU13" i="68"/>
  <c r="EW13" i="68"/>
  <c r="DY13" i="68"/>
  <c r="HO13" i="68"/>
  <c r="GQ13" i="68"/>
  <c r="EU13" i="68"/>
  <c r="DW13" i="68"/>
  <c r="GP13" i="68"/>
  <c r="GN13" i="68"/>
  <c r="GL13" i="68"/>
  <c r="FM13" i="68"/>
  <c r="FG13" i="68"/>
  <c r="EH13" i="68"/>
  <c r="GV13" i="68"/>
  <c r="HP13" i="68"/>
  <c r="GR13" i="68"/>
  <c r="FT13" i="68"/>
  <c r="DX13" i="68"/>
  <c r="FS13" i="68"/>
  <c r="HN13" i="68"/>
  <c r="ET13" i="68"/>
  <c r="HL13" i="68"/>
  <c r="ER13" i="68"/>
  <c r="EP13" i="68"/>
  <c r="FL13" i="68"/>
  <c r="EM13" i="68"/>
  <c r="HC13" i="68"/>
  <c r="GB13" i="68"/>
  <c r="EF13" i="68"/>
  <c r="GK13" i="68"/>
  <c r="HD13" i="68"/>
  <c r="FR13" i="68"/>
  <c r="EL13" i="68"/>
  <c r="FI13" i="68"/>
  <c r="EC13" i="68"/>
  <c r="FX13" i="68"/>
  <c r="EA13" i="68"/>
  <c r="HR13" i="68"/>
  <c r="HM13" i="68"/>
  <c r="GO13" i="68"/>
  <c r="FQ13" i="68"/>
  <c r="ES13" i="68"/>
  <c r="FP13" i="68"/>
  <c r="HJ13" i="68"/>
  <c r="GH13" i="68"/>
  <c r="EK13" i="68"/>
  <c r="FH13" i="68"/>
  <c r="GZ13" i="68"/>
  <c r="EY13" i="68"/>
  <c r="FD13" i="68"/>
  <c r="HK13" i="68"/>
  <c r="GM13" i="68"/>
  <c r="FO13" i="68"/>
  <c r="EQ13" i="68"/>
  <c r="FN13" i="68"/>
  <c r="EO13" i="68"/>
  <c r="HH13" i="68"/>
  <c r="HF13" i="68"/>
  <c r="HE13" i="68"/>
  <c r="EJ13" i="68"/>
  <c r="GE13" i="68"/>
  <c r="GD13" i="68"/>
  <c r="HS13" i="68"/>
  <c r="FV13" i="68"/>
  <c r="EN13" i="68"/>
  <c r="FJ13" i="68"/>
  <c r="GF13" i="68"/>
  <c r="HI13" i="68"/>
  <c r="FF13" i="68"/>
  <c r="FY13" i="68"/>
  <c r="FW13" i="68"/>
  <c r="GJ13" i="68"/>
  <c r="EB13" i="68"/>
  <c r="DZ13" i="68"/>
  <c r="GI13" i="68"/>
  <c r="FK13" i="68"/>
  <c r="HB13" i="68"/>
  <c r="FA13" i="68"/>
  <c r="GW13" i="68"/>
  <c r="EZ13" i="68"/>
  <c r="GU13" i="68"/>
  <c r="HA13" i="68"/>
  <c r="GC13" i="68"/>
  <c r="FE13" i="68"/>
  <c r="EG13" i="68"/>
  <c r="EX13" i="68"/>
  <c r="GY13" i="68"/>
  <c r="GA13" i="68"/>
  <c r="FC13" i="68"/>
  <c r="EE13" i="68"/>
  <c r="GX13" i="68"/>
  <c r="FZ13" i="68"/>
  <c r="FB13" i="68"/>
  <c r="ED13" i="68"/>
  <c r="HN14" i="67"/>
  <c r="GP14" i="67"/>
  <c r="FR14" i="67"/>
  <c r="ET14" i="67"/>
  <c r="FN14" i="67"/>
  <c r="HF14" i="67"/>
  <c r="FG14" i="67"/>
  <c r="GZ14" i="67"/>
  <c r="FC14" i="67"/>
  <c r="EZ14" i="67"/>
  <c r="EA14" i="67"/>
  <c r="EX14" i="67"/>
  <c r="FU14" i="67"/>
  <c r="HM14" i="67"/>
  <c r="GO14" i="67"/>
  <c r="FQ14" i="67"/>
  <c r="ES14" i="67"/>
  <c r="FO14" i="67"/>
  <c r="HJ14" i="67"/>
  <c r="GH14" i="67"/>
  <c r="EC14" i="67"/>
  <c r="EB14" i="67"/>
  <c r="FW14" i="67"/>
  <c r="DW14" i="67"/>
  <c r="HL14" i="67"/>
  <c r="GN14" i="67"/>
  <c r="FP14" i="67"/>
  <c r="ER14" i="67"/>
  <c r="HK14" i="67"/>
  <c r="EQ14" i="67"/>
  <c r="GL14" i="67"/>
  <c r="EP14" i="67"/>
  <c r="FJ14" i="67"/>
  <c r="GC14" i="67"/>
  <c r="GB14" i="67"/>
  <c r="FZ14" i="67"/>
  <c r="GS14" i="67"/>
  <c r="GM14" i="67"/>
  <c r="HA14" i="67"/>
  <c r="HR14" i="67"/>
  <c r="FS14" i="67"/>
  <c r="HI14" i="67"/>
  <c r="GK14" i="67"/>
  <c r="FM14" i="67"/>
  <c r="EO14" i="67"/>
  <c r="EL14" i="67"/>
  <c r="HB14" i="67"/>
  <c r="FE14" i="67"/>
  <c r="FD14" i="67"/>
  <c r="FY14" i="67"/>
  <c r="FX14" i="67"/>
  <c r="DZ14" i="67"/>
  <c r="HP14" i="67"/>
  <c r="GR14" i="67"/>
  <c r="DX14" i="67"/>
  <c r="EU14" i="67"/>
  <c r="HH14" i="67"/>
  <c r="GJ14" i="67"/>
  <c r="FL14" i="67"/>
  <c r="EN14" i="67"/>
  <c r="GE14" i="67"/>
  <c r="GV14" i="67"/>
  <c r="HQ14" i="67"/>
  <c r="EW14" i="67"/>
  <c r="GI14" i="67"/>
  <c r="FK14" i="67"/>
  <c r="EM14" i="67"/>
  <c r="FF14" i="67"/>
  <c r="FA14" i="67"/>
  <c r="FV14" i="67"/>
  <c r="DY14" i="67"/>
  <c r="GQ14" i="67"/>
  <c r="GD14" i="67"/>
  <c r="EH14" i="67"/>
  <c r="EG14" i="67"/>
  <c r="EF14" i="67"/>
  <c r="GA14" i="67"/>
  <c r="FB14" i="67"/>
  <c r="GW14" i="67"/>
  <c r="EY14" i="67"/>
  <c r="HE14" i="67"/>
  <c r="FI14" i="67"/>
  <c r="EK14" i="67"/>
  <c r="HC14" i="67"/>
  <c r="EE14" i="67"/>
  <c r="ED14" i="67"/>
  <c r="GU14" i="67"/>
  <c r="FT14" i="67"/>
  <c r="HD14" i="67"/>
  <c r="GF14" i="67"/>
  <c r="FH14" i="67"/>
  <c r="EJ14" i="67"/>
  <c r="GX14" i="67"/>
  <c r="HO14" i="67"/>
  <c r="GY14" i="67"/>
  <c r="HS14" i="67"/>
  <c r="HQ13" i="67"/>
  <c r="GS13" i="67"/>
  <c r="FU13" i="67"/>
  <c r="EW13" i="67"/>
  <c r="DY13" i="67"/>
  <c r="ET13" i="67"/>
  <c r="GO13" i="67"/>
  <c r="ES13" i="67"/>
  <c r="ER13" i="67"/>
  <c r="GL13" i="67"/>
  <c r="HC13" i="67"/>
  <c r="GY13" i="67"/>
  <c r="ED13" i="67"/>
  <c r="HP13" i="67"/>
  <c r="GR13" i="67"/>
  <c r="FT13" i="67"/>
  <c r="DX13" i="67"/>
  <c r="GP13" i="67"/>
  <c r="FN13" i="67"/>
  <c r="HI13" i="67"/>
  <c r="FH13" i="67"/>
  <c r="GX13" i="67"/>
  <c r="FW13" i="67"/>
  <c r="HO13" i="67"/>
  <c r="GQ13" i="67"/>
  <c r="FS13" i="67"/>
  <c r="EU13" i="67"/>
  <c r="DW13" i="67"/>
  <c r="FR13" i="67"/>
  <c r="HM13" i="67"/>
  <c r="FQ13" i="67"/>
  <c r="HJ13" i="67"/>
  <c r="FM13" i="67"/>
  <c r="HF13" i="67"/>
  <c r="FI13" i="67"/>
  <c r="GF13" i="67"/>
  <c r="GE13" i="67"/>
  <c r="HB13" i="67"/>
  <c r="FE13" i="67"/>
  <c r="FC13" i="67"/>
  <c r="FX13" i="67"/>
  <c r="FV13" i="67"/>
  <c r="HN13" i="67"/>
  <c r="EK13" i="67"/>
  <c r="GB13" i="67"/>
  <c r="EB13" i="67"/>
  <c r="HE13" i="67"/>
  <c r="EC13" i="67"/>
  <c r="HS13" i="67"/>
  <c r="HL13" i="67"/>
  <c r="GN13" i="67"/>
  <c r="FP13" i="67"/>
  <c r="GK13" i="67"/>
  <c r="GZ13" i="67"/>
  <c r="FD13" i="67"/>
  <c r="EE13" i="67"/>
  <c r="EY13" i="67"/>
  <c r="HR13" i="67"/>
  <c r="HK13" i="67"/>
  <c r="GM13" i="67"/>
  <c r="FO13" i="67"/>
  <c r="EQ13" i="67"/>
  <c r="EP13" i="67"/>
  <c r="EO13" i="67"/>
  <c r="GH13" i="67"/>
  <c r="GD13" i="67"/>
  <c r="GA13" i="67"/>
  <c r="GW13" i="67"/>
  <c r="EX13" i="67"/>
  <c r="FJ13" i="67"/>
  <c r="FG13" i="67"/>
  <c r="FA13" i="67"/>
  <c r="EZ13" i="67"/>
  <c r="HD13" i="67"/>
  <c r="FF13" i="67"/>
  <c r="EG13" i="67"/>
  <c r="EF13" i="67"/>
  <c r="FB13" i="67"/>
  <c r="HH13" i="67"/>
  <c r="GJ13" i="67"/>
  <c r="FL13" i="67"/>
  <c r="EN13" i="67"/>
  <c r="EL13" i="67"/>
  <c r="EJ13" i="67"/>
  <c r="GC13" i="67"/>
  <c r="FZ13" i="67"/>
  <c r="FY13" i="67"/>
  <c r="GU13" i="67"/>
  <c r="DZ13" i="67"/>
  <c r="GI13" i="67"/>
  <c r="FK13" i="67"/>
  <c r="EM13" i="67"/>
  <c r="HA13" i="67"/>
  <c r="GV13" i="67"/>
  <c r="EH13" i="67"/>
  <c r="EA13" i="67"/>
  <c r="HM15" i="67"/>
  <c r="GO15" i="67"/>
  <c r="FQ15" i="67"/>
  <c r="ES15" i="67"/>
  <c r="GC15" i="67"/>
  <c r="EA15" i="67"/>
  <c r="FV15" i="67"/>
  <c r="FU15" i="67"/>
  <c r="FS15" i="67"/>
  <c r="FR15" i="67"/>
  <c r="HL15" i="67"/>
  <c r="GN15" i="67"/>
  <c r="FP15" i="67"/>
  <c r="ER15" i="67"/>
  <c r="FB15" i="67"/>
  <c r="GW15" i="67"/>
  <c r="ET15" i="67"/>
  <c r="HK15" i="67"/>
  <c r="GM15" i="67"/>
  <c r="FO15" i="67"/>
  <c r="EQ15" i="67"/>
  <c r="GZ15" i="67"/>
  <c r="GY15" i="67"/>
  <c r="FZ15" i="67"/>
  <c r="FA15" i="67"/>
  <c r="EY15" i="67"/>
  <c r="HO15" i="67"/>
  <c r="HJ15" i="67"/>
  <c r="GL15" i="67"/>
  <c r="FN15" i="67"/>
  <c r="EP15" i="67"/>
  <c r="FE15" i="67"/>
  <c r="HI15" i="67"/>
  <c r="GK15" i="67"/>
  <c r="FM15" i="67"/>
  <c r="EO15" i="67"/>
  <c r="FF15" i="67"/>
  <c r="FD15" i="67"/>
  <c r="GR15" i="67"/>
  <c r="HH15" i="67"/>
  <c r="GJ15" i="67"/>
  <c r="FL15" i="67"/>
  <c r="EN15" i="67"/>
  <c r="HB15" i="67"/>
  <c r="GB15" i="67"/>
  <c r="GA15" i="67"/>
  <c r="FX15" i="67"/>
  <c r="HS15" i="67"/>
  <c r="EX15" i="67"/>
  <c r="GS15" i="67"/>
  <c r="GI15" i="67"/>
  <c r="FK15" i="67"/>
  <c r="EM15" i="67"/>
  <c r="EF15" i="67"/>
  <c r="EC15" i="67"/>
  <c r="GU15" i="67"/>
  <c r="HR15" i="67"/>
  <c r="GP15" i="67"/>
  <c r="HF15" i="67"/>
  <c r="GH15" i="67"/>
  <c r="FJ15" i="67"/>
  <c r="EL15" i="67"/>
  <c r="EE15" i="67"/>
  <c r="FW15" i="67"/>
  <c r="DY15" i="67"/>
  <c r="HP15" i="67"/>
  <c r="GQ15" i="67"/>
  <c r="HE15" i="67"/>
  <c r="FI15" i="67"/>
  <c r="EK15" i="67"/>
  <c r="EG15" i="67"/>
  <c r="FC15" i="67"/>
  <c r="GV15" i="67"/>
  <c r="DZ15" i="67"/>
  <c r="HQ15" i="67"/>
  <c r="HD15" i="67"/>
  <c r="GF15" i="67"/>
  <c r="FH15" i="67"/>
  <c r="EJ15" i="67"/>
  <c r="GD15" i="67"/>
  <c r="ED15" i="67"/>
  <c r="EW15" i="67"/>
  <c r="FT15" i="67"/>
  <c r="DW15" i="67"/>
  <c r="HN15" i="67"/>
  <c r="HC15" i="67"/>
  <c r="GE15" i="67"/>
  <c r="FG15" i="67"/>
  <c r="EH15" i="67"/>
  <c r="HA15" i="67"/>
  <c r="GX15" i="67"/>
  <c r="FY15" i="67"/>
  <c r="EB15" i="67"/>
  <c r="DX15" i="67"/>
  <c r="EU15" i="67"/>
  <c r="EZ15" i="67"/>
  <c r="HQ13" i="66"/>
  <c r="GS13" i="66"/>
  <c r="FU13" i="66"/>
  <c r="EW13" i="66"/>
  <c r="DY13" i="66"/>
  <c r="HP13" i="66"/>
  <c r="GR13" i="66"/>
  <c r="FT13" i="66"/>
  <c r="DX13" i="66"/>
  <c r="DW13" i="66"/>
  <c r="FD13" i="66"/>
  <c r="GA13" i="66"/>
  <c r="EY13" i="66"/>
  <c r="EP13" i="66"/>
  <c r="HI13" i="66"/>
  <c r="FC13" i="66"/>
  <c r="HO13" i="66"/>
  <c r="GQ13" i="66"/>
  <c r="FS13" i="66"/>
  <c r="EU13" i="66"/>
  <c r="GP13" i="66"/>
  <c r="FR13" i="66"/>
  <c r="ET13" i="66"/>
  <c r="HM13" i="66"/>
  <c r="GO13" i="66"/>
  <c r="EO13" i="66"/>
  <c r="FF13" i="66"/>
  <c r="EG13" i="66"/>
  <c r="GY13" i="66"/>
  <c r="FB13" i="66"/>
  <c r="FX13" i="66"/>
  <c r="EX13" i="66"/>
  <c r="HN13" i="66"/>
  <c r="ES13" i="66"/>
  <c r="FE13" i="66"/>
  <c r="GB13" i="66"/>
  <c r="GU13" i="66"/>
  <c r="HR13" i="66"/>
  <c r="FQ13" i="66"/>
  <c r="FM13" i="66"/>
  <c r="EZ13" i="66"/>
  <c r="HL13" i="66"/>
  <c r="GN13" i="66"/>
  <c r="FP13" i="66"/>
  <c r="ER13" i="66"/>
  <c r="FG13" i="66"/>
  <c r="FZ13" i="66"/>
  <c r="GW13" i="66"/>
  <c r="GV13" i="66"/>
  <c r="HK13" i="66"/>
  <c r="GM13" i="66"/>
  <c r="FO13" i="66"/>
  <c r="EQ13" i="66"/>
  <c r="HJ13" i="66"/>
  <c r="GL13" i="66"/>
  <c r="FN13" i="66"/>
  <c r="GK13" i="66"/>
  <c r="HB13" i="66"/>
  <c r="HA13" i="66"/>
  <c r="GZ13" i="66"/>
  <c r="EH13" i="66"/>
  <c r="GC13" i="66"/>
  <c r="FY13" i="66"/>
  <c r="EB13" i="66"/>
  <c r="HH13" i="66"/>
  <c r="GJ13" i="66"/>
  <c r="FL13" i="66"/>
  <c r="EN13" i="66"/>
  <c r="FK13" i="66"/>
  <c r="EM13" i="66"/>
  <c r="FH13" i="66"/>
  <c r="ED13" i="66"/>
  <c r="FA13" i="66"/>
  <c r="DZ13" i="66"/>
  <c r="GI13" i="66"/>
  <c r="EE13" i="66"/>
  <c r="FW13" i="66"/>
  <c r="HF13" i="66"/>
  <c r="GH13" i="66"/>
  <c r="FJ13" i="66"/>
  <c r="EL13" i="66"/>
  <c r="EK13" i="66"/>
  <c r="GF13" i="66"/>
  <c r="EJ13" i="66"/>
  <c r="HC13" i="66"/>
  <c r="HS13" i="66"/>
  <c r="EA13" i="66"/>
  <c r="HE13" i="66"/>
  <c r="FI13" i="66"/>
  <c r="HD13" i="66"/>
  <c r="GE13" i="66"/>
  <c r="GD13" i="66"/>
  <c r="EF13" i="66"/>
  <c r="EC13" i="66"/>
  <c r="GX13" i="66"/>
  <c r="FV13" i="66"/>
  <c r="HN14" i="66"/>
  <c r="GP14" i="66"/>
  <c r="FR14" i="66"/>
  <c r="ET14" i="66"/>
  <c r="HM14" i="66"/>
  <c r="GO14" i="66"/>
  <c r="FQ14" i="66"/>
  <c r="ES14" i="66"/>
  <c r="HK14" i="66"/>
  <c r="FO14" i="66"/>
  <c r="EQ14" i="66"/>
  <c r="HF14" i="66"/>
  <c r="EF14" i="66"/>
  <c r="GA14" i="66"/>
  <c r="FX14" i="66"/>
  <c r="EA14" i="66"/>
  <c r="FV14" i="66"/>
  <c r="FS14" i="66"/>
  <c r="EY14" i="66"/>
  <c r="HL14" i="66"/>
  <c r="GN14" i="66"/>
  <c r="FP14" i="66"/>
  <c r="ER14" i="66"/>
  <c r="GM14" i="66"/>
  <c r="FN14" i="66"/>
  <c r="FJ14" i="66"/>
  <c r="GB14" i="66"/>
  <c r="FC14" i="66"/>
  <c r="GX14" i="66"/>
  <c r="EB14" i="66"/>
  <c r="FW14" i="66"/>
  <c r="GS14" i="66"/>
  <c r="DY14" i="66"/>
  <c r="GQ14" i="66"/>
  <c r="EL14" i="66"/>
  <c r="HS14" i="66"/>
  <c r="HR14" i="66"/>
  <c r="HP14" i="66"/>
  <c r="HJ14" i="66"/>
  <c r="GL14" i="66"/>
  <c r="EP14" i="66"/>
  <c r="HI14" i="66"/>
  <c r="GK14" i="66"/>
  <c r="FM14" i="66"/>
  <c r="EO14" i="66"/>
  <c r="GH14" i="66"/>
  <c r="GZ14" i="66"/>
  <c r="GV14" i="66"/>
  <c r="EZ14" i="66"/>
  <c r="GU14" i="66"/>
  <c r="HQ14" i="66"/>
  <c r="HO14" i="66"/>
  <c r="HH14" i="66"/>
  <c r="GJ14" i="66"/>
  <c r="FL14" i="66"/>
  <c r="EN14" i="66"/>
  <c r="GI14" i="66"/>
  <c r="EM14" i="66"/>
  <c r="FB14" i="66"/>
  <c r="FY14" i="66"/>
  <c r="EW14" i="66"/>
  <c r="FK14" i="66"/>
  <c r="EE14" i="66"/>
  <c r="FZ14" i="66"/>
  <c r="HE14" i="66"/>
  <c r="FI14" i="66"/>
  <c r="EK14" i="66"/>
  <c r="EJ14" i="66"/>
  <c r="FD14" i="66"/>
  <c r="ED14" i="66"/>
  <c r="GW14" i="66"/>
  <c r="HD14" i="66"/>
  <c r="GF14" i="66"/>
  <c r="FH14" i="66"/>
  <c r="FU14" i="66"/>
  <c r="GR14" i="66"/>
  <c r="DW14" i="66"/>
  <c r="HC14" i="66"/>
  <c r="GE14" i="66"/>
  <c r="FG14" i="66"/>
  <c r="FE14" i="66"/>
  <c r="FA14" i="66"/>
  <c r="EC14" i="66"/>
  <c r="DZ14" i="66"/>
  <c r="FT14" i="66"/>
  <c r="HB14" i="66"/>
  <c r="GD14" i="66"/>
  <c r="FF14" i="66"/>
  <c r="EH14" i="66"/>
  <c r="HA14" i="66"/>
  <c r="GC14" i="66"/>
  <c r="EG14" i="66"/>
  <c r="GY14" i="66"/>
  <c r="EU14" i="66"/>
  <c r="EX14" i="66"/>
  <c r="DX14" i="66"/>
  <c r="AB15" i="100"/>
  <c r="AB14" i="100"/>
  <c r="AB13" i="100"/>
  <c r="AB15" i="99"/>
  <c r="AB14" i="99"/>
  <c r="AB13" i="99"/>
  <c r="AB15" i="98"/>
  <c r="AB14" i="98"/>
  <c r="AB13" i="98"/>
  <c r="AB15" i="97"/>
  <c r="AB14" i="97"/>
  <c r="AB13" i="97"/>
  <c r="AB15" i="96"/>
  <c r="AB14" i="96"/>
  <c r="AB13" i="96"/>
  <c r="AB15" i="95"/>
  <c r="AB14" i="95"/>
  <c r="AB13" i="95"/>
  <c r="AB15" i="94"/>
  <c r="AB14" i="94"/>
  <c r="AB13" i="94"/>
  <c r="AB15" i="93"/>
  <c r="AB14" i="93"/>
  <c r="AB13" i="93"/>
  <c r="AB15" i="92"/>
  <c r="AB14" i="92"/>
  <c r="AB13" i="92"/>
  <c r="AB15" i="91"/>
  <c r="AB14" i="91"/>
  <c r="AB13" i="91"/>
  <c r="AB15" i="90"/>
  <c r="AB14" i="90"/>
  <c r="AB13" i="90"/>
  <c r="AB15" i="89"/>
  <c r="AB14" i="89"/>
  <c r="AB13" i="89"/>
  <c r="AB15" i="88"/>
  <c r="AB14" i="88"/>
  <c r="AB13" i="88"/>
  <c r="AB15" i="87"/>
  <c r="AB14" i="87"/>
  <c r="AB13" i="87"/>
  <c r="AB15" i="86"/>
  <c r="AB14" i="86"/>
  <c r="AB13" i="86"/>
  <c r="AB15" i="85"/>
  <c r="AB14" i="85"/>
  <c r="AB13" i="85"/>
  <c r="AB15" i="84"/>
  <c r="AB14" i="84"/>
  <c r="AB13" i="84"/>
  <c r="AB15" i="83"/>
  <c r="AB14" i="83"/>
  <c r="AB13" i="83"/>
  <c r="AB15" i="82"/>
  <c r="AB14" i="82"/>
  <c r="AB13" i="82"/>
  <c r="AB15" i="81"/>
  <c r="AB14" i="81"/>
  <c r="AB13" i="81"/>
  <c r="AB15" i="74"/>
  <c r="AB14" i="74"/>
  <c r="AB13" i="74"/>
  <c r="AB15" i="73"/>
  <c r="AB14" i="73"/>
  <c r="AB13" i="73"/>
  <c r="AB15" i="72"/>
  <c r="AB14" i="72"/>
  <c r="AB13" i="72"/>
  <c r="AB15" i="71"/>
  <c r="AB14" i="71"/>
  <c r="AB13" i="71"/>
  <c r="AB15" i="70"/>
  <c r="AB14" i="70"/>
  <c r="AB13" i="70"/>
  <c r="AB15" i="69"/>
  <c r="AB14" i="69"/>
  <c r="AB13" i="69"/>
  <c r="AB15" i="68"/>
  <c r="AB14" i="68"/>
  <c r="AB13" i="68"/>
  <c r="AB15" i="67"/>
  <c r="AB14" i="67"/>
  <c r="AB13" i="67"/>
  <c r="AB15" i="66"/>
  <c r="AB14" i="66"/>
  <c r="AB13" i="66"/>
  <c r="AB15" i="18"/>
  <c r="Q15" i="18" s="1"/>
  <c r="AB14" i="18"/>
  <c r="Q14" i="18" s="1"/>
  <c r="AB13" i="18"/>
  <c r="Q13" i="18" s="1"/>
  <c r="S4" i="102" s="1"/>
  <c r="FJ5" i="16"/>
  <c r="FF5" i="16"/>
  <c r="CK14" i="18"/>
  <c r="CK15" i="18"/>
  <c r="CK13" i="18"/>
  <c r="O7" i="16"/>
  <c r="DV13" i="88" l="1"/>
  <c r="CX13" i="88" s="1"/>
  <c r="GG13" i="91"/>
  <c r="GT14" i="94"/>
  <c r="EI15" i="95"/>
  <c r="HT15" i="96"/>
  <c r="GT13" i="88"/>
  <c r="GT15" i="95"/>
  <c r="DV15" i="95"/>
  <c r="CX15" i="95" s="1"/>
  <c r="HG15" i="95"/>
  <c r="HG15" i="85"/>
  <c r="GG15" i="95"/>
  <c r="GT14" i="90"/>
  <c r="EI15" i="99"/>
  <c r="DU15" i="99" s="1"/>
  <c r="DA15" i="99" s="1"/>
  <c r="HT14" i="90"/>
  <c r="DU14" i="90" s="1"/>
  <c r="DA14" i="90" s="1"/>
  <c r="EV15" i="85"/>
  <c r="DV14" i="90"/>
  <c r="CX14" i="90" s="1"/>
  <c r="EV13" i="91"/>
  <c r="DV13" i="91"/>
  <c r="CX13" i="91" s="1"/>
  <c r="GT13" i="91"/>
  <c r="DU13" i="91" s="1"/>
  <c r="HT13" i="88"/>
  <c r="EV13" i="96"/>
  <c r="DU13" i="96" s="1"/>
  <c r="EI15" i="94"/>
  <c r="DV13" i="87"/>
  <c r="CX13" i="87" s="1"/>
  <c r="HG13" i="98"/>
  <c r="EV14" i="94"/>
  <c r="GT13" i="96"/>
  <c r="HG13" i="96"/>
  <c r="EI14" i="90"/>
  <c r="EI13" i="69"/>
  <c r="GT15" i="85"/>
  <c r="EI13" i="98"/>
  <c r="GT15" i="96"/>
  <c r="GG13" i="96"/>
  <c r="EV14" i="86"/>
  <c r="HT15" i="85"/>
  <c r="GT15" i="98"/>
  <c r="HG15" i="94"/>
  <c r="GG15" i="94"/>
  <c r="HG15" i="96"/>
  <c r="HT13" i="72"/>
  <c r="DV15" i="94"/>
  <c r="CX15" i="94" s="1"/>
  <c r="GG15" i="85"/>
  <c r="GT15" i="94"/>
  <c r="EI13" i="88"/>
  <c r="DU13" i="88" s="1"/>
  <c r="HG14" i="94"/>
  <c r="GG15" i="96"/>
  <c r="EI15" i="85"/>
  <c r="HT13" i="96"/>
  <c r="DV13" i="96"/>
  <c r="CX13" i="96" s="1"/>
  <c r="HT13" i="84"/>
  <c r="DV15" i="96"/>
  <c r="CX15" i="96" s="1"/>
  <c r="EI15" i="96"/>
  <c r="EV15" i="96"/>
  <c r="HT13" i="69"/>
  <c r="HG13" i="72"/>
  <c r="GT13" i="72"/>
  <c r="HG13" i="69"/>
  <c r="HG15" i="69"/>
  <c r="EV14" i="68"/>
  <c r="EI13" i="72"/>
  <c r="CZ13" i="68"/>
  <c r="CY13" i="68"/>
  <c r="EV15" i="69"/>
  <c r="GG14" i="68"/>
  <c r="GT14" i="68"/>
  <c r="HT14" i="68"/>
  <c r="HG14" i="68"/>
  <c r="EI14" i="68"/>
  <c r="CY15" i="68"/>
  <c r="DV14" i="68"/>
  <c r="CX14" i="68" s="1"/>
  <c r="CY15" i="66"/>
  <c r="CZ15" i="66"/>
  <c r="DV13" i="69"/>
  <c r="CX13" i="69" s="1"/>
  <c r="EI15" i="69"/>
  <c r="GG13" i="69"/>
  <c r="GG15" i="69"/>
  <c r="GT15" i="69"/>
  <c r="HT15" i="69"/>
  <c r="GT13" i="69"/>
  <c r="HG14" i="71"/>
  <c r="GG13" i="72"/>
  <c r="EV13" i="72"/>
  <c r="DV15" i="85"/>
  <c r="CX15" i="85" s="1"/>
  <c r="GG14" i="86"/>
  <c r="GT14" i="86"/>
  <c r="HT14" i="86"/>
  <c r="DV14" i="86"/>
  <c r="CX14" i="86" s="1"/>
  <c r="HG14" i="86"/>
  <c r="EI14" i="86"/>
  <c r="DV14" i="92"/>
  <c r="CX14" i="92" s="1"/>
  <c r="EV14" i="92"/>
  <c r="GG14" i="92"/>
  <c r="HG14" i="92"/>
  <c r="GT14" i="92"/>
  <c r="HT14" i="92"/>
  <c r="GG14" i="94"/>
  <c r="DV14" i="94"/>
  <c r="CX14" i="94" s="1"/>
  <c r="EV15" i="94"/>
  <c r="EI13" i="96"/>
  <c r="HG15" i="98"/>
  <c r="HT13" i="98"/>
  <c r="GG13" i="98"/>
  <c r="GG15" i="98"/>
  <c r="EV13" i="98"/>
  <c r="HT15" i="98"/>
  <c r="EI15" i="98"/>
  <c r="EV15" i="98"/>
  <c r="GT13" i="98"/>
  <c r="DV13" i="98"/>
  <c r="CX13" i="98" s="1"/>
  <c r="DV15" i="98"/>
  <c r="CX15" i="98" s="1"/>
  <c r="EI15" i="71"/>
  <c r="HG15" i="71"/>
  <c r="GT15" i="100"/>
  <c r="GG15" i="100"/>
  <c r="EV15" i="100"/>
  <c r="HG15" i="100"/>
  <c r="HT15" i="100"/>
  <c r="EI15" i="100"/>
  <c r="DU15" i="100" s="1"/>
  <c r="HG13" i="84"/>
  <c r="GT14" i="84"/>
  <c r="EV14" i="84"/>
  <c r="GT13" i="84"/>
  <c r="EV13" i="84"/>
  <c r="DV13" i="84"/>
  <c r="CX13" i="84" s="1"/>
  <c r="EI13" i="84"/>
  <c r="GG13" i="84"/>
  <c r="GG14" i="84"/>
  <c r="HG14" i="84"/>
  <c r="HT14" i="84"/>
  <c r="DV14" i="84"/>
  <c r="CX14" i="84" s="1"/>
  <c r="EI14" i="84"/>
  <c r="EV13" i="69"/>
  <c r="DV15" i="69"/>
  <c r="CX15" i="69" s="1"/>
  <c r="HT15" i="71"/>
  <c r="GG15" i="71"/>
  <c r="EV15" i="71"/>
  <c r="EV14" i="71"/>
  <c r="GT15" i="71"/>
  <c r="DV15" i="71"/>
  <c r="CX15" i="71" s="1"/>
  <c r="GG14" i="71"/>
  <c r="HT14" i="71"/>
  <c r="GT14" i="71"/>
  <c r="DV14" i="71"/>
  <c r="CX14" i="71" s="1"/>
  <c r="EI14" i="71"/>
  <c r="DV13" i="72"/>
  <c r="CX13" i="72" s="1"/>
  <c r="EI14" i="92"/>
  <c r="EI14" i="94"/>
  <c r="DV15" i="100"/>
  <c r="CX15" i="100" s="1"/>
  <c r="HT14" i="70"/>
  <c r="EI15" i="66"/>
  <c r="EV15" i="66"/>
  <c r="HT15" i="66"/>
  <c r="DV15" i="66"/>
  <c r="CX15" i="66" s="1"/>
  <c r="GG15" i="66"/>
  <c r="HG15" i="66"/>
  <c r="GT15" i="66"/>
  <c r="GG14" i="99"/>
  <c r="HT14" i="98"/>
  <c r="GT15" i="97"/>
  <c r="GG15" i="97"/>
  <c r="HG15" i="97"/>
  <c r="EV15" i="97"/>
  <c r="HT15" i="97"/>
  <c r="EI15" i="97"/>
  <c r="DV15" i="97"/>
  <c r="CX15" i="97" s="1"/>
  <c r="EV14" i="96"/>
  <c r="HG14" i="95"/>
  <c r="HG13" i="94"/>
  <c r="GT15" i="93"/>
  <c r="HG14" i="93"/>
  <c r="HT15" i="92"/>
  <c r="HG15" i="91"/>
  <c r="HT13" i="90"/>
  <c r="GT15" i="88"/>
  <c r="EV14" i="88"/>
  <c r="GT14" i="87"/>
  <c r="HG15" i="87"/>
  <c r="EV14" i="87"/>
  <c r="HG13" i="86"/>
  <c r="HG15" i="83"/>
  <c r="GG15" i="83"/>
  <c r="DV15" i="83"/>
  <c r="CX15" i="83" s="1"/>
  <c r="EI15" i="83"/>
  <c r="HT15" i="83"/>
  <c r="EV15" i="83"/>
  <c r="GT15" i="83"/>
  <c r="EV15" i="81"/>
  <c r="HT13" i="81"/>
  <c r="HG15" i="81"/>
  <c r="HG13" i="71"/>
  <c r="GT14" i="67"/>
  <c r="EV15" i="74"/>
  <c r="HG14" i="72"/>
  <c r="GT14" i="69"/>
  <c r="HT14" i="100"/>
  <c r="DV13" i="100"/>
  <c r="CX13" i="100" s="1"/>
  <c r="EI13" i="100"/>
  <c r="HG13" i="100"/>
  <c r="GG13" i="100"/>
  <c r="GT13" i="100"/>
  <c r="HT13" i="100"/>
  <c r="GG14" i="100"/>
  <c r="HG14" i="100"/>
  <c r="EV14" i="100"/>
  <c r="EV13" i="100"/>
  <c r="DV14" i="100"/>
  <c r="CX14" i="100" s="1"/>
  <c r="EI14" i="100"/>
  <c r="GT14" i="100"/>
  <c r="HG14" i="99"/>
  <c r="HG13" i="99"/>
  <c r="DV13" i="99"/>
  <c r="CX13" i="99" s="1"/>
  <c r="EI13" i="99"/>
  <c r="HT14" i="99"/>
  <c r="DV14" i="99"/>
  <c r="CX14" i="99" s="1"/>
  <c r="EI14" i="99"/>
  <c r="GG13" i="99"/>
  <c r="EV13" i="99"/>
  <c r="GT14" i="99"/>
  <c r="HT13" i="99"/>
  <c r="EV14" i="99"/>
  <c r="GT13" i="99"/>
  <c r="GT14" i="98"/>
  <c r="EV14" i="98"/>
  <c r="GG14" i="98"/>
  <c r="HG14" i="98"/>
  <c r="DV14" i="98"/>
  <c r="CX14" i="98" s="1"/>
  <c r="EI14" i="98"/>
  <c r="DV14" i="97"/>
  <c r="CX14" i="97" s="1"/>
  <c r="EI14" i="97"/>
  <c r="HT13" i="97"/>
  <c r="HG13" i="97"/>
  <c r="GG14" i="97"/>
  <c r="DV13" i="97"/>
  <c r="CX13" i="97" s="1"/>
  <c r="EI13" i="97"/>
  <c r="EV14" i="97"/>
  <c r="EV13" i="97"/>
  <c r="HG14" i="97"/>
  <c r="GT14" i="97"/>
  <c r="GT13" i="97"/>
  <c r="GG13" i="97"/>
  <c r="HT14" i="97"/>
  <c r="GT14" i="96"/>
  <c r="HT14" i="96"/>
  <c r="GG14" i="96"/>
  <c r="DV14" i="96"/>
  <c r="CX14" i="96" s="1"/>
  <c r="EI14" i="96"/>
  <c r="HG14" i="96"/>
  <c r="GT13" i="95"/>
  <c r="GT14" i="95"/>
  <c r="HG13" i="95"/>
  <c r="HT14" i="95"/>
  <c r="GG14" i="95"/>
  <c r="EV14" i="95"/>
  <c r="DV13" i="95"/>
  <c r="CX13" i="95" s="1"/>
  <c r="EI13" i="95"/>
  <c r="HT13" i="95"/>
  <c r="EV13" i="95"/>
  <c r="DV14" i="95"/>
  <c r="CX14" i="95" s="1"/>
  <c r="EI14" i="95"/>
  <c r="GG13" i="95"/>
  <c r="DU15" i="95"/>
  <c r="DA15" i="95" s="1"/>
  <c r="HT13" i="94"/>
  <c r="DV13" i="94"/>
  <c r="CX13" i="94" s="1"/>
  <c r="EI13" i="94"/>
  <c r="GT13" i="94"/>
  <c r="EV13" i="94"/>
  <c r="GG13" i="94"/>
  <c r="HT13" i="93"/>
  <c r="HT14" i="93"/>
  <c r="EV14" i="93"/>
  <c r="HG13" i="93"/>
  <c r="GG15" i="93"/>
  <c r="HG15" i="93"/>
  <c r="EV15" i="93"/>
  <c r="GT14" i="93"/>
  <c r="HT15" i="93"/>
  <c r="EV13" i="93"/>
  <c r="GT13" i="93"/>
  <c r="EI15" i="93"/>
  <c r="DV15" i="93"/>
  <c r="CX15" i="93" s="1"/>
  <c r="GG13" i="93"/>
  <c r="DV13" i="93"/>
  <c r="CX13" i="93" s="1"/>
  <c r="EI13" i="93"/>
  <c r="GG14" i="93"/>
  <c r="DV14" i="93"/>
  <c r="CX14" i="93" s="1"/>
  <c r="EI14" i="93"/>
  <c r="GT13" i="92"/>
  <c r="DV15" i="92"/>
  <c r="CX15" i="92" s="1"/>
  <c r="EI15" i="92"/>
  <c r="EV13" i="92"/>
  <c r="GG13" i="92"/>
  <c r="HG15" i="92"/>
  <c r="HT13" i="92"/>
  <c r="GT15" i="92"/>
  <c r="DV13" i="92"/>
  <c r="CX13" i="92" s="1"/>
  <c r="EI13" i="92"/>
  <c r="GG15" i="92"/>
  <c r="HG13" i="92"/>
  <c r="EV15" i="92"/>
  <c r="EV15" i="91"/>
  <c r="HT15" i="91"/>
  <c r="GT15" i="91"/>
  <c r="DU14" i="91"/>
  <c r="DA14" i="91" s="1"/>
  <c r="EI15" i="91"/>
  <c r="DV15" i="91"/>
  <c r="CX15" i="91" s="1"/>
  <c r="GG15" i="91"/>
  <c r="GT15" i="90"/>
  <c r="DV15" i="90"/>
  <c r="CX15" i="90" s="1"/>
  <c r="EI15" i="90"/>
  <c r="HG13" i="90"/>
  <c r="GT13" i="90"/>
  <c r="HT15" i="90"/>
  <c r="EV15" i="90"/>
  <c r="GG13" i="90"/>
  <c r="GG15" i="90"/>
  <c r="DV13" i="90"/>
  <c r="CX13" i="90" s="1"/>
  <c r="EI13" i="90"/>
  <c r="HG15" i="90"/>
  <c r="EV13" i="90"/>
  <c r="DV13" i="89"/>
  <c r="CX13" i="89" s="1"/>
  <c r="EI13" i="89"/>
  <c r="GT14" i="89"/>
  <c r="GG14" i="89"/>
  <c r="EV13" i="89"/>
  <c r="HG13" i="89"/>
  <c r="GT13" i="89"/>
  <c r="EV14" i="89"/>
  <c r="GG13" i="89"/>
  <c r="DU15" i="89"/>
  <c r="DA15" i="89" s="1"/>
  <c r="DV14" i="89"/>
  <c r="CX14" i="89" s="1"/>
  <c r="EI14" i="89"/>
  <c r="HT14" i="89"/>
  <c r="HG14" i="89"/>
  <c r="HT13" i="89"/>
  <c r="GG14" i="88"/>
  <c r="HT15" i="88"/>
  <c r="EV15" i="88"/>
  <c r="HT14" i="88"/>
  <c r="HG15" i="88"/>
  <c r="EI15" i="88"/>
  <c r="DV15" i="88"/>
  <c r="CX15" i="88" s="1"/>
  <c r="GT14" i="88"/>
  <c r="DV14" i="88"/>
  <c r="CX14" i="88" s="1"/>
  <c r="EI14" i="88"/>
  <c r="HG14" i="88"/>
  <c r="GG15" i="88"/>
  <c r="DV14" i="87"/>
  <c r="CX14" i="87" s="1"/>
  <c r="EI14" i="87"/>
  <c r="EV15" i="87"/>
  <c r="GG14" i="87"/>
  <c r="HG14" i="87"/>
  <c r="EI15" i="87"/>
  <c r="DV15" i="87"/>
  <c r="CX15" i="87" s="1"/>
  <c r="HT14" i="87"/>
  <c r="HT15" i="87"/>
  <c r="GT15" i="87"/>
  <c r="GG15" i="87"/>
  <c r="DU13" i="87"/>
  <c r="EV13" i="86"/>
  <c r="HT15" i="86"/>
  <c r="EV15" i="86"/>
  <c r="HT13" i="86"/>
  <c r="EI15" i="86"/>
  <c r="DV15" i="86"/>
  <c r="CX15" i="86" s="1"/>
  <c r="GT13" i="86"/>
  <c r="GT15" i="86"/>
  <c r="DV13" i="86"/>
  <c r="CX13" i="86" s="1"/>
  <c r="EI13" i="86"/>
  <c r="GG15" i="86"/>
  <c r="GG13" i="86"/>
  <c r="HG15" i="86"/>
  <c r="DV13" i="85"/>
  <c r="CX13" i="85" s="1"/>
  <c r="EI13" i="85"/>
  <c r="GT13" i="85"/>
  <c r="EV13" i="85"/>
  <c r="DV14" i="85"/>
  <c r="CX14" i="85" s="1"/>
  <c r="EI14" i="85"/>
  <c r="GT14" i="85"/>
  <c r="EV14" i="85"/>
  <c r="HG13" i="85"/>
  <c r="HG14" i="85"/>
  <c r="GG14" i="85"/>
  <c r="HT14" i="85"/>
  <c r="GG13" i="85"/>
  <c r="HT13" i="85"/>
  <c r="GG15" i="84"/>
  <c r="EI15" i="84"/>
  <c r="DV15" i="84"/>
  <c r="CX15" i="84" s="1"/>
  <c r="HG15" i="84"/>
  <c r="EV15" i="84"/>
  <c r="GT15" i="84"/>
  <c r="HT15" i="84"/>
  <c r="EV13" i="83"/>
  <c r="GT13" i="83"/>
  <c r="GT14" i="83"/>
  <c r="HT13" i="83"/>
  <c r="EV14" i="83"/>
  <c r="EI13" i="83"/>
  <c r="DV13" i="83"/>
  <c r="CX13" i="83" s="1"/>
  <c r="HT14" i="83"/>
  <c r="GG13" i="83"/>
  <c r="DV14" i="83"/>
  <c r="CX14" i="83" s="1"/>
  <c r="EI14" i="83"/>
  <c r="GG14" i="83"/>
  <c r="HG13" i="83"/>
  <c r="HG14" i="83"/>
  <c r="DV13" i="81"/>
  <c r="CX13" i="81" s="1"/>
  <c r="EI13" i="81"/>
  <c r="DV14" i="81"/>
  <c r="CX14" i="81" s="1"/>
  <c r="EI14" i="81"/>
  <c r="GG14" i="81"/>
  <c r="GT15" i="81"/>
  <c r="DV15" i="81"/>
  <c r="CX15" i="81" s="1"/>
  <c r="EI15" i="81"/>
  <c r="HG14" i="81"/>
  <c r="HG13" i="81"/>
  <c r="GT13" i="81"/>
  <c r="GG13" i="81"/>
  <c r="GG15" i="81"/>
  <c r="EV14" i="81"/>
  <c r="GT14" i="81"/>
  <c r="HT15" i="81"/>
  <c r="EV13" i="81"/>
  <c r="HT14" i="81"/>
  <c r="HG13" i="74"/>
  <c r="HG14" i="74"/>
  <c r="GT13" i="74"/>
  <c r="DV13" i="74"/>
  <c r="CX13" i="74" s="1"/>
  <c r="EI13" i="74"/>
  <c r="GT15" i="74"/>
  <c r="EV13" i="74"/>
  <c r="HT14" i="74"/>
  <c r="DV14" i="74"/>
  <c r="CX14" i="74" s="1"/>
  <c r="EI14" i="74"/>
  <c r="GT14" i="74"/>
  <c r="EV14" i="74"/>
  <c r="HT13" i="74"/>
  <c r="HG15" i="74"/>
  <c r="GG13" i="74"/>
  <c r="EI15" i="74"/>
  <c r="DV15" i="74"/>
  <c r="CX15" i="74" s="1"/>
  <c r="GG14" i="74"/>
  <c r="HT15" i="74"/>
  <c r="GG15" i="74"/>
  <c r="HT15" i="72"/>
  <c r="DV14" i="72"/>
  <c r="CX14" i="72" s="1"/>
  <c r="EI14" i="72"/>
  <c r="GG15" i="72"/>
  <c r="GT15" i="72"/>
  <c r="EV14" i="72"/>
  <c r="HG15" i="72"/>
  <c r="DV15" i="72"/>
  <c r="CX15" i="72" s="1"/>
  <c r="EI15" i="72"/>
  <c r="GG14" i="72"/>
  <c r="HT14" i="72"/>
  <c r="EV15" i="72"/>
  <c r="GT14" i="72"/>
  <c r="DV13" i="71"/>
  <c r="CX13" i="71" s="1"/>
  <c r="EI13" i="71"/>
  <c r="GT13" i="71"/>
  <c r="GG13" i="71"/>
  <c r="EV13" i="71"/>
  <c r="HT13" i="71"/>
  <c r="HG14" i="70"/>
  <c r="GT15" i="70"/>
  <c r="GG14" i="70"/>
  <c r="GT13" i="70"/>
  <c r="DV13" i="70"/>
  <c r="CX13" i="70" s="1"/>
  <c r="EI13" i="70"/>
  <c r="HT15" i="70"/>
  <c r="HG13" i="70"/>
  <c r="GG15" i="70"/>
  <c r="GG13" i="70"/>
  <c r="HG15" i="70"/>
  <c r="DV14" i="70"/>
  <c r="CX14" i="70" s="1"/>
  <c r="EI14" i="70"/>
  <c r="DV15" i="70"/>
  <c r="CX15" i="70" s="1"/>
  <c r="EI15" i="70"/>
  <c r="GT14" i="70"/>
  <c r="HT13" i="70"/>
  <c r="EV15" i="70"/>
  <c r="EV13" i="70"/>
  <c r="EV14" i="70"/>
  <c r="GG14" i="69"/>
  <c r="EV14" i="69"/>
  <c r="HT14" i="69"/>
  <c r="DV14" i="69"/>
  <c r="CX14" i="69" s="1"/>
  <c r="EI14" i="69"/>
  <c r="HG14" i="69"/>
  <c r="EV13" i="68"/>
  <c r="HG13" i="68"/>
  <c r="HT13" i="68"/>
  <c r="HG15" i="68"/>
  <c r="HT15" i="68"/>
  <c r="EV15" i="68"/>
  <c r="GG13" i="68"/>
  <c r="EI15" i="68"/>
  <c r="DV15" i="68"/>
  <c r="CX15" i="68" s="1"/>
  <c r="GT13" i="68"/>
  <c r="DV13" i="68"/>
  <c r="CX13" i="68" s="1"/>
  <c r="EI13" i="68"/>
  <c r="GG15" i="68"/>
  <c r="GT15" i="68"/>
  <c r="HT15" i="67"/>
  <c r="GT13" i="67"/>
  <c r="HG13" i="67"/>
  <c r="HT14" i="67"/>
  <c r="HG14" i="67"/>
  <c r="EV14" i="67"/>
  <c r="DV13" i="67"/>
  <c r="CX13" i="67" s="1"/>
  <c r="EI13" i="67"/>
  <c r="GG13" i="67"/>
  <c r="GG14" i="67"/>
  <c r="EV15" i="67"/>
  <c r="HT13" i="67"/>
  <c r="EV13" i="67"/>
  <c r="GG15" i="67"/>
  <c r="HG15" i="67"/>
  <c r="DV15" i="67"/>
  <c r="CX15" i="67" s="1"/>
  <c r="EI15" i="67"/>
  <c r="GT15" i="67"/>
  <c r="DV14" i="67"/>
  <c r="CX14" i="67" s="1"/>
  <c r="EI14" i="67"/>
  <c r="EV13" i="66"/>
  <c r="DV14" i="66"/>
  <c r="CX14" i="66" s="1"/>
  <c r="EI14" i="66"/>
  <c r="HT14" i="66"/>
  <c r="GT13" i="66"/>
  <c r="HG14" i="66"/>
  <c r="GG13" i="66"/>
  <c r="HG13" i="66"/>
  <c r="HT13" i="66"/>
  <c r="EV14" i="66"/>
  <c r="GG14" i="66"/>
  <c r="GT14" i="66"/>
  <c r="DV13" i="66"/>
  <c r="CX13" i="66" s="1"/>
  <c r="EI13" i="66"/>
  <c r="DU15" i="94" l="1"/>
  <c r="DA15" i="94" s="1"/>
  <c r="DU14" i="86"/>
  <c r="DA14" i="86" s="1"/>
  <c r="DU15" i="85"/>
  <c r="DA15" i="85" s="1"/>
  <c r="DU15" i="96"/>
  <c r="DA15" i="96" s="1"/>
  <c r="DU14" i="68"/>
  <c r="DA14" i="68"/>
  <c r="DU13" i="72"/>
  <c r="DU14" i="94"/>
  <c r="DA14" i="94" s="1"/>
  <c r="DU13" i="84"/>
  <c r="DU15" i="98"/>
  <c r="DU15" i="69"/>
  <c r="DA15" i="69" s="1"/>
  <c r="DU13" i="69"/>
  <c r="DU14" i="92"/>
  <c r="DA14" i="92" s="1"/>
  <c r="DU14" i="71"/>
  <c r="DA14" i="71" s="1"/>
  <c r="DU14" i="84"/>
  <c r="DA14" i="84" s="1"/>
  <c r="DU13" i="98"/>
  <c r="DA15" i="98"/>
  <c r="DA15" i="100"/>
  <c r="DU15" i="71"/>
  <c r="DA15" i="71" s="1"/>
  <c r="DU15" i="66"/>
  <c r="DA15" i="66" s="1"/>
  <c r="DU15" i="97"/>
  <c r="DA15" i="97" s="1"/>
  <c r="DU14" i="98"/>
  <c r="DA14" i="98" s="1"/>
  <c r="DU14" i="95"/>
  <c r="DA14" i="95" s="1"/>
  <c r="DU14" i="93"/>
  <c r="DA14" i="93" s="1"/>
  <c r="DU13" i="93"/>
  <c r="DU15" i="93"/>
  <c r="DA15" i="93" s="1"/>
  <c r="DU14" i="88"/>
  <c r="DA14" i="88" s="1"/>
  <c r="DU15" i="83"/>
  <c r="DA15" i="83" s="1"/>
  <c r="DU13" i="66"/>
  <c r="DU15" i="67"/>
  <c r="DA15" i="67" s="1"/>
  <c r="DU14" i="67"/>
  <c r="DU14" i="69"/>
  <c r="DA14" i="69" s="1"/>
  <c r="DU13" i="68"/>
  <c r="DA13" i="68" s="1"/>
  <c r="W13" i="68" s="1"/>
  <c r="DU14" i="100"/>
  <c r="DA14" i="100" s="1"/>
  <c r="DU13" i="100"/>
  <c r="DU14" i="99"/>
  <c r="DA14" i="99" s="1"/>
  <c r="DU13" i="99"/>
  <c r="DU13" i="97"/>
  <c r="DU14" i="97"/>
  <c r="DA14" i="97" s="1"/>
  <c r="DU14" i="96"/>
  <c r="DA14" i="96" s="1"/>
  <c r="DU13" i="95"/>
  <c r="DU13" i="94"/>
  <c r="DU13" i="92"/>
  <c r="DU15" i="92"/>
  <c r="DA15" i="92" s="1"/>
  <c r="DU15" i="91"/>
  <c r="DA15" i="91" s="1"/>
  <c r="DU13" i="90"/>
  <c r="DU15" i="90"/>
  <c r="DA15" i="90" s="1"/>
  <c r="DU14" i="89"/>
  <c r="DA14" i="89" s="1"/>
  <c r="DU13" i="89"/>
  <c r="DU15" i="88"/>
  <c r="DA15" i="88" s="1"/>
  <c r="DU15" i="87"/>
  <c r="DA15" i="87" s="1"/>
  <c r="DU14" i="87"/>
  <c r="DA14" i="87" s="1"/>
  <c r="DU13" i="86"/>
  <c r="DU15" i="86"/>
  <c r="DA15" i="86" s="1"/>
  <c r="DU14" i="85"/>
  <c r="DA14" i="85" s="1"/>
  <c r="DU13" i="85"/>
  <c r="DU15" i="84"/>
  <c r="DA15" i="84" s="1"/>
  <c r="DU14" i="83"/>
  <c r="DA14" i="83" s="1"/>
  <c r="DU13" i="83"/>
  <c r="DU15" i="81"/>
  <c r="DA15" i="81" s="1"/>
  <c r="DU14" i="81"/>
  <c r="DA14" i="81" s="1"/>
  <c r="DU13" i="81"/>
  <c r="DU15" i="74"/>
  <c r="DA15" i="74" s="1"/>
  <c r="DU14" i="74"/>
  <c r="DA14" i="74" s="1"/>
  <c r="DU13" i="74"/>
  <c r="DU15" i="72"/>
  <c r="DA15" i="72" s="1"/>
  <c r="DU14" i="72"/>
  <c r="DA14" i="72" s="1"/>
  <c r="DU13" i="71"/>
  <c r="DU14" i="70"/>
  <c r="DA14" i="70" s="1"/>
  <c r="DU15" i="70"/>
  <c r="DA15" i="70" s="1"/>
  <c r="DU13" i="70"/>
  <c r="DU15" i="68"/>
  <c r="DA15" i="68" s="1"/>
  <c r="DU13" i="67"/>
  <c r="DU14" i="66"/>
  <c r="DA14" i="66" s="1"/>
  <c r="CW45" i="18"/>
  <c r="CQ45" i="18"/>
  <c r="CW44" i="18"/>
  <c r="CW46" i="18" s="1"/>
  <c r="CQ44" i="18"/>
  <c r="CQ46" i="18" s="1"/>
  <c r="CQ41" i="18"/>
  <c r="CP41" i="18"/>
  <c r="CQ40" i="18"/>
  <c r="CP40" i="18"/>
  <c r="CQ39" i="18"/>
  <c r="CP39" i="18"/>
  <c r="CQ38" i="18"/>
  <c r="CP38" i="18"/>
  <c r="DA34" i="18"/>
  <c r="CW27" i="18"/>
  <c r="CU27" i="18"/>
  <c r="CT27" i="18"/>
  <c r="CR27" i="18"/>
  <c r="CQ27" i="18"/>
  <c r="CO27" i="18"/>
  <c r="CW26" i="18"/>
  <c r="CU26" i="18"/>
  <c r="CT26" i="18"/>
  <c r="CR26" i="18"/>
  <c r="CQ26" i="18"/>
  <c r="CO26" i="18"/>
  <c r="CW25" i="18"/>
  <c r="CU25" i="18"/>
  <c r="CT25" i="18"/>
  <c r="CR25" i="18"/>
  <c r="CQ25" i="18"/>
  <c r="CO25" i="18"/>
  <c r="CW24" i="18"/>
  <c r="CU24" i="18"/>
  <c r="CT24" i="18"/>
  <c r="CR24" i="18"/>
  <c r="CQ24" i="18"/>
  <c r="CO24" i="18"/>
  <c r="CO14" i="18"/>
  <c r="CO15" i="18"/>
  <c r="CO13" i="18"/>
  <c r="CN14" i="18"/>
  <c r="CN15" i="18"/>
  <c r="CN13" i="18"/>
  <c r="CU14" i="18"/>
  <c r="CU15" i="18"/>
  <c r="CT14" i="18"/>
  <c r="CT15" i="18"/>
  <c r="DP5" i="16"/>
  <c r="CT13" i="18"/>
  <c r="DS14" i="18"/>
  <c r="BH37" i="101" s="1"/>
  <c r="DS15" i="18"/>
  <c r="BH38" i="101" s="1"/>
  <c r="DQ14" i="18"/>
  <c r="BF37" i="101" s="1"/>
  <c r="DQ15" i="18"/>
  <c r="BF38" i="101" s="1"/>
  <c r="DR14" i="18"/>
  <c r="BG37" i="101" s="1"/>
  <c r="DR15" i="18"/>
  <c r="BG38" i="101" s="1"/>
  <c r="DP14" i="18"/>
  <c r="BE37" i="101" s="1"/>
  <c r="DP15" i="18"/>
  <c r="BE38" i="101" s="1"/>
  <c r="DO14" i="18"/>
  <c r="BD37" i="101" s="1"/>
  <c r="DO15" i="18"/>
  <c r="BD38" i="101" s="1"/>
  <c r="DN14" i="18"/>
  <c r="BC37" i="101" s="1"/>
  <c r="DN15" i="18"/>
  <c r="BC38" i="101" s="1"/>
  <c r="DK14" i="18"/>
  <c r="AV37" i="101" s="1"/>
  <c r="DK15" i="18"/>
  <c r="AV38" i="101" s="1"/>
  <c r="DJ14" i="18"/>
  <c r="AU37" i="101" s="1"/>
  <c r="DJ15" i="18"/>
  <c r="AU38" i="101" s="1"/>
  <c r="DI14" i="18"/>
  <c r="AT37" i="101" s="1"/>
  <c r="DI15" i="18"/>
  <c r="AT38" i="101" s="1"/>
  <c r="DH14" i="18"/>
  <c r="AS37" i="101" s="1"/>
  <c r="DH15" i="18"/>
  <c r="AS38" i="101" s="1"/>
  <c r="DG14" i="18"/>
  <c r="AR37" i="101" s="1"/>
  <c r="DG15" i="18"/>
  <c r="AR38" i="101" s="1"/>
  <c r="DF14" i="18"/>
  <c r="AQ37" i="101" s="1"/>
  <c r="DF15" i="18"/>
  <c r="AQ38" i="101" s="1"/>
  <c r="DS13" i="18"/>
  <c r="BH4" i="101" s="1"/>
  <c r="DR13" i="18"/>
  <c r="BG4" i="101" s="1"/>
  <c r="DQ13" i="18"/>
  <c r="BF4" i="101" s="1"/>
  <c r="DP13" i="18"/>
  <c r="DO13" i="18"/>
  <c r="BD4" i="101" s="1"/>
  <c r="DN13" i="18"/>
  <c r="BC4" i="101" s="1"/>
  <c r="DK13" i="18"/>
  <c r="AV4" i="101" s="1"/>
  <c r="BI37" i="101" l="1"/>
  <c r="BI38" i="101"/>
  <c r="DA14" i="67"/>
  <c r="AW38" i="101"/>
  <c r="AW37" i="101"/>
  <c r="DM13" i="18"/>
  <c r="BO4" i="101" s="1"/>
  <c r="BE4" i="101"/>
  <c r="BI4" i="101" s="1"/>
  <c r="DM14" i="18"/>
  <c r="IK14" i="18" s="1"/>
  <c r="DE14" i="18"/>
  <c r="HX14" i="18" s="1"/>
  <c r="DE15" i="18"/>
  <c r="BN38" i="101" s="1"/>
  <c r="DM15" i="18"/>
  <c r="DJ13" i="18"/>
  <c r="AU4" i="101" s="1"/>
  <c r="DI13" i="18"/>
  <c r="AT4" i="101" s="1"/>
  <c r="DH13" i="18"/>
  <c r="DG13" i="18"/>
  <c r="AR4" i="101" s="1"/>
  <c r="DF13" i="18"/>
  <c r="AQ4" i="101" s="1"/>
  <c r="CU13" i="18"/>
  <c r="IL14" i="18" l="1"/>
  <c r="IR13" i="18"/>
  <c r="IA14" i="18"/>
  <c r="IP14" i="18"/>
  <c r="IO14" i="18"/>
  <c r="IU14" i="18"/>
  <c r="IM14" i="18"/>
  <c r="IR14" i="18"/>
  <c r="IN14" i="18"/>
  <c r="BO38" i="101"/>
  <c r="CQ14" i="18"/>
  <c r="BO37" i="101"/>
  <c r="CP14" i="18"/>
  <c r="BN37" i="101"/>
  <c r="DE13" i="18"/>
  <c r="BN4" i="101" s="1"/>
  <c r="AS4" i="101"/>
  <c r="AW4" i="101" s="1"/>
  <c r="IC14" i="18"/>
  <c r="IE14" i="18"/>
  <c r="ID14" i="18"/>
  <c r="IV14" i="18"/>
  <c r="IT14" i="18"/>
  <c r="HW14" i="18"/>
  <c r="IQ14" i="18"/>
  <c r="IF14" i="18"/>
  <c r="IB14" i="18"/>
  <c r="HY14" i="18"/>
  <c r="IS14" i="18"/>
  <c r="IG14" i="18"/>
  <c r="IS13" i="18"/>
  <c r="IT13" i="18"/>
  <c r="HZ14" i="18"/>
  <c r="IH14" i="18"/>
  <c r="IQ13" i="18"/>
  <c r="IP13" i="18"/>
  <c r="IM13" i="18"/>
  <c r="IN13" i="18"/>
  <c r="IO13" i="18"/>
  <c r="IL13" i="18"/>
  <c r="IV13" i="18"/>
  <c r="IK13" i="18"/>
  <c r="IU13" i="18"/>
  <c r="CQ15" i="18"/>
  <c r="IM15" i="18"/>
  <c r="IV15" i="18"/>
  <c r="IU15" i="18"/>
  <c r="IK15" i="18"/>
  <c r="IT15" i="18"/>
  <c r="IS15" i="18"/>
  <c r="IQ15" i="18"/>
  <c r="IP15" i="18"/>
  <c r="IO15" i="18"/>
  <c r="IL15" i="18"/>
  <c r="IR15" i="18"/>
  <c r="IN15" i="18"/>
  <c r="HZ15" i="18"/>
  <c r="IG15" i="18"/>
  <c r="IE15" i="18"/>
  <c r="ID15" i="18"/>
  <c r="HY15" i="18"/>
  <c r="HX15" i="18"/>
  <c r="IH15" i="18"/>
  <c r="IF15" i="18"/>
  <c r="IC15" i="18"/>
  <c r="IB15" i="18"/>
  <c r="IA15" i="18"/>
  <c r="CP15" i="18"/>
  <c r="HW15" i="18"/>
  <c r="BG65" i="16"/>
  <c r="BQ65" i="16"/>
  <c r="BR97" i="16"/>
  <c r="BH97" i="16"/>
  <c r="BR96" i="16"/>
  <c r="BH96" i="16"/>
  <c r="BR95" i="16"/>
  <c r="BH95" i="16"/>
  <c r="BR94" i="16"/>
  <c r="BH94" i="16"/>
  <c r="BR93" i="16"/>
  <c r="BH93" i="16"/>
  <c r="BR92" i="16"/>
  <c r="BH92" i="16"/>
  <c r="BR91" i="16"/>
  <c r="BH91" i="16"/>
  <c r="BR90" i="16"/>
  <c r="BH90" i="16"/>
  <c r="BR89" i="16"/>
  <c r="BH89" i="16"/>
  <c r="BR88" i="16"/>
  <c r="BH88" i="16"/>
  <c r="AW88" i="16" s="1"/>
  <c r="BR87" i="16"/>
  <c r="BH87" i="16"/>
  <c r="BR86" i="16"/>
  <c r="BH86" i="16"/>
  <c r="BR85" i="16"/>
  <c r="BH85" i="16"/>
  <c r="BR84" i="16"/>
  <c r="BH84" i="16"/>
  <c r="BR83" i="16"/>
  <c r="BH83" i="16"/>
  <c r="BR82" i="16"/>
  <c r="BH82" i="16"/>
  <c r="AW82" i="16" s="1"/>
  <c r="BR81" i="16"/>
  <c r="BH81" i="16"/>
  <c r="BR80" i="16"/>
  <c r="BH80" i="16"/>
  <c r="BH79" i="16"/>
  <c r="BR78" i="16"/>
  <c r="BH78" i="16"/>
  <c r="BR77" i="16"/>
  <c r="BH77" i="16"/>
  <c r="BR76" i="16"/>
  <c r="BH76" i="16"/>
  <c r="BR75" i="16"/>
  <c r="BH75" i="16"/>
  <c r="BH74" i="16"/>
  <c r="BR73" i="16"/>
  <c r="BH73" i="16"/>
  <c r="BR72" i="16"/>
  <c r="BH72" i="16"/>
  <c r="BR71" i="16"/>
  <c r="BH71" i="16"/>
  <c r="BH70" i="16"/>
  <c r="BR69" i="16"/>
  <c r="AV65" i="16"/>
  <c r="AL5" i="100"/>
  <c r="AL8" i="100" s="1"/>
  <c r="AL13" i="100" s="1"/>
  <c r="AL5" i="99"/>
  <c r="AL8" i="99" s="1"/>
  <c r="AL13" i="99" s="1"/>
  <c r="AL5" i="98"/>
  <c r="AL8" i="98" s="1"/>
  <c r="AL13" i="98" s="1"/>
  <c r="AL5" i="97"/>
  <c r="AL8" i="97" s="1"/>
  <c r="AL13" i="97" s="1"/>
  <c r="AL5" i="96"/>
  <c r="AL8" i="96" s="1"/>
  <c r="AL13" i="96" s="1"/>
  <c r="AL5" i="95"/>
  <c r="AL8" i="95" s="1"/>
  <c r="AL13" i="95" s="1"/>
  <c r="AL5" i="94"/>
  <c r="AL8" i="94" s="1"/>
  <c r="AL13" i="94" s="1"/>
  <c r="AL5" i="93"/>
  <c r="AL8" i="93" s="1"/>
  <c r="AL13" i="93" s="1"/>
  <c r="AL5" i="92"/>
  <c r="AL8" i="92" s="1"/>
  <c r="AL13" i="92" s="1"/>
  <c r="AL5" i="91"/>
  <c r="AL8" i="91" s="1"/>
  <c r="AL13" i="91" s="1"/>
  <c r="AL5" i="90"/>
  <c r="AL8" i="90" s="1"/>
  <c r="AL13" i="90" s="1"/>
  <c r="AL5" i="89"/>
  <c r="AL5" i="88"/>
  <c r="AL8" i="88" s="1"/>
  <c r="AL13" i="88" s="1"/>
  <c r="AL5" i="87"/>
  <c r="AL8" i="87" s="1"/>
  <c r="AL13" i="87" s="1"/>
  <c r="AL5" i="86"/>
  <c r="AL8" i="86" s="1"/>
  <c r="AL13" i="86" s="1"/>
  <c r="AL5" i="85"/>
  <c r="AL5" i="84"/>
  <c r="AL8" i="84" s="1"/>
  <c r="AL13" i="84" s="1"/>
  <c r="AL5" i="83"/>
  <c r="AL5" i="82"/>
  <c r="AL5" i="81"/>
  <c r="AL8" i="81" s="1"/>
  <c r="AL13" i="81" s="1"/>
  <c r="AL5" i="74"/>
  <c r="AL8" i="74" s="1"/>
  <c r="AL13" i="74" s="1"/>
  <c r="AL5" i="73"/>
  <c r="AL5" i="72"/>
  <c r="AL8" i="72" s="1"/>
  <c r="AL13" i="72" s="1"/>
  <c r="AL5" i="71"/>
  <c r="AL5" i="70"/>
  <c r="AL8" i="70" s="1"/>
  <c r="AL13" i="70" s="1"/>
  <c r="AL5" i="69"/>
  <c r="AL5" i="68"/>
  <c r="AL5" i="67"/>
  <c r="AL5" i="66"/>
  <c r="H2" i="86"/>
  <c r="AM7" i="100"/>
  <c r="AL7" i="100"/>
  <c r="AM6" i="100"/>
  <c r="AL6" i="100"/>
  <c r="AM5" i="100"/>
  <c r="AM8" i="100" s="1"/>
  <c r="AM13" i="100" s="1"/>
  <c r="AJ5" i="100"/>
  <c r="AI5" i="100"/>
  <c r="AH5" i="100"/>
  <c r="AG5" i="100"/>
  <c r="AF5" i="100"/>
  <c r="AE5" i="100"/>
  <c r="AM7" i="99"/>
  <c r="AL7" i="99"/>
  <c r="AM6" i="99"/>
  <c r="AL6" i="99"/>
  <c r="AM5" i="99"/>
  <c r="AJ5" i="99"/>
  <c r="AI5" i="99"/>
  <c r="AH5" i="99"/>
  <c r="AG5" i="99"/>
  <c r="AF5" i="99"/>
  <c r="AE5" i="99"/>
  <c r="AM7" i="98"/>
  <c r="AL7" i="98"/>
  <c r="AM6" i="98"/>
  <c r="AL6" i="98"/>
  <c r="AM5" i="98"/>
  <c r="AM8" i="98" s="1"/>
  <c r="AM13" i="98" s="1"/>
  <c r="AJ5" i="98"/>
  <c r="AI5" i="98"/>
  <c r="AH5" i="98"/>
  <c r="AG5" i="98"/>
  <c r="AF5" i="98"/>
  <c r="AE5" i="98"/>
  <c r="AM7" i="97"/>
  <c r="AL7" i="97"/>
  <c r="AM6" i="97"/>
  <c r="AL6" i="97"/>
  <c r="AM5" i="97"/>
  <c r="AM8" i="97" s="1"/>
  <c r="AM13" i="97" s="1"/>
  <c r="AJ5" i="97"/>
  <c r="AI5" i="97"/>
  <c r="AH5" i="97"/>
  <c r="AG5" i="97"/>
  <c r="AF5" i="97"/>
  <c r="AE5" i="97"/>
  <c r="AM7" i="96"/>
  <c r="AL7" i="96"/>
  <c r="AM6" i="96"/>
  <c r="AL6" i="96"/>
  <c r="AM5" i="96"/>
  <c r="AJ5" i="96"/>
  <c r="AI5" i="96"/>
  <c r="AH5" i="96"/>
  <c r="AG5" i="96"/>
  <c r="AF5" i="96"/>
  <c r="AE5" i="96"/>
  <c r="AM7" i="95"/>
  <c r="AL7" i="95"/>
  <c r="AM6" i="95"/>
  <c r="AL6" i="95"/>
  <c r="AM5" i="95"/>
  <c r="AM8" i="95" s="1"/>
  <c r="AM13" i="95" s="1"/>
  <c r="AJ5" i="95"/>
  <c r="AI5" i="95"/>
  <c r="AH5" i="95"/>
  <c r="AG5" i="95"/>
  <c r="AF5" i="95"/>
  <c r="AE5" i="95"/>
  <c r="AM7" i="94"/>
  <c r="AL7" i="94"/>
  <c r="AM6" i="94"/>
  <c r="AL6" i="94"/>
  <c r="AM5" i="94"/>
  <c r="AJ5" i="94"/>
  <c r="AI5" i="94"/>
  <c r="AH5" i="94"/>
  <c r="AG5" i="94"/>
  <c r="AF5" i="94"/>
  <c r="AE5" i="94"/>
  <c r="AM7" i="93"/>
  <c r="AL7" i="93"/>
  <c r="AM6" i="93"/>
  <c r="AL6" i="93"/>
  <c r="AM5" i="93"/>
  <c r="AM8" i="93" s="1"/>
  <c r="AM13" i="93" s="1"/>
  <c r="AJ5" i="93"/>
  <c r="AI5" i="93"/>
  <c r="AH5" i="93"/>
  <c r="AG5" i="93"/>
  <c r="AF5" i="93"/>
  <c r="AE5" i="93"/>
  <c r="AM7" i="92"/>
  <c r="AL7" i="92"/>
  <c r="AM6" i="92"/>
  <c r="AL6" i="92"/>
  <c r="AM5" i="92"/>
  <c r="AM8" i="92" s="1"/>
  <c r="AM13" i="92" s="1"/>
  <c r="AJ5" i="92"/>
  <c r="AI5" i="92"/>
  <c r="AH5" i="92"/>
  <c r="AG5" i="92"/>
  <c r="AF5" i="92"/>
  <c r="AE5" i="92"/>
  <c r="AM7" i="91"/>
  <c r="AL7" i="91"/>
  <c r="AM6" i="91"/>
  <c r="AL6" i="91"/>
  <c r="AM5" i="91"/>
  <c r="AM8" i="91" s="1"/>
  <c r="AM13" i="91" s="1"/>
  <c r="AJ5" i="91"/>
  <c r="AI5" i="91"/>
  <c r="AH5" i="91"/>
  <c r="AG5" i="91"/>
  <c r="AF5" i="91"/>
  <c r="AE5" i="91"/>
  <c r="AM7" i="90"/>
  <c r="AL7" i="90"/>
  <c r="AM6" i="90"/>
  <c r="AL6" i="90"/>
  <c r="AM5" i="90"/>
  <c r="AM8" i="90" s="1"/>
  <c r="AM13" i="90" s="1"/>
  <c r="AJ5" i="90"/>
  <c r="AI5" i="90"/>
  <c r="AH5" i="90"/>
  <c r="AG5" i="90"/>
  <c r="AF5" i="90"/>
  <c r="AE5" i="90"/>
  <c r="AM7" i="89"/>
  <c r="AL7" i="89"/>
  <c r="AM6" i="89"/>
  <c r="AL6" i="89"/>
  <c r="AM5" i="89"/>
  <c r="AJ5" i="89"/>
  <c r="AI5" i="89"/>
  <c r="AH5" i="89"/>
  <c r="AG5" i="89"/>
  <c r="AF5" i="89"/>
  <c r="AE5" i="89"/>
  <c r="AM7" i="88"/>
  <c r="AL7" i="88"/>
  <c r="AM6" i="88"/>
  <c r="AL6" i="88"/>
  <c r="AM5" i="88"/>
  <c r="AM8" i="88" s="1"/>
  <c r="AM13" i="88" s="1"/>
  <c r="AJ5" i="88"/>
  <c r="AI5" i="88"/>
  <c r="AH5" i="88"/>
  <c r="AG5" i="88"/>
  <c r="AF5" i="88"/>
  <c r="AE5" i="88"/>
  <c r="AM7" i="87"/>
  <c r="AL7" i="87"/>
  <c r="AM6" i="87"/>
  <c r="AL6" i="87"/>
  <c r="AM5" i="87"/>
  <c r="AM8" i="87" s="1"/>
  <c r="AM13" i="87" s="1"/>
  <c r="AJ5" i="87"/>
  <c r="AI5" i="87"/>
  <c r="AH5" i="87"/>
  <c r="AG5" i="87"/>
  <c r="AF5" i="87"/>
  <c r="AE5" i="87"/>
  <c r="AM7" i="86"/>
  <c r="AL7" i="86"/>
  <c r="AM6" i="86"/>
  <c r="AL6" i="86"/>
  <c r="AM5" i="86"/>
  <c r="AJ5" i="86"/>
  <c r="AI5" i="86"/>
  <c r="AH5" i="86"/>
  <c r="AG5" i="86"/>
  <c r="AF5" i="86"/>
  <c r="AE5" i="86"/>
  <c r="AM7" i="85"/>
  <c r="AL7" i="85"/>
  <c r="AM6" i="85"/>
  <c r="AL6" i="85"/>
  <c r="AM5" i="85"/>
  <c r="AJ5" i="85"/>
  <c r="AI5" i="85"/>
  <c r="AH5" i="85"/>
  <c r="AG5" i="85"/>
  <c r="AF5" i="85"/>
  <c r="AE5" i="85"/>
  <c r="AM7" i="84"/>
  <c r="AL7" i="84"/>
  <c r="AM6" i="84"/>
  <c r="AL6" i="84"/>
  <c r="AM5" i="84"/>
  <c r="AM8" i="84" s="1"/>
  <c r="AM13" i="84" s="1"/>
  <c r="AJ5" i="84"/>
  <c r="AI5" i="84"/>
  <c r="AH5" i="84"/>
  <c r="AG5" i="84"/>
  <c r="AF5" i="84"/>
  <c r="AE5" i="84"/>
  <c r="AM7" i="83"/>
  <c r="AL7" i="83"/>
  <c r="AM6" i="83"/>
  <c r="AL6" i="83"/>
  <c r="AM5" i="83"/>
  <c r="AJ5" i="83"/>
  <c r="AI5" i="83"/>
  <c r="AH5" i="83"/>
  <c r="AG5" i="83"/>
  <c r="AF5" i="83"/>
  <c r="AE5" i="83"/>
  <c r="AM7" i="82"/>
  <c r="AL7" i="82"/>
  <c r="AM6" i="82"/>
  <c r="AL6" i="82"/>
  <c r="AM5" i="82"/>
  <c r="AJ5" i="82"/>
  <c r="AI5" i="82"/>
  <c r="AH5" i="82"/>
  <c r="AG5" i="82"/>
  <c r="AF5" i="82"/>
  <c r="AE5" i="82"/>
  <c r="AM7" i="81"/>
  <c r="AL7" i="81"/>
  <c r="AM6" i="81"/>
  <c r="AL6" i="81"/>
  <c r="AM5" i="81"/>
  <c r="AJ5" i="81"/>
  <c r="AI5" i="81"/>
  <c r="AH5" i="81"/>
  <c r="AG5" i="81"/>
  <c r="AF5" i="81"/>
  <c r="AE5" i="81"/>
  <c r="AM7" i="74"/>
  <c r="AL7" i="74"/>
  <c r="AM6" i="74"/>
  <c r="AL6" i="74"/>
  <c r="AM5" i="74"/>
  <c r="AM8" i="74" s="1"/>
  <c r="AM13" i="74" s="1"/>
  <c r="AJ5" i="74"/>
  <c r="AI5" i="74"/>
  <c r="AH5" i="74"/>
  <c r="AG5" i="74"/>
  <c r="AF5" i="74"/>
  <c r="AE5" i="74"/>
  <c r="AM7" i="73"/>
  <c r="AL7" i="73"/>
  <c r="AM6" i="73"/>
  <c r="AL6" i="73"/>
  <c r="AM5" i="73"/>
  <c r="AJ5" i="73"/>
  <c r="AI5" i="73"/>
  <c r="AH5" i="73"/>
  <c r="AG5" i="73"/>
  <c r="AF5" i="73"/>
  <c r="AE5" i="73"/>
  <c r="AM7" i="72"/>
  <c r="AL7" i="72"/>
  <c r="AM6" i="72"/>
  <c r="AL6" i="72"/>
  <c r="AM5" i="72"/>
  <c r="AM8" i="72" s="1"/>
  <c r="AM13" i="72" s="1"/>
  <c r="AJ5" i="72"/>
  <c r="AI5" i="72"/>
  <c r="AH5" i="72"/>
  <c r="AG5" i="72"/>
  <c r="AF5" i="72"/>
  <c r="AE5" i="72"/>
  <c r="AM7" i="71"/>
  <c r="AL7" i="71"/>
  <c r="AM6" i="71"/>
  <c r="AL6" i="71"/>
  <c r="AJ5" i="71"/>
  <c r="AI5" i="71"/>
  <c r="AH5" i="71"/>
  <c r="AG5" i="71"/>
  <c r="AF5" i="71"/>
  <c r="AE5" i="71"/>
  <c r="AM7" i="70"/>
  <c r="AL7" i="70"/>
  <c r="AM6" i="70"/>
  <c r="AL6" i="70"/>
  <c r="AM5" i="70"/>
  <c r="AM8" i="70" s="1"/>
  <c r="AM13" i="70" s="1"/>
  <c r="AJ5" i="70"/>
  <c r="AI5" i="70"/>
  <c r="AH5" i="70"/>
  <c r="AG5" i="70"/>
  <c r="AF5" i="70"/>
  <c r="AE5" i="70"/>
  <c r="AM7" i="69"/>
  <c r="AL7" i="69"/>
  <c r="AM6" i="69"/>
  <c r="AL6" i="69"/>
  <c r="AM5" i="69"/>
  <c r="AJ5" i="69"/>
  <c r="AI5" i="69"/>
  <c r="AH5" i="69"/>
  <c r="AG5" i="69"/>
  <c r="AF5" i="69"/>
  <c r="AE5" i="69"/>
  <c r="AM7" i="68"/>
  <c r="AL7" i="68"/>
  <c r="AM6" i="68"/>
  <c r="AL6" i="68"/>
  <c r="AM5" i="68"/>
  <c r="AJ5" i="68"/>
  <c r="AI5" i="68"/>
  <c r="AH5" i="68"/>
  <c r="AG5" i="68"/>
  <c r="AF5" i="68"/>
  <c r="AE5" i="68"/>
  <c r="AM7" i="67"/>
  <c r="AL7" i="67"/>
  <c r="AM6" i="67"/>
  <c r="AL6" i="67"/>
  <c r="AJ5" i="67"/>
  <c r="AI5" i="67"/>
  <c r="AH5" i="67"/>
  <c r="AG5" i="67"/>
  <c r="AF5" i="67"/>
  <c r="AE5" i="67"/>
  <c r="AM7" i="66"/>
  <c r="AL7" i="66"/>
  <c r="AM6" i="66"/>
  <c r="AL6" i="66"/>
  <c r="AM5" i="66"/>
  <c r="AJ5" i="66"/>
  <c r="AI5" i="66"/>
  <c r="AF5" i="66"/>
  <c r="AE5" i="66"/>
  <c r="BL130" i="16"/>
  <c r="BL97" i="16" s="1"/>
  <c r="BM130" i="16"/>
  <c r="BM97" i="16" s="1"/>
  <c r="BN130" i="16"/>
  <c r="BN97" i="16" s="1"/>
  <c r="BO130" i="16"/>
  <c r="BO97" i="16" s="1"/>
  <c r="BP130" i="16"/>
  <c r="BP97" i="16" s="1"/>
  <c r="BL129" i="16"/>
  <c r="BL96" i="16" s="1"/>
  <c r="BM129" i="16"/>
  <c r="BM96" i="16" s="1"/>
  <c r="BN129" i="16"/>
  <c r="BN96" i="16" s="1"/>
  <c r="BO129" i="16"/>
  <c r="BO96" i="16" s="1"/>
  <c r="BP129" i="16"/>
  <c r="BP96" i="16" s="1"/>
  <c r="BL128" i="16"/>
  <c r="BL95" i="16" s="1"/>
  <c r="BM128" i="16"/>
  <c r="BM95" i="16" s="1"/>
  <c r="BN128" i="16"/>
  <c r="BN95" i="16" s="1"/>
  <c r="BO128" i="16"/>
  <c r="BO95" i="16" s="1"/>
  <c r="BP128" i="16"/>
  <c r="BP95" i="16" s="1"/>
  <c r="BL127" i="16"/>
  <c r="BL94" i="16" s="1"/>
  <c r="BM127" i="16"/>
  <c r="BM94" i="16" s="1"/>
  <c r="BN127" i="16"/>
  <c r="BN94" i="16" s="1"/>
  <c r="BO127" i="16"/>
  <c r="BO94" i="16" s="1"/>
  <c r="BP127" i="16"/>
  <c r="BP94" i="16" s="1"/>
  <c r="BL126" i="16"/>
  <c r="BL93" i="16" s="1"/>
  <c r="BM126" i="16"/>
  <c r="BM93" i="16" s="1"/>
  <c r="BN126" i="16"/>
  <c r="BN93" i="16" s="1"/>
  <c r="BO126" i="16"/>
  <c r="BO93" i="16" s="1"/>
  <c r="BP126" i="16"/>
  <c r="BP93" i="16" s="1"/>
  <c r="BL125" i="16"/>
  <c r="BL92" i="16" s="1"/>
  <c r="BM125" i="16"/>
  <c r="BM92" i="16" s="1"/>
  <c r="BN125" i="16"/>
  <c r="BN92" i="16" s="1"/>
  <c r="BO125" i="16"/>
  <c r="BO92" i="16" s="1"/>
  <c r="BP125" i="16"/>
  <c r="BP92" i="16" s="1"/>
  <c r="BL124" i="16"/>
  <c r="BL91" i="16" s="1"/>
  <c r="BM124" i="16"/>
  <c r="BM91" i="16" s="1"/>
  <c r="BN124" i="16"/>
  <c r="BN91" i="16" s="1"/>
  <c r="BO124" i="16"/>
  <c r="BO91" i="16" s="1"/>
  <c r="BP124" i="16"/>
  <c r="BP91" i="16" s="1"/>
  <c r="BL123" i="16"/>
  <c r="BL90" i="16" s="1"/>
  <c r="BM123" i="16"/>
  <c r="BM90" i="16" s="1"/>
  <c r="BN123" i="16"/>
  <c r="BN90" i="16" s="1"/>
  <c r="BO123" i="16"/>
  <c r="BO90" i="16" s="1"/>
  <c r="BP123" i="16"/>
  <c r="BP90" i="16" s="1"/>
  <c r="BL122" i="16"/>
  <c r="BL89" i="16" s="1"/>
  <c r="BM122" i="16"/>
  <c r="BM89" i="16" s="1"/>
  <c r="BN122" i="16"/>
  <c r="BN89" i="16" s="1"/>
  <c r="BO122" i="16"/>
  <c r="BO89" i="16" s="1"/>
  <c r="BP122" i="16"/>
  <c r="BP89" i="16" s="1"/>
  <c r="BL121" i="16"/>
  <c r="BL88" i="16" s="1"/>
  <c r="BM121" i="16"/>
  <c r="BM88" i="16" s="1"/>
  <c r="BN121" i="16"/>
  <c r="BN88" i="16" s="1"/>
  <c r="BO121" i="16"/>
  <c r="BO88" i="16" s="1"/>
  <c r="BP121" i="16"/>
  <c r="BP88" i="16" s="1"/>
  <c r="BL120" i="16"/>
  <c r="BL87" i="16" s="1"/>
  <c r="BM120" i="16"/>
  <c r="BM87" i="16" s="1"/>
  <c r="BN120" i="16"/>
  <c r="BN87" i="16" s="1"/>
  <c r="BO120" i="16"/>
  <c r="BO87" i="16" s="1"/>
  <c r="BP120" i="16"/>
  <c r="BP87" i="16" s="1"/>
  <c r="BL119" i="16"/>
  <c r="BL86" i="16" s="1"/>
  <c r="BM119" i="16"/>
  <c r="BM86" i="16" s="1"/>
  <c r="BN119" i="16"/>
  <c r="BN86" i="16" s="1"/>
  <c r="BO119" i="16"/>
  <c r="BO86" i="16" s="1"/>
  <c r="BP119" i="16"/>
  <c r="BP86" i="16" s="1"/>
  <c r="BL118" i="16"/>
  <c r="BL85" i="16" s="1"/>
  <c r="BM118" i="16"/>
  <c r="BM85" i="16" s="1"/>
  <c r="BN118" i="16"/>
  <c r="BN85" i="16" s="1"/>
  <c r="BO118" i="16"/>
  <c r="BO85" i="16" s="1"/>
  <c r="BP118" i="16"/>
  <c r="BP85" i="16" s="1"/>
  <c r="BL117" i="16"/>
  <c r="BL84" i="16" s="1"/>
  <c r="BM117" i="16"/>
  <c r="BM84" i="16" s="1"/>
  <c r="BN117" i="16"/>
  <c r="BN84" i="16" s="1"/>
  <c r="BO117" i="16"/>
  <c r="BO84" i="16" s="1"/>
  <c r="BP117" i="16"/>
  <c r="BP84" i="16" s="1"/>
  <c r="BL116" i="16"/>
  <c r="BL83" i="16" s="1"/>
  <c r="BM116" i="16"/>
  <c r="BM83" i="16" s="1"/>
  <c r="BN116" i="16"/>
  <c r="BN83" i="16" s="1"/>
  <c r="BO116" i="16"/>
  <c r="BO83" i="16" s="1"/>
  <c r="BP116" i="16"/>
  <c r="BP83" i="16" s="1"/>
  <c r="BL115" i="16"/>
  <c r="BL82" i="16" s="1"/>
  <c r="BM115" i="16"/>
  <c r="BM82" i="16" s="1"/>
  <c r="BN115" i="16"/>
  <c r="BN82" i="16" s="1"/>
  <c r="BO115" i="16"/>
  <c r="BO82" i="16" s="1"/>
  <c r="BP115" i="16"/>
  <c r="BP82" i="16" s="1"/>
  <c r="BL114" i="16"/>
  <c r="BL81" i="16" s="1"/>
  <c r="BM114" i="16"/>
  <c r="BM81" i="16" s="1"/>
  <c r="BN114" i="16"/>
  <c r="BN81" i="16" s="1"/>
  <c r="BO114" i="16"/>
  <c r="BO81" i="16" s="1"/>
  <c r="BP114" i="16"/>
  <c r="BP81" i="16" s="1"/>
  <c r="BL113" i="16"/>
  <c r="BL80" i="16" s="1"/>
  <c r="BM113" i="16"/>
  <c r="BM80" i="16" s="1"/>
  <c r="BN113" i="16"/>
  <c r="BN80" i="16" s="1"/>
  <c r="BO113" i="16"/>
  <c r="BO80" i="16" s="1"/>
  <c r="BP113" i="16"/>
  <c r="BP80" i="16" s="1"/>
  <c r="BL112" i="16"/>
  <c r="BL79" i="16" s="1"/>
  <c r="BM112" i="16"/>
  <c r="BM79" i="16" s="1"/>
  <c r="BN112" i="16"/>
  <c r="BN79" i="16" s="1"/>
  <c r="BO112" i="16"/>
  <c r="BO79" i="16" s="1"/>
  <c r="BP112" i="16"/>
  <c r="BP79" i="16" s="1"/>
  <c r="BL111" i="16"/>
  <c r="BL78" i="16" s="1"/>
  <c r="BM111" i="16"/>
  <c r="BM78" i="16" s="1"/>
  <c r="BN111" i="16"/>
  <c r="BN78" i="16" s="1"/>
  <c r="BO111" i="16"/>
  <c r="BO78" i="16" s="1"/>
  <c r="BP111" i="16"/>
  <c r="BP78" i="16" s="1"/>
  <c r="BL110" i="16"/>
  <c r="BL77" i="16" s="1"/>
  <c r="BM110" i="16"/>
  <c r="BM77" i="16" s="1"/>
  <c r="BN110" i="16"/>
  <c r="BN77" i="16" s="1"/>
  <c r="BO110" i="16"/>
  <c r="BO77" i="16" s="1"/>
  <c r="BP110" i="16"/>
  <c r="BP77" i="16" s="1"/>
  <c r="BL109" i="16"/>
  <c r="BL76" i="16" s="1"/>
  <c r="BM109" i="16"/>
  <c r="BM76" i="16" s="1"/>
  <c r="BN109" i="16"/>
  <c r="BN76" i="16" s="1"/>
  <c r="BO109" i="16"/>
  <c r="BO76" i="16" s="1"/>
  <c r="BP109" i="16"/>
  <c r="BP76" i="16" s="1"/>
  <c r="BL108" i="16"/>
  <c r="BL75" i="16" s="1"/>
  <c r="BM108" i="16"/>
  <c r="BM75" i="16" s="1"/>
  <c r="BN108" i="16"/>
  <c r="BN75" i="16" s="1"/>
  <c r="BO108" i="16"/>
  <c r="BO75" i="16" s="1"/>
  <c r="BP108" i="16"/>
  <c r="BP75" i="16" s="1"/>
  <c r="BL106" i="16"/>
  <c r="BL73" i="16" s="1"/>
  <c r="BM106" i="16"/>
  <c r="BM73" i="16" s="1"/>
  <c r="BN106" i="16"/>
  <c r="BN73" i="16" s="1"/>
  <c r="BO106" i="16"/>
  <c r="BO73" i="16" s="1"/>
  <c r="BP106" i="16"/>
  <c r="BP73" i="16" s="1"/>
  <c r="BL105" i="16"/>
  <c r="BL72" i="16" s="1"/>
  <c r="BM105" i="16"/>
  <c r="BM72" i="16" s="1"/>
  <c r="BN105" i="16"/>
  <c r="BN72" i="16" s="1"/>
  <c r="BO105" i="16"/>
  <c r="BO72" i="16" s="1"/>
  <c r="BP105" i="16"/>
  <c r="BP72" i="16" s="1"/>
  <c r="BL104" i="16"/>
  <c r="BL71" i="16" s="1"/>
  <c r="BM104" i="16"/>
  <c r="BM71" i="16" s="1"/>
  <c r="BN104" i="16"/>
  <c r="BN71" i="16" s="1"/>
  <c r="BO104" i="16"/>
  <c r="BO71" i="16" s="1"/>
  <c r="BP104" i="16"/>
  <c r="BP71" i="16" s="1"/>
  <c r="BL102" i="16"/>
  <c r="BL69" i="16" s="1"/>
  <c r="BM102" i="16"/>
  <c r="BM69" i="16" s="1"/>
  <c r="BN102" i="16"/>
  <c r="BN69" i="16" s="1"/>
  <c r="BO102" i="16"/>
  <c r="BO69" i="16" s="1"/>
  <c r="BP102" i="16"/>
  <c r="BP69" i="16" s="1"/>
  <c r="BK130" i="16"/>
  <c r="BK97" i="16" s="1"/>
  <c r="BK129" i="16"/>
  <c r="BK96" i="16" s="1"/>
  <c r="BK128" i="16"/>
  <c r="BK95" i="16" s="1"/>
  <c r="BK127" i="16"/>
  <c r="BK94" i="16" s="1"/>
  <c r="BK126" i="16"/>
  <c r="BK93" i="16" s="1"/>
  <c r="BK125" i="16"/>
  <c r="BK92" i="16" s="1"/>
  <c r="BK124" i="16"/>
  <c r="BK91" i="16" s="1"/>
  <c r="BK123" i="16"/>
  <c r="BK90" i="16" s="1"/>
  <c r="BK122" i="16"/>
  <c r="BK89" i="16" s="1"/>
  <c r="BK121" i="16"/>
  <c r="BK88" i="16" s="1"/>
  <c r="BK120" i="16"/>
  <c r="BK87" i="16" s="1"/>
  <c r="BK119" i="16"/>
  <c r="BK86" i="16" s="1"/>
  <c r="BK118" i="16"/>
  <c r="BK85" i="16" s="1"/>
  <c r="BK117" i="16"/>
  <c r="BK84" i="16" s="1"/>
  <c r="BK116" i="16"/>
  <c r="BK83" i="16" s="1"/>
  <c r="BK115" i="16"/>
  <c r="BK82" i="16" s="1"/>
  <c r="BK114" i="16"/>
  <c r="BK81" i="16" s="1"/>
  <c r="BK113" i="16"/>
  <c r="BK80" i="16" s="1"/>
  <c r="BK112" i="16"/>
  <c r="BK79" i="16" s="1"/>
  <c r="BK111" i="16"/>
  <c r="BK78" i="16" s="1"/>
  <c r="BK110" i="16"/>
  <c r="BK77" i="16" s="1"/>
  <c r="BK109" i="16"/>
  <c r="BK76" i="16" s="1"/>
  <c r="BK108" i="16"/>
  <c r="BK75" i="16" s="1"/>
  <c r="BK106" i="16"/>
  <c r="BK73" i="16" s="1"/>
  <c r="BK105" i="16"/>
  <c r="BK72" i="16" s="1"/>
  <c r="BK104" i="16"/>
  <c r="BK71" i="16" s="1"/>
  <c r="BK102" i="16"/>
  <c r="BK69" i="16" s="1"/>
  <c r="AM7" i="18"/>
  <c r="AM6" i="18"/>
  <c r="AL7" i="18"/>
  <c r="AL6" i="18"/>
  <c r="AQ80" i="16"/>
  <c r="AR80" i="16"/>
  <c r="AS80" i="16"/>
  <c r="AT80" i="16"/>
  <c r="AU80" i="16"/>
  <c r="AX80" i="16"/>
  <c r="AP80" i="16"/>
  <c r="AX4" i="101" l="1"/>
  <c r="AY4" i="101" s="1"/>
  <c r="AL8" i="69"/>
  <c r="AL13" i="69" s="1"/>
  <c r="AM8" i="69"/>
  <c r="AM13" i="69" s="1"/>
  <c r="AW78" i="16"/>
  <c r="AW86" i="16"/>
  <c r="AM8" i="68"/>
  <c r="AM13" i="68" s="1"/>
  <c r="AL8" i="68"/>
  <c r="AL13" i="68" s="1"/>
  <c r="AL8" i="71"/>
  <c r="AL13" i="71" s="1"/>
  <c r="AW71" i="16"/>
  <c r="AW97" i="16"/>
  <c r="AW81" i="16"/>
  <c r="AW73" i="16"/>
  <c r="AW77" i="16"/>
  <c r="AW91" i="16"/>
  <c r="AW92" i="16"/>
  <c r="AW94" i="16"/>
  <c r="CR15" i="18"/>
  <c r="BP38" i="101"/>
  <c r="BR38" i="101" s="1"/>
  <c r="CS15" i="18"/>
  <c r="BQ38" i="101"/>
  <c r="BS38" i="101" s="1"/>
  <c r="CS14" i="18"/>
  <c r="BQ37" i="101"/>
  <c r="BS37" i="101" s="1"/>
  <c r="CR14" i="18"/>
  <c r="BP37" i="101"/>
  <c r="BR37" i="101" s="1"/>
  <c r="AM8" i="82"/>
  <c r="AM13" i="82" s="1"/>
  <c r="BR79" i="16" s="1"/>
  <c r="AW79" i="16" s="1"/>
  <c r="AL8" i="82"/>
  <c r="AL13" i="82" s="1"/>
  <c r="AL8" i="73"/>
  <c r="AL13" i="73" s="1"/>
  <c r="AW96" i="16"/>
  <c r="AW87" i="16"/>
  <c r="AW72" i="16"/>
  <c r="AW76" i="16"/>
  <c r="AM8" i="99"/>
  <c r="AM13" i="99" s="1"/>
  <c r="AW95" i="16"/>
  <c r="AW93" i="16"/>
  <c r="AM8" i="96"/>
  <c r="AM13" i="96" s="1"/>
  <c r="AM8" i="94"/>
  <c r="AM13" i="94" s="1"/>
  <c r="AW90" i="16"/>
  <c r="AW89" i="16"/>
  <c r="AL8" i="89"/>
  <c r="AL13" i="89" s="1"/>
  <c r="AM8" i="89"/>
  <c r="AM13" i="89" s="1"/>
  <c r="AW85" i="16"/>
  <c r="AW84" i="16"/>
  <c r="AW83" i="16"/>
  <c r="AM8" i="86"/>
  <c r="AM13" i="86" s="1"/>
  <c r="AM8" i="85"/>
  <c r="AM13" i="85" s="1"/>
  <c r="AW80" i="16"/>
  <c r="AM8" i="83"/>
  <c r="AM13" i="83" s="1"/>
  <c r="AW75" i="16"/>
  <c r="IJ14" i="18"/>
  <c r="CW14" i="18" s="1"/>
  <c r="HV14" i="18"/>
  <c r="CV14" i="18" s="1"/>
  <c r="IJ13" i="18"/>
  <c r="CW13" i="18" s="1"/>
  <c r="IB13" i="18"/>
  <c r="ID13" i="18"/>
  <c r="IE13" i="18"/>
  <c r="IA13" i="18"/>
  <c r="IC13" i="18"/>
  <c r="HW13" i="18"/>
  <c r="IF13" i="18"/>
  <c r="HY13" i="18"/>
  <c r="IG13" i="18"/>
  <c r="HZ13" i="18"/>
  <c r="IH13" i="18"/>
  <c r="HX13" i="18"/>
  <c r="IJ15" i="18"/>
  <c r="CW15" i="18" s="1"/>
  <c r="HV15" i="18"/>
  <c r="CV15" i="18" s="1"/>
  <c r="AL8" i="83"/>
  <c r="AL13" i="83" s="1"/>
  <c r="AM8" i="73"/>
  <c r="AM13" i="73" s="1"/>
  <c r="AL8" i="85"/>
  <c r="AL13" i="85" s="1"/>
  <c r="AM8" i="81"/>
  <c r="AM13" i="81" s="1"/>
  <c r="AL8" i="66"/>
  <c r="AL13" i="66" s="1"/>
  <c r="BH69" i="16" s="1"/>
  <c r="AM8" i="66"/>
  <c r="AM13" i="66" s="1"/>
  <c r="AL8" i="67"/>
  <c r="AL13" i="67" s="1"/>
  <c r="AZ4" i="101" l="1"/>
  <c r="BA4" i="101"/>
  <c r="BB4" i="101"/>
  <c r="BJ4" i="101"/>
  <c r="BU4" i="101"/>
  <c r="BL4" i="101"/>
  <c r="BK4" i="101"/>
  <c r="CY15" i="18"/>
  <c r="CZ15" i="18"/>
  <c r="CZ14" i="18"/>
  <c r="CY14" i="18"/>
  <c r="AW69" i="16"/>
  <c r="AR77" i="16"/>
  <c r="AQ97" i="16"/>
  <c r="AR97" i="16"/>
  <c r="AS97" i="16"/>
  <c r="AT97" i="16"/>
  <c r="AU97" i="16"/>
  <c r="AX97" i="16"/>
  <c r="AQ96" i="16"/>
  <c r="AR96" i="16"/>
  <c r="AS96" i="16"/>
  <c r="AT96" i="16"/>
  <c r="AU96" i="16"/>
  <c r="AX96" i="16"/>
  <c r="AQ95" i="16"/>
  <c r="AR95" i="16"/>
  <c r="AS95" i="16"/>
  <c r="AT95" i="16"/>
  <c r="AU95" i="16"/>
  <c r="AX95" i="16"/>
  <c r="AQ94" i="16"/>
  <c r="AR94" i="16"/>
  <c r="AS94" i="16"/>
  <c r="AT94" i="16"/>
  <c r="AU94" i="16"/>
  <c r="AX94" i="16"/>
  <c r="AQ93" i="16"/>
  <c r="AR93" i="16"/>
  <c r="AS93" i="16"/>
  <c r="AT93" i="16"/>
  <c r="AU93" i="16"/>
  <c r="AX93" i="16"/>
  <c r="AQ92" i="16"/>
  <c r="AR92" i="16"/>
  <c r="AS92" i="16"/>
  <c r="AT92" i="16"/>
  <c r="AU92" i="16"/>
  <c r="AX92" i="16"/>
  <c r="AX79" i="16"/>
  <c r="AQ91" i="16"/>
  <c r="AR91" i="16"/>
  <c r="AS91" i="16"/>
  <c r="AT91" i="16"/>
  <c r="AU91" i="16"/>
  <c r="AX91" i="16"/>
  <c r="AQ90" i="16"/>
  <c r="AR90" i="16"/>
  <c r="AS90" i="16"/>
  <c r="AT90" i="16"/>
  <c r="AU90" i="16"/>
  <c r="AX90" i="16"/>
  <c r="AQ89" i="16"/>
  <c r="AR89" i="16"/>
  <c r="AS89" i="16"/>
  <c r="AT89" i="16"/>
  <c r="AU89" i="16"/>
  <c r="AX89" i="16"/>
  <c r="AQ88" i="16"/>
  <c r="AR88" i="16"/>
  <c r="AS88" i="16"/>
  <c r="AT88" i="16"/>
  <c r="AU88" i="16"/>
  <c r="AX88" i="16"/>
  <c r="AQ87" i="16"/>
  <c r="AR87" i="16"/>
  <c r="AS87" i="16"/>
  <c r="AT87" i="16"/>
  <c r="AU87" i="16"/>
  <c r="AX87" i="16"/>
  <c r="AQ78" i="16"/>
  <c r="AR78" i="16"/>
  <c r="AS78" i="16"/>
  <c r="AT78" i="16"/>
  <c r="AU78" i="16"/>
  <c r="AX78" i="16"/>
  <c r="AX77" i="16"/>
  <c r="AQ86" i="16"/>
  <c r="AR86" i="16"/>
  <c r="AS86" i="16"/>
  <c r="AT86" i="16"/>
  <c r="AU86" i="16"/>
  <c r="AX86" i="16"/>
  <c r="AQ85" i="16"/>
  <c r="AR85" i="16"/>
  <c r="AS85" i="16"/>
  <c r="AT85" i="16"/>
  <c r="AU85" i="16"/>
  <c r="AX85" i="16"/>
  <c r="AQ84" i="16"/>
  <c r="AR84" i="16"/>
  <c r="AS84" i="16"/>
  <c r="AT84" i="16"/>
  <c r="AU84" i="16"/>
  <c r="AX84" i="16"/>
  <c r="AQ83" i="16"/>
  <c r="AR83" i="16"/>
  <c r="AS83" i="16"/>
  <c r="AT83" i="16"/>
  <c r="AU83" i="16"/>
  <c r="AX83" i="16"/>
  <c r="AX76" i="16"/>
  <c r="AQ75" i="16"/>
  <c r="AR75" i="16"/>
  <c r="AS75" i="16"/>
  <c r="AT75" i="16"/>
  <c r="AU75" i="16"/>
  <c r="AX75" i="16"/>
  <c r="AQ82" i="16"/>
  <c r="AR82" i="16"/>
  <c r="AS82" i="16"/>
  <c r="AT82" i="16"/>
  <c r="AU82" i="16"/>
  <c r="AX82" i="16"/>
  <c r="AQ81" i="16"/>
  <c r="AR81" i="16"/>
  <c r="AS81" i="16"/>
  <c r="AT81" i="16"/>
  <c r="AU81" i="16"/>
  <c r="AX81" i="16"/>
  <c r="AQ73" i="16"/>
  <c r="AR73" i="16"/>
  <c r="AS73" i="16"/>
  <c r="AT73" i="16"/>
  <c r="AU73" i="16"/>
  <c r="AX73" i="16"/>
  <c r="AQ72" i="16"/>
  <c r="AR72" i="16"/>
  <c r="AS72" i="16"/>
  <c r="AT72" i="16"/>
  <c r="AU72" i="16"/>
  <c r="AX72" i="16"/>
  <c r="AX71" i="16"/>
  <c r="AX69" i="16"/>
  <c r="AP97" i="16"/>
  <c r="AP96" i="16"/>
  <c r="AP95" i="16"/>
  <c r="AP94" i="16"/>
  <c r="AP93" i="16"/>
  <c r="AP92" i="16"/>
  <c r="AP91" i="16"/>
  <c r="AP90" i="16"/>
  <c r="AP89" i="16"/>
  <c r="AP88" i="16"/>
  <c r="AP87" i="16"/>
  <c r="AP86" i="16"/>
  <c r="AP85" i="16"/>
  <c r="AP84" i="16"/>
  <c r="AP83" i="16"/>
  <c r="AP82" i="16"/>
  <c r="AP81" i="16"/>
  <c r="AP78" i="16"/>
  <c r="BR130" i="16" l="1"/>
  <c r="BR129" i="16"/>
  <c r="BR128" i="16"/>
  <c r="BR127" i="16"/>
  <c r="BR126" i="16"/>
  <c r="BR125" i="16"/>
  <c r="BR124" i="16"/>
  <c r="BR123" i="16"/>
  <c r="BR122" i="16"/>
  <c r="BR121" i="16"/>
  <c r="BH130" i="16"/>
  <c r="BH129" i="16"/>
  <c r="BH128" i="16"/>
  <c r="BH127" i="16"/>
  <c r="BH126" i="16"/>
  <c r="BH125" i="16"/>
  <c r="BH124" i="16"/>
  <c r="BH123" i="16"/>
  <c r="BH122" i="16"/>
  <c r="BH121" i="16"/>
  <c r="BR120" i="16"/>
  <c r="BR119" i="16"/>
  <c r="BR118" i="16"/>
  <c r="BR117" i="16"/>
  <c r="BR116" i="16"/>
  <c r="BR115" i="16"/>
  <c r="BR114" i="16"/>
  <c r="BR113" i="16"/>
  <c r="BR112" i="16"/>
  <c r="BR111" i="16"/>
  <c r="BH120" i="16"/>
  <c r="BH119" i="16"/>
  <c r="BH118" i="16"/>
  <c r="BH117" i="16"/>
  <c r="BH116" i="16"/>
  <c r="BH115" i="16"/>
  <c r="BH114" i="16"/>
  <c r="BH113" i="16"/>
  <c r="BH112" i="16"/>
  <c r="BH111" i="16"/>
  <c r="BR110" i="16"/>
  <c r="BR109" i="16"/>
  <c r="BR108" i="16"/>
  <c r="BR106" i="16"/>
  <c r="BR105" i="16"/>
  <c r="BR104" i="16"/>
  <c r="BR102" i="16"/>
  <c r="BH110" i="16"/>
  <c r="BH109" i="16"/>
  <c r="BH108" i="16"/>
  <c r="BH107" i="16"/>
  <c r="BH106" i="16"/>
  <c r="BH105" i="16"/>
  <c r="BH104" i="16"/>
  <c r="BH103" i="16"/>
  <c r="BH102" i="16"/>
  <c r="BB116" i="16"/>
  <c r="BB83" i="16" s="1"/>
  <c r="BC116" i="16"/>
  <c r="BC83" i="16" s="1"/>
  <c r="BD116" i="16"/>
  <c r="BD83" i="16" s="1"/>
  <c r="BE116" i="16"/>
  <c r="BE83" i="16" s="1"/>
  <c r="BF116" i="16"/>
  <c r="BF83" i="16" s="1"/>
  <c r="BB117" i="16"/>
  <c r="BB84" i="16" s="1"/>
  <c r="BC117" i="16"/>
  <c r="BC84" i="16" s="1"/>
  <c r="BD117" i="16"/>
  <c r="BD84" i="16" s="1"/>
  <c r="BE117" i="16"/>
  <c r="BE84" i="16" s="1"/>
  <c r="BF117" i="16"/>
  <c r="BF84" i="16" s="1"/>
  <c r="BB118" i="16"/>
  <c r="BB85" i="16" s="1"/>
  <c r="BC118" i="16"/>
  <c r="BC85" i="16" s="1"/>
  <c r="BD118" i="16"/>
  <c r="BD85" i="16" s="1"/>
  <c r="BE118" i="16"/>
  <c r="BE85" i="16" s="1"/>
  <c r="BF118" i="16"/>
  <c r="BF85" i="16" s="1"/>
  <c r="BB119" i="16"/>
  <c r="BB86" i="16" s="1"/>
  <c r="BC119" i="16"/>
  <c r="BC86" i="16" s="1"/>
  <c r="BD119" i="16"/>
  <c r="BD86" i="16" s="1"/>
  <c r="BE119" i="16"/>
  <c r="BE86" i="16" s="1"/>
  <c r="BF119" i="16"/>
  <c r="BF86" i="16" s="1"/>
  <c r="BB120" i="16"/>
  <c r="BB87" i="16" s="1"/>
  <c r="BC120" i="16"/>
  <c r="BC87" i="16" s="1"/>
  <c r="BD120" i="16"/>
  <c r="BD87" i="16" s="1"/>
  <c r="BE120" i="16"/>
  <c r="BE87" i="16" s="1"/>
  <c r="BF120" i="16"/>
  <c r="BF87" i="16" s="1"/>
  <c r="BB122" i="16"/>
  <c r="BB89" i="16" s="1"/>
  <c r="BC122" i="16"/>
  <c r="BC89" i="16" s="1"/>
  <c r="BD122" i="16"/>
  <c r="BD89" i="16" s="1"/>
  <c r="BE122" i="16"/>
  <c r="BE89" i="16" s="1"/>
  <c r="BF122" i="16"/>
  <c r="BF89" i="16" s="1"/>
  <c r="BB123" i="16"/>
  <c r="BB90" i="16" s="1"/>
  <c r="BC123" i="16"/>
  <c r="BC90" i="16" s="1"/>
  <c r="BD123" i="16"/>
  <c r="BD90" i="16" s="1"/>
  <c r="BE123" i="16"/>
  <c r="BE90" i="16" s="1"/>
  <c r="BF123" i="16"/>
  <c r="BF90" i="16" s="1"/>
  <c r="BB124" i="16"/>
  <c r="BB91" i="16" s="1"/>
  <c r="BC124" i="16"/>
  <c r="BC91" i="16" s="1"/>
  <c r="BD124" i="16"/>
  <c r="BD91" i="16" s="1"/>
  <c r="BE124" i="16"/>
  <c r="BE91" i="16" s="1"/>
  <c r="BF124" i="16"/>
  <c r="BF91" i="16" s="1"/>
  <c r="BB125" i="16"/>
  <c r="BB92" i="16" s="1"/>
  <c r="BC125" i="16"/>
  <c r="BC92" i="16" s="1"/>
  <c r="BD125" i="16"/>
  <c r="BD92" i="16" s="1"/>
  <c r="BE125" i="16"/>
  <c r="BE92" i="16" s="1"/>
  <c r="BF125" i="16"/>
  <c r="BF92" i="16" s="1"/>
  <c r="BB126" i="16"/>
  <c r="BB93" i="16" s="1"/>
  <c r="BC126" i="16"/>
  <c r="BC93" i="16" s="1"/>
  <c r="BD126" i="16"/>
  <c r="BD93" i="16" s="1"/>
  <c r="BE126" i="16"/>
  <c r="BE93" i="16" s="1"/>
  <c r="BF126" i="16"/>
  <c r="BF93" i="16" s="1"/>
  <c r="BB127" i="16"/>
  <c r="BB94" i="16" s="1"/>
  <c r="BC127" i="16"/>
  <c r="BC94" i="16" s="1"/>
  <c r="BD127" i="16"/>
  <c r="BD94" i="16" s="1"/>
  <c r="BE127" i="16"/>
  <c r="BE94" i="16" s="1"/>
  <c r="BF127" i="16"/>
  <c r="BF94" i="16" s="1"/>
  <c r="BB128" i="16"/>
  <c r="BB95" i="16" s="1"/>
  <c r="BC128" i="16"/>
  <c r="BC95" i="16" s="1"/>
  <c r="BD128" i="16"/>
  <c r="BD95" i="16" s="1"/>
  <c r="BE128" i="16"/>
  <c r="BE95" i="16" s="1"/>
  <c r="BF128" i="16"/>
  <c r="BF95" i="16" s="1"/>
  <c r="BB129" i="16"/>
  <c r="BB96" i="16" s="1"/>
  <c r="BC129" i="16"/>
  <c r="BC96" i="16" s="1"/>
  <c r="BD129" i="16"/>
  <c r="BD96" i="16" s="1"/>
  <c r="BE129" i="16"/>
  <c r="BE96" i="16" s="1"/>
  <c r="BF129" i="16"/>
  <c r="BF96" i="16" s="1"/>
  <c r="BB130" i="16"/>
  <c r="BB97" i="16" s="1"/>
  <c r="BC130" i="16"/>
  <c r="BC97" i="16" s="1"/>
  <c r="BD130" i="16"/>
  <c r="BD97" i="16" s="1"/>
  <c r="BE130" i="16"/>
  <c r="BE97" i="16" s="1"/>
  <c r="BF130" i="16"/>
  <c r="BF97" i="16" s="1"/>
  <c r="BA130" i="16"/>
  <c r="BA97" i="16" s="1"/>
  <c r="BA129" i="16"/>
  <c r="BA96" i="16" s="1"/>
  <c r="BA128" i="16"/>
  <c r="BA95" i="16" s="1"/>
  <c r="BA127" i="16"/>
  <c r="BA94" i="16" s="1"/>
  <c r="BA126" i="16"/>
  <c r="BA93" i="16" s="1"/>
  <c r="BA125" i="16"/>
  <c r="BA92" i="16" s="1"/>
  <c r="BA124" i="16"/>
  <c r="BA91" i="16" s="1"/>
  <c r="BA123" i="16"/>
  <c r="BA90" i="16" s="1"/>
  <c r="BA122" i="16"/>
  <c r="BA89" i="16" s="1"/>
  <c r="BB121" i="16"/>
  <c r="BB88" i="16" s="1"/>
  <c r="BC121" i="16"/>
  <c r="BC88" i="16" s="1"/>
  <c r="BD121" i="16"/>
  <c r="BD88" i="16" s="1"/>
  <c r="BE121" i="16"/>
  <c r="BE88" i="16" s="1"/>
  <c r="BF121" i="16"/>
  <c r="BF88" i="16" s="1"/>
  <c r="BA121" i="16"/>
  <c r="BA88" i="16" s="1"/>
  <c r="BA120" i="16"/>
  <c r="BA87" i="16" s="1"/>
  <c r="BA119" i="16"/>
  <c r="BA86" i="16" s="1"/>
  <c r="BA118" i="16"/>
  <c r="BA85" i="16" s="1"/>
  <c r="BA117" i="16"/>
  <c r="BA84" i="16" s="1"/>
  <c r="BA116" i="16"/>
  <c r="BA83" i="16" s="1"/>
  <c r="BB115" i="16"/>
  <c r="BB82" i="16" s="1"/>
  <c r="BC115" i="16"/>
  <c r="BC82" i="16" s="1"/>
  <c r="BD115" i="16"/>
  <c r="BD82" i="16" s="1"/>
  <c r="BE115" i="16"/>
  <c r="BE82" i="16" s="1"/>
  <c r="BF115" i="16"/>
  <c r="BF82" i="16" s="1"/>
  <c r="BB114" i="16"/>
  <c r="BB81" i="16" s="1"/>
  <c r="BC114" i="16"/>
  <c r="BC81" i="16" s="1"/>
  <c r="BD114" i="16"/>
  <c r="BD81" i="16" s="1"/>
  <c r="BE114" i="16"/>
  <c r="BE81" i="16" s="1"/>
  <c r="BF114" i="16"/>
  <c r="BF81" i="16" s="1"/>
  <c r="BA115" i="16"/>
  <c r="BA82" i="16" s="1"/>
  <c r="BA114" i="16"/>
  <c r="BA81" i="16" s="1"/>
  <c r="BB113" i="16"/>
  <c r="BB80" i="16" s="1"/>
  <c r="BC113" i="16"/>
  <c r="BC80" i="16" s="1"/>
  <c r="BD113" i="16"/>
  <c r="BD80" i="16" s="1"/>
  <c r="BE113" i="16"/>
  <c r="BE80" i="16" s="1"/>
  <c r="BF113" i="16"/>
  <c r="BF80" i="16" s="1"/>
  <c r="BA113" i="16"/>
  <c r="BA80" i="16" s="1"/>
  <c r="S15" i="74"/>
  <c r="S15" i="70"/>
  <c r="S14" i="70"/>
  <c r="R15" i="100" l="1"/>
  <c r="S15" i="100" s="1"/>
  <c r="R14" i="100"/>
  <c r="S14" i="100" s="1"/>
  <c r="R15" i="99"/>
  <c r="S15" i="99" s="1"/>
  <c r="R14" i="99"/>
  <c r="S14" i="99" s="1"/>
  <c r="R15" i="98"/>
  <c r="S15" i="98" s="1"/>
  <c r="R14" i="98"/>
  <c r="S14" i="98" s="1"/>
  <c r="R15" i="97"/>
  <c r="S15" i="97" s="1"/>
  <c r="R14" i="97"/>
  <c r="S14" i="97" s="1"/>
  <c r="R15" i="96"/>
  <c r="S15" i="96" s="1"/>
  <c r="R14" i="96"/>
  <c r="S14" i="96" s="1"/>
  <c r="R15" i="95"/>
  <c r="S15" i="95" s="1"/>
  <c r="R14" i="95"/>
  <c r="S14" i="95" s="1"/>
  <c r="R15" i="94"/>
  <c r="S15" i="94" s="1"/>
  <c r="R14" i="94"/>
  <c r="S14" i="94" s="1"/>
  <c r="R15" i="93"/>
  <c r="S15" i="93" s="1"/>
  <c r="R14" i="93"/>
  <c r="S14" i="93" s="1"/>
  <c r="R15" i="92"/>
  <c r="S15" i="92" s="1"/>
  <c r="R14" i="92"/>
  <c r="S14" i="92" s="1"/>
  <c r="R15" i="91"/>
  <c r="S15" i="91" s="1"/>
  <c r="R14" i="91"/>
  <c r="S14" i="91" s="1"/>
  <c r="R15" i="90"/>
  <c r="S15" i="90" s="1"/>
  <c r="R14" i="90"/>
  <c r="S14" i="90" s="1"/>
  <c r="R14" i="74"/>
  <c r="S14" i="74" s="1"/>
  <c r="R15" i="89"/>
  <c r="R14" i="89"/>
  <c r="S14" i="89" s="1"/>
  <c r="R15" i="88"/>
  <c r="S15" i="88" s="1"/>
  <c r="R14" i="88"/>
  <c r="S14" i="88" s="1"/>
  <c r="R15" i="72"/>
  <c r="S15" i="72" s="1"/>
  <c r="R14" i="72"/>
  <c r="S14" i="72" s="1"/>
  <c r="R15" i="87"/>
  <c r="S15" i="87" s="1"/>
  <c r="R14" i="87"/>
  <c r="S14" i="87" s="1"/>
  <c r="R15" i="86"/>
  <c r="S15" i="86" s="1"/>
  <c r="R14" i="86"/>
  <c r="S14" i="86" s="1"/>
  <c r="R15" i="70"/>
  <c r="R14" i="70"/>
  <c r="R15" i="69"/>
  <c r="S15" i="69" s="1"/>
  <c r="R14" i="69"/>
  <c r="S14" i="69" s="1"/>
  <c r="R15" i="85"/>
  <c r="S15" i="85" s="1"/>
  <c r="R14" i="85"/>
  <c r="S14" i="85" s="1"/>
  <c r="R15" i="84"/>
  <c r="S15" i="84" s="1"/>
  <c r="R14" i="84"/>
  <c r="S14" i="84" s="1"/>
  <c r="R15" i="83"/>
  <c r="S15" i="83" s="1"/>
  <c r="R14" i="83"/>
  <c r="S14" i="83" s="1"/>
  <c r="R14" i="81"/>
  <c r="S14" i="81" s="1"/>
  <c r="R15" i="81"/>
  <c r="S15" i="81" s="1"/>
  <c r="Q15" i="89"/>
  <c r="S15" i="89" s="1"/>
  <c r="C2" i="92"/>
  <c r="U25" i="101" s="1"/>
  <c r="C2" i="91"/>
  <c r="U24" i="101" s="1"/>
  <c r="C2" i="90"/>
  <c r="U23" i="101" s="1"/>
  <c r="C2" i="89"/>
  <c r="U22" i="101" s="1"/>
  <c r="C2" i="88"/>
  <c r="U21" i="101" s="1"/>
  <c r="C2" i="87"/>
  <c r="U20" i="101" s="1"/>
  <c r="C2" i="86"/>
  <c r="U19" i="101" s="1"/>
  <c r="P6" i="100"/>
  <c r="O6" i="100"/>
  <c r="N6" i="100"/>
  <c r="M6" i="100"/>
  <c r="L6" i="100"/>
  <c r="K6" i="100"/>
  <c r="J6" i="100"/>
  <c r="I6" i="100"/>
  <c r="H6" i="100"/>
  <c r="G6" i="100"/>
  <c r="F6" i="100"/>
  <c r="E6" i="100"/>
  <c r="M3" i="100"/>
  <c r="H3" i="100"/>
  <c r="H2" i="100"/>
  <c r="E3" i="100"/>
  <c r="C2" i="100"/>
  <c r="U33" i="101" s="1"/>
  <c r="P6" i="99"/>
  <c r="O6" i="99"/>
  <c r="N6" i="99"/>
  <c r="M6" i="99"/>
  <c r="L6" i="99"/>
  <c r="K6" i="99"/>
  <c r="J6" i="99"/>
  <c r="I6" i="99"/>
  <c r="H6" i="99"/>
  <c r="G6" i="99"/>
  <c r="F6" i="99"/>
  <c r="E6" i="99"/>
  <c r="M3" i="99"/>
  <c r="H3" i="99"/>
  <c r="H2" i="99"/>
  <c r="E3" i="99"/>
  <c r="C2" i="99"/>
  <c r="U32" i="101" s="1"/>
  <c r="P6" i="98"/>
  <c r="O6" i="98"/>
  <c r="N6" i="98"/>
  <c r="M6" i="98"/>
  <c r="L6" i="98"/>
  <c r="K6" i="98"/>
  <c r="J6" i="98"/>
  <c r="I6" i="98"/>
  <c r="H6" i="98"/>
  <c r="G6" i="98"/>
  <c r="F6" i="98"/>
  <c r="E6" i="98"/>
  <c r="M3" i="98"/>
  <c r="H3" i="98"/>
  <c r="H2" i="98"/>
  <c r="E3" i="98"/>
  <c r="C2" i="98"/>
  <c r="U31" i="101" s="1"/>
  <c r="P6" i="97"/>
  <c r="O6" i="97"/>
  <c r="N6" i="97"/>
  <c r="M6" i="97"/>
  <c r="L6" i="97"/>
  <c r="K6" i="97"/>
  <c r="J6" i="97"/>
  <c r="I6" i="97"/>
  <c r="H6" i="97"/>
  <c r="G6" i="97"/>
  <c r="F6" i="97"/>
  <c r="E6" i="97"/>
  <c r="M3" i="97"/>
  <c r="H3" i="97"/>
  <c r="H2" i="97"/>
  <c r="E3" i="97"/>
  <c r="C2" i="97"/>
  <c r="U30" i="101" s="1"/>
  <c r="P6" i="96"/>
  <c r="O6" i="96"/>
  <c r="N6" i="96"/>
  <c r="M6" i="96"/>
  <c r="L6" i="96"/>
  <c r="K6" i="96"/>
  <c r="J6" i="96"/>
  <c r="I6" i="96"/>
  <c r="H6" i="96"/>
  <c r="G6" i="96"/>
  <c r="F6" i="96"/>
  <c r="E6" i="96"/>
  <c r="M3" i="96"/>
  <c r="H3" i="96"/>
  <c r="H2" i="96"/>
  <c r="E3" i="96"/>
  <c r="C2" i="96"/>
  <c r="U29" i="101" s="1"/>
  <c r="P6" i="95"/>
  <c r="O6" i="95"/>
  <c r="N6" i="95"/>
  <c r="M6" i="95"/>
  <c r="L6" i="95"/>
  <c r="K6" i="95"/>
  <c r="J6" i="95"/>
  <c r="I6" i="95"/>
  <c r="H6" i="95"/>
  <c r="G6" i="95"/>
  <c r="F6" i="95"/>
  <c r="E6" i="95"/>
  <c r="M3" i="95"/>
  <c r="H3" i="95"/>
  <c r="H2" i="95"/>
  <c r="E3" i="95"/>
  <c r="C2" i="95"/>
  <c r="U28" i="101" s="1"/>
  <c r="P6" i="94"/>
  <c r="O6" i="94"/>
  <c r="N6" i="94"/>
  <c r="M6" i="94"/>
  <c r="L6" i="94"/>
  <c r="K6" i="94"/>
  <c r="J6" i="94"/>
  <c r="I6" i="94"/>
  <c r="H6" i="94"/>
  <c r="G6" i="94"/>
  <c r="F6" i="94"/>
  <c r="E6" i="94"/>
  <c r="M3" i="94"/>
  <c r="H3" i="94"/>
  <c r="H2" i="94"/>
  <c r="E3" i="94"/>
  <c r="C2" i="94"/>
  <c r="U27" i="101" s="1"/>
  <c r="P6" i="93"/>
  <c r="O6" i="93"/>
  <c r="N6" i="93"/>
  <c r="M6" i="93"/>
  <c r="L6" i="93"/>
  <c r="K6" i="93"/>
  <c r="J6" i="93"/>
  <c r="I6" i="93"/>
  <c r="H6" i="93"/>
  <c r="G6" i="93"/>
  <c r="F6" i="93"/>
  <c r="E6" i="93"/>
  <c r="M3" i="93"/>
  <c r="H3" i="93"/>
  <c r="H2" i="93"/>
  <c r="E3" i="93"/>
  <c r="C2" i="93"/>
  <c r="U26" i="101" s="1"/>
  <c r="P6" i="92"/>
  <c r="O6" i="92"/>
  <c r="N6" i="92"/>
  <c r="M6" i="92"/>
  <c r="L6" i="92"/>
  <c r="K6" i="92"/>
  <c r="J6" i="92"/>
  <c r="I6" i="92"/>
  <c r="H6" i="92"/>
  <c r="G6" i="92"/>
  <c r="F6" i="92"/>
  <c r="E6" i="92"/>
  <c r="M3" i="92"/>
  <c r="H3" i="92"/>
  <c r="H2" i="92"/>
  <c r="E3" i="92"/>
  <c r="P6" i="91"/>
  <c r="O6" i="91"/>
  <c r="N6" i="91"/>
  <c r="M6" i="91"/>
  <c r="L6" i="91"/>
  <c r="K6" i="91"/>
  <c r="J6" i="91"/>
  <c r="I6" i="91"/>
  <c r="H6" i="91"/>
  <c r="G6" i="91"/>
  <c r="F6" i="91"/>
  <c r="E6" i="91"/>
  <c r="M3" i="91"/>
  <c r="H3" i="91"/>
  <c r="H2" i="91"/>
  <c r="E3" i="91"/>
  <c r="P6" i="90"/>
  <c r="O6" i="90"/>
  <c r="N6" i="90"/>
  <c r="M6" i="90"/>
  <c r="L6" i="90"/>
  <c r="K6" i="90"/>
  <c r="J6" i="90"/>
  <c r="I6" i="90"/>
  <c r="H6" i="90"/>
  <c r="G6" i="90"/>
  <c r="F6" i="90"/>
  <c r="E6" i="90"/>
  <c r="M3" i="90"/>
  <c r="H3" i="90"/>
  <c r="H2" i="90"/>
  <c r="E3" i="90"/>
  <c r="P6" i="89"/>
  <c r="O6" i="89"/>
  <c r="N6" i="89"/>
  <c r="M6" i="89"/>
  <c r="L6" i="89"/>
  <c r="K6" i="89"/>
  <c r="J6" i="89"/>
  <c r="I6" i="89"/>
  <c r="H6" i="89"/>
  <c r="G6" i="89"/>
  <c r="F6" i="89"/>
  <c r="E6" i="89"/>
  <c r="M3" i="89"/>
  <c r="H3" i="89"/>
  <c r="H2" i="89"/>
  <c r="E3" i="89"/>
  <c r="P6" i="88"/>
  <c r="O6" i="88"/>
  <c r="N6" i="88"/>
  <c r="M6" i="88"/>
  <c r="L6" i="88"/>
  <c r="K6" i="88"/>
  <c r="J6" i="88"/>
  <c r="I6" i="88"/>
  <c r="H6" i="88"/>
  <c r="G6" i="88"/>
  <c r="F6" i="88"/>
  <c r="E6" i="88"/>
  <c r="H3" i="88"/>
  <c r="H2" i="88"/>
  <c r="E3" i="88"/>
  <c r="P6" i="87"/>
  <c r="O6" i="87"/>
  <c r="N6" i="87"/>
  <c r="M6" i="87"/>
  <c r="L6" i="87"/>
  <c r="K6" i="87"/>
  <c r="J6" i="87"/>
  <c r="I6" i="87"/>
  <c r="H6" i="87"/>
  <c r="G6" i="87"/>
  <c r="F6" i="87"/>
  <c r="E6" i="87"/>
  <c r="M3" i="87"/>
  <c r="H3" i="87"/>
  <c r="H2" i="87"/>
  <c r="E3" i="87"/>
  <c r="P6" i="86"/>
  <c r="O6" i="86"/>
  <c r="N6" i="86"/>
  <c r="M6" i="86"/>
  <c r="L6" i="86"/>
  <c r="K6" i="86"/>
  <c r="J6" i="86"/>
  <c r="I6" i="86"/>
  <c r="H6" i="86"/>
  <c r="G6" i="86"/>
  <c r="F6" i="86"/>
  <c r="E6" i="86"/>
  <c r="M3" i="86"/>
  <c r="H3" i="86"/>
  <c r="E3" i="86"/>
  <c r="C2" i="85"/>
  <c r="U18" i="101" s="1"/>
  <c r="C2" i="84"/>
  <c r="U17" i="101" s="1"/>
  <c r="P6" i="85"/>
  <c r="O6" i="85"/>
  <c r="N6" i="85"/>
  <c r="M6" i="85"/>
  <c r="L6" i="85"/>
  <c r="K6" i="85"/>
  <c r="J6" i="85"/>
  <c r="I6" i="85"/>
  <c r="H6" i="85"/>
  <c r="F6" i="85"/>
  <c r="G6" i="85"/>
  <c r="E6" i="85"/>
  <c r="M3" i="85"/>
  <c r="H3" i="85"/>
  <c r="H2" i="85"/>
  <c r="E3" i="85"/>
  <c r="P6" i="84"/>
  <c r="O6" i="84"/>
  <c r="N6" i="84"/>
  <c r="M6" i="84"/>
  <c r="L6" i="84"/>
  <c r="K6" i="84"/>
  <c r="J6" i="84"/>
  <c r="I6" i="84"/>
  <c r="H6" i="84"/>
  <c r="G6" i="84"/>
  <c r="F6" i="84"/>
  <c r="E6" i="84"/>
  <c r="M3" i="84"/>
  <c r="H3" i="84"/>
  <c r="H2" i="84"/>
  <c r="E3" i="84"/>
  <c r="P6" i="83"/>
  <c r="O6" i="83"/>
  <c r="N6" i="83"/>
  <c r="M6" i="83"/>
  <c r="L6" i="83"/>
  <c r="K6" i="83"/>
  <c r="J6" i="83"/>
  <c r="I6" i="83"/>
  <c r="H6" i="83"/>
  <c r="G6" i="83"/>
  <c r="F6" i="83"/>
  <c r="E6" i="83"/>
  <c r="M3" i="83"/>
  <c r="H3" i="83"/>
  <c r="H2" i="83"/>
  <c r="E3" i="83"/>
  <c r="C2" i="83"/>
  <c r="U16" i="101" s="1"/>
  <c r="P6" i="82"/>
  <c r="O6" i="82"/>
  <c r="N6" i="82"/>
  <c r="M6" i="82"/>
  <c r="L6" i="82"/>
  <c r="K6" i="82"/>
  <c r="J6" i="82"/>
  <c r="I6" i="82"/>
  <c r="H6" i="82"/>
  <c r="G6" i="82"/>
  <c r="F6" i="82"/>
  <c r="E6" i="82"/>
  <c r="M3" i="82"/>
  <c r="H3" i="82"/>
  <c r="CD15" i="82" s="1"/>
  <c r="H2" i="82"/>
  <c r="E3" i="82"/>
  <c r="C2" i="82"/>
  <c r="P6" i="81"/>
  <c r="O6" i="81"/>
  <c r="N6" i="81"/>
  <c r="M6" i="81"/>
  <c r="L6" i="81"/>
  <c r="K6" i="81"/>
  <c r="J6" i="81"/>
  <c r="I6" i="81"/>
  <c r="H6" i="81"/>
  <c r="G6" i="81"/>
  <c r="F6" i="81"/>
  <c r="E6" i="81"/>
  <c r="P2" i="81"/>
  <c r="M2" i="81"/>
  <c r="M3" i="81"/>
  <c r="H3" i="81"/>
  <c r="E3" i="81"/>
  <c r="H2" i="81"/>
  <c r="C2" i="81"/>
  <c r="U14" i="101" s="1"/>
  <c r="CE15" i="82" l="1"/>
  <c r="CI15" i="82"/>
  <c r="CJ15" i="82"/>
  <c r="CF15" i="82"/>
  <c r="CG15" i="82"/>
  <c r="CH15" i="82"/>
  <c r="CD13" i="82"/>
  <c r="CD14" i="82"/>
  <c r="U15" i="101"/>
  <c r="AF15" i="101" s="1"/>
  <c r="U59" i="101"/>
  <c r="X59" i="101" s="1"/>
  <c r="U60" i="101"/>
  <c r="X60" i="101" s="1"/>
  <c r="CF13" i="82"/>
  <c r="CI13" i="82"/>
  <c r="CH13" i="82"/>
  <c r="CG13" i="82"/>
  <c r="CE13" i="82"/>
  <c r="CJ13" i="82"/>
  <c r="Y26" i="101"/>
  <c r="Y19" i="101"/>
  <c r="Y20" i="101"/>
  <c r="Y31" i="101"/>
  <c r="Y29" i="101"/>
  <c r="Y21" i="101"/>
  <c r="Y14" i="101"/>
  <c r="Y30" i="101"/>
  <c r="Y16" i="101"/>
  <c r="Y22" i="101"/>
  <c r="Y23" i="101"/>
  <c r="Y33" i="101"/>
  <c r="Y24" i="101"/>
  <c r="Y28" i="101"/>
  <c r="Y25" i="101"/>
  <c r="Y17" i="101"/>
  <c r="Y32" i="101"/>
  <c r="Y27" i="101"/>
  <c r="Y18" i="101"/>
  <c r="V26" i="101"/>
  <c r="W26" i="101"/>
  <c r="V30" i="101"/>
  <c r="W30" i="101"/>
  <c r="V21" i="101"/>
  <c r="W21" i="101"/>
  <c r="V29" i="101"/>
  <c r="W29" i="101"/>
  <c r="V33" i="101"/>
  <c r="V20" i="101"/>
  <c r="W20" i="101"/>
  <c r="V24" i="101"/>
  <c r="W24" i="101"/>
  <c r="V32" i="101"/>
  <c r="W32" i="101"/>
  <c r="V23" i="101"/>
  <c r="W23" i="101"/>
  <c r="V25" i="101"/>
  <c r="W25" i="101"/>
  <c r="V31" i="101"/>
  <c r="W31" i="101"/>
  <c r="V22" i="101"/>
  <c r="W22" i="101"/>
  <c r="V28" i="101"/>
  <c r="W28" i="101"/>
  <c r="V27" i="101"/>
  <c r="W27" i="101"/>
  <c r="V19" i="101"/>
  <c r="W19" i="101"/>
  <c r="V18" i="101"/>
  <c r="W18" i="101"/>
  <c r="V17" i="101"/>
  <c r="W17" i="101"/>
  <c r="V16" i="101"/>
  <c r="W16" i="101"/>
  <c r="V14" i="101"/>
  <c r="AH14" i="101"/>
  <c r="AL14" i="101"/>
  <c r="AB14" i="101"/>
  <c r="AC14" i="101" s="1"/>
  <c r="AE14" i="101"/>
  <c r="Z14" i="101"/>
  <c r="AK14" i="101"/>
  <c r="AF14" i="101"/>
  <c r="AI14" i="101"/>
  <c r="AJ14" i="101"/>
  <c r="AO14" i="101"/>
  <c r="AN14" i="101"/>
  <c r="AM14" i="101"/>
  <c r="AG14" i="101"/>
  <c r="AD14" i="101"/>
  <c r="AH31" i="101"/>
  <c r="AK31" i="101"/>
  <c r="AJ31" i="101"/>
  <c r="AO31" i="101"/>
  <c r="AF31" i="101"/>
  <c r="AE31" i="101"/>
  <c r="Z31" i="101"/>
  <c r="AM31" i="101"/>
  <c r="AN31" i="101"/>
  <c r="AG31" i="101"/>
  <c r="AI31" i="101"/>
  <c r="AD31" i="101"/>
  <c r="AL31" i="101"/>
  <c r="AB31" i="101"/>
  <c r="AC31" i="101" s="1"/>
  <c r="AD30" i="101"/>
  <c r="AH30" i="101"/>
  <c r="Z30" i="101"/>
  <c r="AI30" i="101"/>
  <c r="AL30" i="101"/>
  <c r="AN30" i="101"/>
  <c r="AK30" i="101"/>
  <c r="AF30" i="101"/>
  <c r="AM30" i="101"/>
  <c r="AB30" i="101"/>
  <c r="AC30" i="101" s="1"/>
  <c r="AE30" i="101"/>
  <c r="AO30" i="101"/>
  <c r="AJ30" i="101"/>
  <c r="AG30" i="101"/>
  <c r="AD20" i="101"/>
  <c r="AK20" i="101"/>
  <c r="AF20" i="101"/>
  <c r="AL20" i="101"/>
  <c r="AE20" i="101"/>
  <c r="AJ20" i="101"/>
  <c r="AO20" i="101"/>
  <c r="AG20" i="101"/>
  <c r="AH20" i="101"/>
  <c r="Z20" i="101"/>
  <c r="AM20" i="101"/>
  <c r="AI20" i="101"/>
  <c r="AN20" i="101"/>
  <c r="AB20" i="101"/>
  <c r="AC20" i="101" s="1"/>
  <c r="AE16" i="101"/>
  <c r="AJ16" i="101"/>
  <c r="Z16" i="101"/>
  <c r="AM16" i="101"/>
  <c r="AF16" i="101"/>
  <c r="AH16" i="101"/>
  <c r="AL16" i="101"/>
  <c r="AN16" i="101"/>
  <c r="AK16" i="101"/>
  <c r="AO16" i="101"/>
  <c r="AI16" i="101"/>
  <c r="AD16" i="101"/>
  <c r="AG16" i="101"/>
  <c r="AB16" i="101"/>
  <c r="AC16" i="101" s="1"/>
  <c r="AD24" i="101"/>
  <c r="AI24" i="101"/>
  <c r="AK24" i="101"/>
  <c r="AF24" i="101"/>
  <c r="AM24" i="101"/>
  <c r="AB24" i="101"/>
  <c r="AC24" i="101" s="1"/>
  <c r="AL24" i="101"/>
  <c r="AO24" i="101"/>
  <c r="AN24" i="101"/>
  <c r="Z24" i="101"/>
  <c r="AE24" i="101"/>
  <c r="AH24" i="101"/>
  <c r="AJ24" i="101"/>
  <c r="AG24" i="101"/>
  <c r="AN15" i="101"/>
  <c r="AB26" i="101"/>
  <c r="AC26" i="101" s="1"/>
  <c r="AO26" i="101"/>
  <c r="AF26" i="101"/>
  <c r="AN26" i="101"/>
  <c r="AI26" i="101"/>
  <c r="AE26" i="101"/>
  <c r="AD26" i="101"/>
  <c r="AJ26" i="101"/>
  <c r="AK26" i="101"/>
  <c r="Z26" i="101"/>
  <c r="AH26" i="101"/>
  <c r="AG26" i="101"/>
  <c r="AM26" i="101"/>
  <c r="AL26" i="101"/>
  <c r="AD19" i="101"/>
  <c r="AI19" i="101"/>
  <c r="AN19" i="101"/>
  <c r="AG19" i="101"/>
  <c r="AJ19" i="101"/>
  <c r="AK19" i="101"/>
  <c r="Z19" i="101"/>
  <c r="AE19" i="101"/>
  <c r="AO19" i="101"/>
  <c r="AL19" i="101"/>
  <c r="AB19" i="101"/>
  <c r="AC19" i="101" s="1"/>
  <c r="AH19" i="101"/>
  <c r="AM19" i="101"/>
  <c r="AF19" i="101"/>
  <c r="AB22" i="101"/>
  <c r="AC22" i="101" s="1"/>
  <c r="Z22" i="101"/>
  <c r="AN22" i="101"/>
  <c r="AH22" i="101"/>
  <c r="AF22" i="101"/>
  <c r="AM22" i="101"/>
  <c r="AG22" i="101"/>
  <c r="AK22" i="101"/>
  <c r="AI22" i="101"/>
  <c r="AL22" i="101"/>
  <c r="AE22" i="101"/>
  <c r="AO22" i="101"/>
  <c r="AD22" i="101"/>
  <c r="AJ22" i="101"/>
  <c r="AD25" i="101"/>
  <c r="AJ25" i="101"/>
  <c r="AK25" i="101"/>
  <c r="Z25" i="101"/>
  <c r="AL25" i="101"/>
  <c r="AB25" i="101"/>
  <c r="AC25" i="101" s="1"/>
  <c r="AH25" i="101"/>
  <c r="AG25" i="101"/>
  <c r="AM25" i="101"/>
  <c r="AI25" i="101"/>
  <c r="AF25" i="101"/>
  <c r="AN25" i="101"/>
  <c r="AE25" i="101"/>
  <c r="AO25" i="101"/>
  <c r="AD32" i="101"/>
  <c r="Z32" i="101"/>
  <c r="AN32" i="101"/>
  <c r="AL32" i="101"/>
  <c r="AB32" i="101"/>
  <c r="AC32" i="101" s="1"/>
  <c r="AG32" i="101"/>
  <c r="AH32" i="101"/>
  <c r="AM32" i="101"/>
  <c r="AI32" i="101"/>
  <c r="AK32" i="101"/>
  <c r="AO32" i="101"/>
  <c r="AE32" i="101"/>
  <c r="AJ32" i="101"/>
  <c r="AF32" i="101"/>
  <c r="AD23" i="101"/>
  <c r="AG23" i="101"/>
  <c r="AB23" i="101"/>
  <c r="AC23" i="101" s="1"/>
  <c r="AF23" i="101"/>
  <c r="Z23" i="101"/>
  <c r="AO23" i="101"/>
  <c r="AJ23" i="101"/>
  <c r="AL23" i="101"/>
  <c r="AH23" i="101"/>
  <c r="AN23" i="101"/>
  <c r="AE23" i="101"/>
  <c r="AM23" i="101"/>
  <c r="AI23" i="101"/>
  <c r="AK23" i="101"/>
  <c r="AD18" i="101"/>
  <c r="AG18" i="101"/>
  <c r="AF18" i="101"/>
  <c r="AN18" i="101"/>
  <c r="AJ18" i="101"/>
  <c r="AB18" i="101"/>
  <c r="AC18" i="101" s="1"/>
  <c r="AO18" i="101"/>
  <c r="AL18" i="101"/>
  <c r="AE18" i="101"/>
  <c r="Z18" i="101"/>
  <c r="AH18" i="101"/>
  <c r="AK18" i="101"/>
  <c r="AM18" i="101"/>
  <c r="AI18" i="101"/>
  <c r="AD29" i="101"/>
  <c r="AL29" i="101"/>
  <c r="AF29" i="101"/>
  <c r="AH29" i="101"/>
  <c r="AM29" i="101"/>
  <c r="AI29" i="101"/>
  <c r="AB29" i="101"/>
  <c r="AC29" i="101" s="1"/>
  <c r="Z29" i="101"/>
  <c r="AE29" i="101"/>
  <c r="AK29" i="101"/>
  <c r="AJ29" i="101"/>
  <c r="AG29" i="101"/>
  <c r="AO29" i="101"/>
  <c r="AN29" i="101"/>
  <c r="Z21" i="101"/>
  <c r="AD21" i="101"/>
  <c r="AK21" i="101"/>
  <c r="AJ21" i="101"/>
  <c r="AG21" i="101"/>
  <c r="AH21" i="101"/>
  <c r="AF21" i="101"/>
  <c r="AB21" i="101"/>
  <c r="AC21" i="101" s="1"/>
  <c r="AO21" i="101"/>
  <c r="AN21" i="101"/>
  <c r="AL21" i="101"/>
  <c r="AE21" i="101"/>
  <c r="AI21" i="101"/>
  <c r="AM21" i="101"/>
  <c r="AG33" i="101"/>
  <c r="AN33" i="101"/>
  <c r="AO33" i="101"/>
  <c r="AK33" i="101"/>
  <c r="Z33" i="101"/>
  <c r="AM33" i="101"/>
  <c r="AE33" i="101"/>
  <c r="AD33" i="101"/>
  <c r="AH33" i="101"/>
  <c r="AF33" i="101"/>
  <c r="AJ33" i="101"/>
  <c r="AI33" i="101"/>
  <c r="AL33" i="101"/>
  <c r="AB33" i="101"/>
  <c r="AC33" i="101" s="1"/>
  <c r="AG28" i="101"/>
  <c r="AN28" i="101"/>
  <c r="AK28" i="101"/>
  <c r="AI28" i="101"/>
  <c r="Z28" i="101"/>
  <c r="AL28" i="101"/>
  <c r="AO28" i="101"/>
  <c r="AB28" i="101"/>
  <c r="AC28" i="101" s="1"/>
  <c r="AE28" i="101"/>
  <c r="AF28" i="101"/>
  <c r="AM28" i="101"/>
  <c r="AJ28" i="101"/>
  <c r="AH28" i="101"/>
  <c r="AD28" i="101"/>
  <c r="Z17" i="101"/>
  <c r="AB17" i="101"/>
  <c r="AC17" i="101" s="1"/>
  <c r="AD17" i="101"/>
  <c r="AJ17" i="101"/>
  <c r="AH17" i="101"/>
  <c r="AF17" i="101"/>
  <c r="AK17" i="101"/>
  <c r="AN17" i="101"/>
  <c r="AE17" i="101"/>
  <c r="AM17" i="101"/>
  <c r="AG17" i="101"/>
  <c r="AO17" i="101"/>
  <c r="AI17" i="101"/>
  <c r="AL17" i="101"/>
  <c r="AB27" i="101"/>
  <c r="AC27" i="101" s="1"/>
  <c r="AO27" i="101"/>
  <c r="AK27" i="101"/>
  <c r="Z27" i="101"/>
  <c r="AL27" i="101"/>
  <c r="AM27" i="101"/>
  <c r="AH27" i="101"/>
  <c r="AI27" i="101"/>
  <c r="AE27" i="101"/>
  <c r="AD27" i="101"/>
  <c r="AG27" i="101"/>
  <c r="AF27" i="101"/>
  <c r="AN27" i="101"/>
  <c r="AJ27" i="101"/>
  <c r="AF7" i="84"/>
  <c r="AI7" i="84"/>
  <c r="AE7" i="84"/>
  <c r="AJ7" i="84"/>
  <c r="AH7" i="84"/>
  <c r="AG7" i="84"/>
  <c r="AG6" i="84"/>
  <c r="AI6" i="84"/>
  <c r="AF6" i="84"/>
  <c r="AE6" i="84"/>
  <c r="AE8" i="84" s="1"/>
  <c r="AJ6" i="84"/>
  <c r="AH6" i="84"/>
  <c r="AH8" i="84" s="1"/>
  <c r="AI7" i="90"/>
  <c r="AE7" i="90"/>
  <c r="AH7" i="90"/>
  <c r="AI6" i="90"/>
  <c r="AF6" i="90"/>
  <c r="AG7" i="90"/>
  <c r="AG6" i="90"/>
  <c r="AF7" i="90"/>
  <c r="AJ6" i="90"/>
  <c r="AH6" i="90"/>
  <c r="AE6" i="90"/>
  <c r="AE8" i="90" s="1"/>
  <c r="AJ7" i="90"/>
  <c r="AJ8" i="90" s="1"/>
  <c r="AJ7" i="83"/>
  <c r="AF7" i="83"/>
  <c r="AI7" i="83"/>
  <c r="AG7" i="83"/>
  <c r="AH7" i="83"/>
  <c r="AE7" i="83"/>
  <c r="AG6" i="83"/>
  <c r="AJ6" i="83"/>
  <c r="AE6" i="83"/>
  <c r="AE8" i="83" s="1"/>
  <c r="AI6" i="83"/>
  <c r="AI8" i="83" s="1"/>
  <c r="AF6" i="83"/>
  <c r="AH6" i="83"/>
  <c r="AJ7" i="82"/>
  <c r="AF7" i="82"/>
  <c r="AI7" i="82"/>
  <c r="AH7" i="82"/>
  <c r="AE7" i="82"/>
  <c r="AG7" i="82"/>
  <c r="AJ6" i="82"/>
  <c r="AI6" i="82"/>
  <c r="AG6" i="82"/>
  <c r="AF6" i="82"/>
  <c r="AH6" i="82"/>
  <c r="AE6" i="82"/>
  <c r="AI7" i="95"/>
  <c r="AH7" i="95"/>
  <c r="AI6" i="95"/>
  <c r="AF6" i="95"/>
  <c r="AG7" i="95"/>
  <c r="AE7" i="95"/>
  <c r="AH6" i="95"/>
  <c r="AF7" i="95"/>
  <c r="AJ6" i="95"/>
  <c r="AG6" i="95"/>
  <c r="AE6" i="95"/>
  <c r="AJ7" i="95"/>
  <c r="AI7" i="88"/>
  <c r="AG6" i="88"/>
  <c r="AF6" i="88"/>
  <c r="AH7" i="88"/>
  <c r="AG7" i="88"/>
  <c r="AG8" i="88" s="1"/>
  <c r="AJ6" i="88"/>
  <c r="AI6" i="88"/>
  <c r="AI8" i="88" s="1"/>
  <c r="AH6" i="88"/>
  <c r="AF7" i="88"/>
  <c r="AE7" i="88"/>
  <c r="AE6" i="88"/>
  <c r="AJ7" i="88"/>
  <c r="AI7" i="98"/>
  <c r="AJ6" i="98"/>
  <c r="AH7" i="98"/>
  <c r="AI6" i="98"/>
  <c r="AG7" i="98"/>
  <c r="AE7" i="98"/>
  <c r="AH6" i="98"/>
  <c r="AH8" i="98" s="1"/>
  <c r="AF6" i="98"/>
  <c r="AF7" i="98"/>
  <c r="AG6" i="98"/>
  <c r="AE6" i="98"/>
  <c r="AJ7" i="98"/>
  <c r="AI7" i="97"/>
  <c r="AH6" i="97"/>
  <c r="AH7" i="97"/>
  <c r="AG6" i="97"/>
  <c r="AG7" i="97"/>
  <c r="AE7" i="97"/>
  <c r="AJ6" i="97"/>
  <c r="AI6" i="97"/>
  <c r="AF7" i="97"/>
  <c r="AF6" i="97"/>
  <c r="AF8" i="97" s="1"/>
  <c r="AE6" i="97"/>
  <c r="AJ7" i="97"/>
  <c r="AJ7" i="81"/>
  <c r="AH7" i="81"/>
  <c r="AF7" i="81"/>
  <c r="AI7" i="81"/>
  <c r="AE7" i="81"/>
  <c r="AG7" i="81"/>
  <c r="AI6" i="81"/>
  <c r="AH6" i="81"/>
  <c r="AJ6" i="81"/>
  <c r="AG6" i="81"/>
  <c r="AF6" i="81"/>
  <c r="AE6" i="81"/>
  <c r="AI7" i="86"/>
  <c r="AE7" i="86"/>
  <c r="AI6" i="86"/>
  <c r="AI8" i="86" s="1"/>
  <c r="AH7" i="86"/>
  <c r="AF6" i="86"/>
  <c r="AG7" i="86"/>
  <c r="AG6" i="86"/>
  <c r="AF7" i="86"/>
  <c r="AJ6" i="86"/>
  <c r="AH6" i="86"/>
  <c r="AH8" i="86" s="1"/>
  <c r="AE6" i="86"/>
  <c r="AE8" i="86" s="1"/>
  <c r="AJ7" i="86"/>
  <c r="AI7" i="100"/>
  <c r="AH7" i="100"/>
  <c r="AG7" i="100"/>
  <c r="AE7" i="100"/>
  <c r="AI6" i="100"/>
  <c r="AH6" i="100"/>
  <c r="AG6" i="100"/>
  <c r="AF7" i="100"/>
  <c r="AJ6" i="100"/>
  <c r="AF6" i="100"/>
  <c r="AE6" i="100"/>
  <c r="AJ7" i="100"/>
  <c r="AI7" i="96"/>
  <c r="AI6" i="96"/>
  <c r="AI8" i="96" s="1"/>
  <c r="AH7" i="96"/>
  <c r="AE7" i="96"/>
  <c r="AJ6" i="96"/>
  <c r="AG7" i="96"/>
  <c r="AG6" i="96"/>
  <c r="AF7" i="96"/>
  <c r="AH6" i="96"/>
  <c r="AH8" i="96" s="1"/>
  <c r="AF6" i="96"/>
  <c r="AF8" i="96" s="1"/>
  <c r="AE6" i="96"/>
  <c r="AE8" i="96" s="1"/>
  <c r="AJ7" i="96"/>
  <c r="AI7" i="87"/>
  <c r="AH7" i="87"/>
  <c r="AJ6" i="87"/>
  <c r="AI6" i="87"/>
  <c r="AH6" i="87"/>
  <c r="AG6" i="87"/>
  <c r="AG7" i="87"/>
  <c r="AE7" i="87"/>
  <c r="AF6" i="87"/>
  <c r="AF7" i="87"/>
  <c r="AE6" i="87"/>
  <c r="AE8" i="87" s="1"/>
  <c r="AJ7" i="87"/>
  <c r="AI7" i="99"/>
  <c r="AG6" i="99"/>
  <c r="AH7" i="99"/>
  <c r="AE7" i="99"/>
  <c r="AI6" i="99"/>
  <c r="AF6" i="99"/>
  <c r="AG7" i="99"/>
  <c r="AF7" i="99"/>
  <c r="AJ6" i="99"/>
  <c r="AH6" i="99"/>
  <c r="AE6" i="99"/>
  <c r="AE8" i="99" s="1"/>
  <c r="AJ7" i="99"/>
  <c r="AI7" i="94"/>
  <c r="AE7" i="94"/>
  <c r="AG6" i="94"/>
  <c r="AH7" i="94"/>
  <c r="AJ6" i="94"/>
  <c r="AG7" i="94"/>
  <c r="AG8" i="94" s="1"/>
  <c r="AF7" i="94"/>
  <c r="AI6" i="94"/>
  <c r="AH6" i="94"/>
  <c r="AH8" i="94" s="1"/>
  <c r="AF6" i="94"/>
  <c r="AE6" i="94"/>
  <c r="AJ7" i="94"/>
  <c r="AJ8" i="94" s="1"/>
  <c r="AI7" i="93"/>
  <c r="AH6" i="93"/>
  <c r="AH7" i="93"/>
  <c r="AE7" i="93"/>
  <c r="AF6" i="93"/>
  <c r="AG7" i="93"/>
  <c r="AI6" i="93"/>
  <c r="AI8" i="93" s="1"/>
  <c r="AF7" i="93"/>
  <c r="AJ6" i="93"/>
  <c r="AG6" i="93"/>
  <c r="AE6" i="93"/>
  <c r="AJ7" i="93"/>
  <c r="AI7" i="92"/>
  <c r="AH7" i="92"/>
  <c r="AI6" i="92"/>
  <c r="AG7" i="92"/>
  <c r="AJ6" i="92"/>
  <c r="AG6" i="92"/>
  <c r="AG8" i="92" s="1"/>
  <c r="AF6" i="92"/>
  <c r="AF7" i="92"/>
  <c r="AE7" i="92"/>
  <c r="AH6" i="92"/>
  <c r="AE6" i="92"/>
  <c r="AJ7" i="92"/>
  <c r="AI7" i="91"/>
  <c r="AG6" i="91"/>
  <c r="AH7" i="91"/>
  <c r="AJ6" i="91"/>
  <c r="AG7" i="91"/>
  <c r="AE7" i="91"/>
  <c r="AI6" i="91"/>
  <c r="AH6" i="91"/>
  <c r="AF7" i="91"/>
  <c r="AF6" i="91"/>
  <c r="AE6" i="91"/>
  <c r="AJ7" i="91"/>
  <c r="AI7" i="89"/>
  <c r="AJ6" i="89"/>
  <c r="AH6" i="89"/>
  <c r="AH7" i="89"/>
  <c r="AE7" i="89"/>
  <c r="AG7" i="89"/>
  <c r="AF7" i="89"/>
  <c r="AI6" i="89"/>
  <c r="AG6" i="89"/>
  <c r="AF6" i="89"/>
  <c r="AE6" i="89"/>
  <c r="AJ7" i="89"/>
  <c r="AE6" i="85"/>
  <c r="AG7" i="85"/>
  <c r="AF7" i="85"/>
  <c r="AH7" i="85"/>
  <c r="AJ7" i="85"/>
  <c r="AI7" i="85"/>
  <c r="AE7" i="85"/>
  <c r="AH6" i="85"/>
  <c r="AG6" i="85"/>
  <c r="AF6" i="85"/>
  <c r="AJ6" i="85"/>
  <c r="AI6" i="85"/>
  <c r="AJ31" i="100"/>
  <c r="O31" i="100"/>
  <c r="BF31" i="100" s="1"/>
  <c r="AJ30" i="100"/>
  <c r="O30" i="100"/>
  <c r="AR30" i="100" s="1"/>
  <c r="AJ29" i="100"/>
  <c r="O29" i="100"/>
  <c r="AZ29" i="100" s="1"/>
  <c r="AJ28" i="100"/>
  <c r="O28" i="100"/>
  <c r="BH28" i="100" s="1"/>
  <c r="AJ27" i="100"/>
  <c r="O27" i="100"/>
  <c r="AP27" i="100" s="1"/>
  <c r="AJ26" i="100"/>
  <c r="O26" i="100"/>
  <c r="AY26" i="100" s="1"/>
  <c r="AJ25" i="100"/>
  <c r="O25" i="100"/>
  <c r="BH25" i="100" s="1"/>
  <c r="AJ24" i="100"/>
  <c r="O24" i="100"/>
  <c r="AP24" i="100" s="1"/>
  <c r="AJ23" i="100"/>
  <c r="O23" i="100"/>
  <c r="AY23" i="100" s="1"/>
  <c r="AJ22" i="100"/>
  <c r="O22" i="100"/>
  <c r="BH22" i="100" s="1"/>
  <c r="AJ21" i="100"/>
  <c r="O21" i="100"/>
  <c r="AP21" i="100" s="1"/>
  <c r="AJ20" i="100"/>
  <c r="O20" i="100"/>
  <c r="AY20" i="100" s="1"/>
  <c r="Q15" i="100"/>
  <c r="Q14" i="100"/>
  <c r="Q13" i="100"/>
  <c r="B13" i="100"/>
  <c r="W33" i="101" s="1"/>
  <c r="AJ31" i="99"/>
  <c r="O31" i="99"/>
  <c r="BH31" i="99" s="1"/>
  <c r="AJ30" i="99"/>
  <c r="O30" i="99"/>
  <c r="AR30" i="99" s="1"/>
  <c r="AJ29" i="99"/>
  <c r="O29" i="99"/>
  <c r="AZ29" i="99" s="1"/>
  <c r="AJ28" i="99"/>
  <c r="O28" i="99"/>
  <c r="BH28" i="99" s="1"/>
  <c r="AJ27" i="99"/>
  <c r="O27" i="99"/>
  <c r="AP27" i="99" s="1"/>
  <c r="AJ26" i="99"/>
  <c r="O26" i="99"/>
  <c r="AY26" i="99" s="1"/>
  <c r="AJ25" i="99"/>
  <c r="O25" i="99"/>
  <c r="BH25" i="99" s="1"/>
  <c r="AJ24" i="99"/>
  <c r="O24" i="99"/>
  <c r="AP24" i="99" s="1"/>
  <c r="AJ23" i="99"/>
  <c r="O23" i="99"/>
  <c r="AY23" i="99" s="1"/>
  <c r="AJ22" i="99"/>
  <c r="O22" i="99"/>
  <c r="BH22" i="99" s="1"/>
  <c r="AJ21" i="99"/>
  <c r="O21" i="99"/>
  <c r="AP21" i="99" s="1"/>
  <c r="AJ20" i="99"/>
  <c r="O20" i="99"/>
  <c r="AY20" i="99" s="1"/>
  <c r="Q15" i="99"/>
  <c r="Q14" i="99"/>
  <c r="Q13" i="99"/>
  <c r="B13" i="99"/>
  <c r="AJ31" i="98"/>
  <c r="O31" i="98"/>
  <c r="BH31" i="98" s="1"/>
  <c r="AJ30" i="98"/>
  <c r="O30" i="98"/>
  <c r="AR30" i="98" s="1"/>
  <c r="AJ29" i="98"/>
  <c r="O29" i="98"/>
  <c r="AZ29" i="98" s="1"/>
  <c r="AJ28" i="98"/>
  <c r="O28" i="98"/>
  <c r="BH28" i="98" s="1"/>
  <c r="AJ27" i="98"/>
  <c r="O27" i="98"/>
  <c r="AP27" i="98" s="1"/>
  <c r="AJ26" i="98"/>
  <c r="O26" i="98"/>
  <c r="AY26" i="98" s="1"/>
  <c r="AJ25" i="98"/>
  <c r="O25" i="98"/>
  <c r="BH25" i="98" s="1"/>
  <c r="AJ24" i="98"/>
  <c r="O24" i="98"/>
  <c r="AP24" i="98" s="1"/>
  <c r="AJ23" i="98"/>
  <c r="O23" i="98"/>
  <c r="AY23" i="98" s="1"/>
  <c r="AJ22" i="98"/>
  <c r="O22" i="98"/>
  <c r="BH22" i="98" s="1"/>
  <c r="AJ21" i="98"/>
  <c r="O21" i="98"/>
  <c r="AP21" i="98" s="1"/>
  <c r="AJ20" i="98"/>
  <c r="O20" i="98"/>
  <c r="AY20" i="98" s="1"/>
  <c r="Q15" i="98"/>
  <c r="Q14" i="98"/>
  <c r="Q13" i="98"/>
  <c r="B13" i="98"/>
  <c r="AJ31" i="97"/>
  <c r="O31" i="97"/>
  <c r="BH31" i="97" s="1"/>
  <c r="AJ30" i="97"/>
  <c r="O30" i="97"/>
  <c r="AR30" i="97" s="1"/>
  <c r="AJ29" i="97"/>
  <c r="O29" i="97"/>
  <c r="AZ29" i="97" s="1"/>
  <c r="AJ28" i="97"/>
  <c r="O28" i="97"/>
  <c r="BH28" i="97" s="1"/>
  <c r="AJ27" i="97"/>
  <c r="O27" i="97"/>
  <c r="AP27" i="97" s="1"/>
  <c r="AJ26" i="97"/>
  <c r="O26" i="97"/>
  <c r="AY26" i="97" s="1"/>
  <c r="AJ25" i="97"/>
  <c r="O25" i="97"/>
  <c r="BH25" i="97" s="1"/>
  <c r="AJ24" i="97"/>
  <c r="O24" i="97"/>
  <c r="AP24" i="97" s="1"/>
  <c r="AJ23" i="97"/>
  <c r="O23" i="97"/>
  <c r="AY23" i="97" s="1"/>
  <c r="AJ22" i="97"/>
  <c r="O22" i="97"/>
  <c r="BH22" i="97" s="1"/>
  <c r="AJ21" i="97"/>
  <c r="O21" i="97"/>
  <c r="AP21" i="97" s="1"/>
  <c r="AJ20" i="97"/>
  <c r="O20" i="97"/>
  <c r="AY20" i="97" s="1"/>
  <c r="Q15" i="97"/>
  <c r="Q14" i="97"/>
  <c r="Q13" i="97"/>
  <c r="B13" i="97"/>
  <c r="AJ31" i="96"/>
  <c r="O31" i="96"/>
  <c r="BH31" i="96" s="1"/>
  <c r="AJ30" i="96"/>
  <c r="O30" i="96"/>
  <c r="AR30" i="96" s="1"/>
  <c r="AJ29" i="96"/>
  <c r="O29" i="96"/>
  <c r="AZ29" i="96" s="1"/>
  <c r="AJ28" i="96"/>
  <c r="O28" i="96"/>
  <c r="BH28" i="96" s="1"/>
  <c r="AJ27" i="96"/>
  <c r="O27" i="96"/>
  <c r="AP27" i="96" s="1"/>
  <c r="AJ26" i="96"/>
  <c r="O26" i="96"/>
  <c r="AY26" i="96" s="1"/>
  <c r="AJ25" i="96"/>
  <c r="O25" i="96"/>
  <c r="BH25" i="96" s="1"/>
  <c r="AJ24" i="96"/>
  <c r="O24" i="96"/>
  <c r="AP24" i="96" s="1"/>
  <c r="AJ23" i="96"/>
  <c r="O23" i="96"/>
  <c r="AY23" i="96" s="1"/>
  <c r="AJ22" i="96"/>
  <c r="O22" i="96"/>
  <c r="BH22" i="96" s="1"/>
  <c r="AJ21" i="96"/>
  <c r="O21" i="96"/>
  <c r="AP21" i="96" s="1"/>
  <c r="AJ20" i="96"/>
  <c r="O20" i="96"/>
  <c r="AY20" i="96" s="1"/>
  <c r="Q15" i="96"/>
  <c r="Q14" i="96"/>
  <c r="Q13" i="96"/>
  <c r="B13" i="96"/>
  <c r="AZ31" i="95"/>
  <c r="AY31" i="95"/>
  <c r="AX31" i="95"/>
  <c r="AW31" i="95"/>
  <c r="AV31" i="95"/>
  <c r="AJ31" i="95"/>
  <c r="O31" i="95"/>
  <c r="BH31" i="95" s="1"/>
  <c r="AJ30" i="95"/>
  <c r="O30" i="95"/>
  <c r="AR30" i="95" s="1"/>
  <c r="AJ29" i="95"/>
  <c r="O29" i="95"/>
  <c r="AZ29" i="95" s="1"/>
  <c r="AJ28" i="95"/>
  <c r="O28" i="95"/>
  <c r="BH28" i="95" s="1"/>
  <c r="AJ27" i="95"/>
  <c r="O27" i="95"/>
  <c r="AP27" i="95" s="1"/>
  <c r="AJ26" i="95"/>
  <c r="O26" i="95"/>
  <c r="AY26" i="95" s="1"/>
  <c r="AJ25" i="95"/>
  <c r="O25" i="95"/>
  <c r="BH25" i="95" s="1"/>
  <c r="AS24" i="95"/>
  <c r="AR24" i="95"/>
  <c r="AJ24" i="95"/>
  <c r="O24" i="95"/>
  <c r="AP24" i="95" s="1"/>
  <c r="AJ23" i="95"/>
  <c r="O23" i="95"/>
  <c r="AY23" i="95" s="1"/>
  <c r="AJ22" i="95"/>
  <c r="O22" i="95"/>
  <c r="BH22" i="95" s="1"/>
  <c r="AJ21" i="95"/>
  <c r="O21" i="95"/>
  <c r="AP21" i="95" s="1"/>
  <c r="AJ20" i="95"/>
  <c r="O20" i="95"/>
  <c r="AY20" i="95" s="1"/>
  <c r="Q15" i="95"/>
  <c r="Q14" i="95"/>
  <c r="Q13" i="95"/>
  <c r="B13" i="95"/>
  <c r="AJ31" i="94"/>
  <c r="O31" i="94"/>
  <c r="BH31" i="94" s="1"/>
  <c r="AJ30" i="94"/>
  <c r="O30" i="94"/>
  <c r="AR30" i="94" s="1"/>
  <c r="AJ29" i="94"/>
  <c r="O29" i="94"/>
  <c r="AZ29" i="94" s="1"/>
  <c r="AZ28" i="94"/>
  <c r="AY28" i="94"/>
  <c r="AX28" i="94"/>
  <c r="AW28" i="94"/>
  <c r="AV28" i="94"/>
  <c r="AJ28" i="94"/>
  <c r="O28" i="94"/>
  <c r="BH28" i="94" s="1"/>
  <c r="AJ27" i="94"/>
  <c r="O27" i="94"/>
  <c r="AP27" i="94" s="1"/>
  <c r="AJ26" i="94"/>
  <c r="O26" i="94"/>
  <c r="AY26" i="94" s="1"/>
  <c r="AJ25" i="94"/>
  <c r="O25" i="94"/>
  <c r="BH25" i="94" s="1"/>
  <c r="AJ24" i="94"/>
  <c r="O24" i="94"/>
  <c r="AP24" i="94" s="1"/>
  <c r="AJ23" i="94"/>
  <c r="O23" i="94"/>
  <c r="AY23" i="94" s="1"/>
  <c r="AJ22" i="94"/>
  <c r="O22" i="94"/>
  <c r="BH22" i="94" s="1"/>
  <c r="AJ21" i="94"/>
  <c r="O21" i="94"/>
  <c r="AP21" i="94" s="1"/>
  <c r="AJ20" i="94"/>
  <c r="O20" i="94"/>
  <c r="AY20" i="94" s="1"/>
  <c r="Q15" i="94"/>
  <c r="Q14" i="94"/>
  <c r="Q13" i="94"/>
  <c r="B13" i="94"/>
  <c r="AJ31" i="93"/>
  <c r="O31" i="93"/>
  <c r="BH31" i="93" s="1"/>
  <c r="AJ30" i="93"/>
  <c r="O30" i="93"/>
  <c r="AR30" i="93" s="1"/>
  <c r="AJ29" i="93"/>
  <c r="O29" i="93"/>
  <c r="AZ29" i="93" s="1"/>
  <c r="AJ28" i="93"/>
  <c r="O28" i="93"/>
  <c r="BH28" i="93" s="1"/>
  <c r="AJ27" i="93"/>
  <c r="O27" i="93"/>
  <c r="AP27" i="93" s="1"/>
  <c r="AJ26" i="93"/>
  <c r="O26" i="93"/>
  <c r="AY26" i="93" s="1"/>
  <c r="AJ25" i="93"/>
  <c r="O25" i="93"/>
  <c r="BH25" i="93" s="1"/>
  <c r="AJ24" i="93"/>
  <c r="O24" i="93"/>
  <c r="AP24" i="93" s="1"/>
  <c r="AJ23" i="93"/>
  <c r="O23" i="93"/>
  <c r="AY23" i="93" s="1"/>
  <c r="AJ22" i="93"/>
  <c r="O22" i="93"/>
  <c r="BH22" i="93" s="1"/>
  <c r="AJ21" i="93"/>
  <c r="O21" i="93"/>
  <c r="AP21" i="93" s="1"/>
  <c r="AJ20" i="93"/>
  <c r="O20" i="93"/>
  <c r="AY20" i="93" s="1"/>
  <c r="Q15" i="93"/>
  <c r="Q14" i="93"/>
  <c r="Q13" i="93"/>
  <c r="B13" i="93"/>
  <c r="AJ31" i="92"/>
  <c r="O31" i="92"/>
  <c r="AO31" i="92" s="1"/>
  <c r="BH30" i="92"/>
  <c r="BF30" i="92"/>
  <c r="BE30" i="92"/>
  <c r="BD30" i="92"/>
  <c r="BC30" i="92"/>
  <c r="BA30" i="92"/>
  <c r="AZ30" i="92"/>
  <c r="AJ30" i="92"/>
  <c r="O30" i="92"/>
  <c r="AY30" i="92" s="1"/>
  <c r="AJ29" i="92"/>
  <c r="O29" i="92"/>
  <c r="BF29" i="92" s="1"/>
  <c r="AJ28" i="92"/>
  <c r="O28" i="92"/>
  <c r="AV28" i="92" s="1"/>
  <c r="BE27" i="92"/>
  <c r="BD27" i="92"/>
  <c r="BC27" i="92"/>
  <c r="BA27" i="92"/>
  <c r="AZ27" i="92"/>
  <c r="AY27" i="92"/>
  <c r="AX27" i="92"/>
  <c r="AW27" i="92"/>
  <c r="AV27" i="92"/>
  <c r="AI27" i="92" s="1"/>
  <c r="AT27" i="92"/>
  <c r="AS27" i="92"/>
  <c r="AR27" i="92"/>
  <c r="AQ27" i="92"/>
  <c r="AJ27" i="92"/>
  <c r="O27" i="92"/>
  <c r="AJ26" i="92"/>
  <c r="O26" i="92"/>
  <c r="BC26" i="92" s="1"/>
  <c r="AJ25" i="92"/>
  <c r="O25" i="92"/>
  <c r="AR25" i="92" s="1"/>
  <c r="AJ24" i="92"/>
  <c r="O24" i="92"/>
  <c r="BG24" i="92" s="1"/>
  <c r="AJ23" i="92"/>
  <c r="O23" i="92"/>
  <c r="BE23" i="92" s="1"/>
  <c r="AJ22" i="92"/>
  <c r="O22" i="92"/>
  <c r="AT22" i="92" s="1"/>
  <c r="AJ21" i="92"/>
  <c r="O21" i="92"/>
  <c r="BE21" i="92" s="1"/>
  <c r="AJ20" i="92"/>
  <c r="O20" i="92"/>
  <c r="Q15" i="92"/>
  <c r="Q14" i="92"/>
  <c r="Q13" i="92"/>
  <c r="B13" i="92"/>
  <c r="AJ31" i="91"/>
  <c r="O31" i="91"/>
  <c r="AJ30" i="91"/>
  <c r="O30" i="91"/>
  <c r="BG30" i="91" s="1"/>
  <c r="AJ29" i="91"/>
  <c r="O29" i="91"/>
  <c r="BD29" i="91" s="1"/>
  <c r="AJ28" i="91"/>
  <c r="O28" i="91"/>
  <c r="BF28" i="91" s="1"/>
  <c r="AJ27" i="91"/>
  <c r="O27" i="91"/>
  <c r="AT27" i="91" s="1"/>
  <c r="AJ26" i="91"/>
  <c r="O26" i="91"/>
  <c r="AX26" i="91" s="1"/>
  <c r="AJ25" i="91"/>
  <c r="O25" i="91"/>
  <c r="BF25" i="91" s="1"/>
  <c r="AJ24" i="91"/>
  <c r="O24" i="91"/>
  <c r="BH24" i="91" s="1"/>
  <c r="AJ23" i="91"/>
  <c r="O23" i="91"/>
  <c r="AY23" i="91" s="1"/>
  <c r="AJ22" i="91"/>
  <c r="O22" i="91"/>
  <c r="BF22" i="91" s="1"/>
  <c r="AJ21" i="91"/>
  <c r="O21" i="91"/>
  <c r="AJ20" i="91"/>
  <c r="O20" i="91"/>
  <c r="BH20" i="91" s="1"/>
  <c r="Q15" i="91"/>
  <c r="Q14" i="91"/>
  <c r="Q13" i="91"/>
  <c r="B13" i="91"/>
  <c r="AJ31" i="90"/>
  <c r="O31" i="90"/>
  <c r="BG31" i="90" s="1"/>
  <c r="AJ30" i="90"/>
  <c r="O30" i="90"/>
  <c r="BF30" i="90" s="1"/>
  <c r="AJ29" i="90"/>
  <c r="O29" i="90"/>
  <c r="BE29" i="90" s="1"/>
  <c r="AJ28" i="90"/>
  <c r="O28" i="90"/>
  <c r="BD28" i="90" s="1"/>
  <c r="AJ27" i="90"/>
  <c r="O27" i="90"/>
  <c r="AP27" i="90" s="1"/>
  <c r="AJ26" i="90"/>
  <c r="O26" i="90"/>
  <c r="AY26" i="90" s="1"/>
  <c r="AJ25" i="90"/>
  <c r="O25" i="90"/>
  <c r="BD25" i="90" s="1"/>
  <c r="AJ24" i="90"/>
  <c r="O24" i="90"/>
  <c r="AJ23" i="90"/>
  <c r="O23" i="90"/>
  <c r="AX23" i="90" s="1"/>
  <c r="AJ22" i="90"/>
  <c r="O22" i="90"/>
  <c r="BD22" i="90" s="1"/>
  <c r="AJ21" i="90"/>
  <c r="O21" i="90"/>
  <c r="AV21" i="90" s="1"/>
  <c r="AJ20" i="90"/>
  <c r="O20" i="90"/>
  <c r="Q15" i="90"/>
  <c r="Q14" i="90"/>
  <c r="Q13" i="90"/>
  <c r="B13" i="90"/>
  <c r="BH31" i="89"/>
  <c r="BG31" i="89"/>
  <c r="BF31" i="89"/>
  <c r="AJ31" i="89"/>
  <c r="O31" i="89"/>
  <c r="BE31" i="89" s="1"/>
  <c r="AJ30" i="89"/>
  <c r="O30" i="89"/>
  <c r="AP30" i="89" s="1"/>
  <c r="AJ29" i="89"/>
  <c r="O29" i="89"/>
  <c r="BC29" i="89" s="1"/>
  <c r="AJ28" i="89"/>
  <c r="O28" i="89"/>
  <c r="BA28" i="89" s="1"/>
  <c r="AJ27" i="89"/>
  <c r="O27" i="89"/>
  <c r="AO27" i="89" s="1"/>
  <c r="AJ26" i="89"/>
  <c r="O26" i="89"/>
  <c r="BF26" i="89" s="1"/>
  <c r="AJ25" i="89"/>
  <c r="O25" i="89"/>
  <c r="BA25" i="89" s="1"/>
  <c r="AJ24" i="89"/>
  <c r="O24" i="89"/>
  <c r="AZ24" i="89" s="1"/>
  <c r="AJ23" i="89"/>
  <c r="O23" i="89"/>
  <c r="AJ22" i="89"/>
  <c r="O22" i="89"/>
  <c r="BA22" i="89" s="1"/>
  <c r="AJ21" i="89"/>
  <c r="O21" i="89"/>
  <c r="BD21" i="89" s="1"/>
  <c r="AJ20" i="89"/>
  <c r="O20" i="89"/>
  <c r="BA20" i="89" s="1"/>
  <c r="Q14" i="89"/>
  <c r="Q13" i="89"/>
  <c r="B13" i="89"/>
  <c r="AJ31" i="88"/>
  <c r="O31" i="88"/>
  <c r="BA31" i="88" s="1"/>
  <c r="AJ30" i="88"/>
  <c r="O30" i="88"/>
  <c r="AJ29" i="88"/>
  <c r="O29" i="88"/>
  <c r="AJ28" i="88"/>
  <c r="O28" i="88"/>
  <c r="BC28" i="88" s="1"/>
  <c r="AJ27" i="88"/>
  <c r="O27" i="88"/>
  <c r="AP27" i="88" s="1"/>
  <c r="AJ26" i="88"/>
  <c r="O26" i="88"/>
  <c r="BF26" i="88" s="1"/>
  <c r="AJ25" i="88"/>
  <c r="O25" i="88"/>
  <c r="BF25" i="88" s="1"/>
  <c r="AJ24" i="88"/>
  <c r="O24" i="88"/>
  <c r="AT24" i="88" s="1"/>
  <c r="AJ23" i="88"/>
  <c r="O23" i="88"/>
  <c r="AX23" i="88" s="1"/>
  <c r="AJ22" i="88"/>
  <c r="O22" i="88"/>
  <c r="AO22" i="88" s="1"/>
  <c r="AJ21" i="88"/>
  <c r="O21" i="88"/>
  <c r="BC21" i="88" s="1"/>
  <c r="AJ20" i="88"/>
  <c r="O20" i="88"/>
  <c r="BA20" i="88" s="1"/>
  <c r="Q15" i="88"/>
  <c r="Q14" i="88"/>
  <c r="Q13" i="88"/>
  <c r="B13" i="88"/>
  <c r="AJ31" i="87"/>
  <c r="O31" i="87"/>
  <c r="BF31" i="87" s="1"/>
  <c r="AJ30" i="87"/>
  <c r="O30" i="87"/>
  <c r="BA30" i="87" s="1"/>
  <c r="AJ29" i="87"/>
  <c r="O29" i="87"/>
  <c r="BD29" i="87" s="1"/>
  <c r="AJ28" i="87"/>
  <c r="O28" i="87"/>
  <c r="AJ27" i="87"/>
  <c r="O27" i="87"/>
  <c r="AR27" i="87" s="1"/>
  <c r="AJ26" i="87"/>
  <c r="O26" i="87"/>
  <c r="BH26" i="87" s="1"/>
  <c r="AJ25" i="87"/>
  <c r="O25" i="87"/>
  <c r="BH25" i="87" s="1"/>
  <c r="AJ24" i="87"/>
  <c r="O24" i="87"/>
  <c r="AV24" i="87" s="1"/>
  <c r="AJ23" i="87"/>
  <c r="O23" i="87"/>
  <c r="BH23" i="87" s="1"/>
  <c r="AJ22" i="87"/>
  <c r="O22" i="87"/>
  <c r="BE22" i="87" s="1"/>
  <c r="AJ21" i="87"/>
  <c r="O21" i="87"/>
  <c r="BE21" i="87" s="1"/>
  <c r="AJ20" i="87"/>
  <c r="O20" i="87"/>
  <c r="Q15" i="87"/>
  <c r="Q14" i="87"/>
  <c r="Q13" i="87"/>
  <c r="B13" i="87"/>
  <c r="BH31" i="86"/>
  <c r="BG31" i="86"/>
  <c r="AZ31" i="86"/>
  <c r="AY31" i="86"/>
  <c r="AX31" i="86"/>
  <c r="AJ31" i="86"/>
  <c r="O31" i="86"/>
  <c r="BF31" i="86" s="1"/>
  <c r="AJ30" i="86"/>
  <c r="O30" i="86"/>
  <c r="BF30" i="86" s="1"/>
  <c r="AJ29" i="86"/>
  <c r="O29" i="86"/>
  <c r="AY29" i="86" s="1"/>
  <c r="AJ28" i="86"/>
  <c r="O28" i="86"/>
  <c r="BC28" i="86" s="1"/>
  <c r="AJ27" i="86"/>
  <c r="O27" i="86"/>
  <c r="AJ26" i="86"/>
  <c r="O26" i="86"/>
  <c r="BH26" i="86" s="1"/>
  <c r="AJ25" i="86"/>
  <c r="O25" i="86"/>
  <c r="BC25" i="86" s="1"/>
  <c r="AJ24" i="86"/>
  <c r="O24" i="86"/>
  <c r="BF24" i="86" s="1"/>
  <c r="AJ23" i="86"/>
  <c r="O23" i="86"/>
  <c r="BF23" i="86" s="1"/>
  <c r="AJ22" i="86"/>
  <c r="O22" i="86"/>
  <c r="BC22" i="86" s="1"/>
  <c r="AJ21" i="86"/>
  <c r="O21" i="86"/>
  <c r="BF21" i="86" s="1"/>
  <c r="AJ20" i="86"/>
  <c r="O20" i="86"/>
  <c r="Q15" i="86"/>
  <c r="Q14" i="86"/>
  <c r="Q13" i="86"/>
  <c r="B13" i="86"/>
  <c r="AJ31" i="85"/>
  <c r="O31" i="85"/>
  <c r="BD31" i="85" s="1"/>
  <c r="AJ30" i="85"/>
  <c r="O30" i="85"/>
  <c r="BF30" i="85" s="1"/>
  <c r="AJ29" i="85"/>
  <c r="O29" i="85"/>
  <c r="BE29" i="85" s="1"/>
  <c r="AJ28" i="85"/>
  <c r="O28" i="85"/>
  <c r="BG28" i="85" s="1"/>
  <c r="AJ27" i="85"/>
  <c r="O27" i="85"/>
  <c r="AS27" i="85" s="1"/>
  <c r="AJ26" i="85"/>
  <c r="O26" i="85"/>
  <c r="AR26" i="85" s="1"/>
  <c r="AJ25" i="85"/>
  <c r="O25" i="85"/>
  <c r="BH25" i="85" s="1"/>
  <c r="AJ24" i="85"/>
  <c r="O24" i="85"/>
  <c r="AO24" i="85" s="1"/>
  <c r="AJ23" i="85"/>
  <c r="O23" i="85"/>
  <c r="BG23" i="85" s="1"/>
  <c r="AJ22" i="85"/>
  <c r="O22" i="85"/>
  <c r="AR22" i="85" s="1"/>
  <c r="AJ21" i="85"/>
  <c r="O21" i="85"/>
  <c r="AQ21" i="85" s="1"/>
  <c r="AJ20" i="85"/>
  <c r="O20" i="85"/>
  <c r="BH20" i="85" s="1"/>
  <c r="Q15" i="85"/>
  <c r="Q14" i="85"/>
  <c r="Q13" i="85"/>
  <c r="B13" i="85"/>
  <c r="AJ31" i="84"/>
  <c r="O31" i="84"/>
  <c r="BA31" i="84" s="1"/>
  <c r="AJ30" i="84"/>
  <c r="O30" i="84"/>
  <c r="AJ29" i="84"/>
  <c r="O29" i="84"/>
  <c r="AT29" i="84" s="1"/>
  <c r="AJ28" i="84"/>
  <c r="O28" i="84"/>
  <c r="BH27" i="84"/>
  <c r="AZ27" i="84"/>
  <c r="AY27" i="84"/>
  <c r="AX27" i="84"/>
  <c r="AW27" i="84"/>
  <c r="AV27" i="84"/>
  <c r="AT27" i="84"/>
  <c r="AS27" i="84"/>
  <c r="AR27" i="84"/>
  <c r="AQ27" i="84"/>
  <c r="AJ27" i="84"/>
  <c r="O27" i="84"/>
  <c r="BG27" i="84" s="1"/>
  <c r="AJ26" i="84"/>
  <c r="O26" i="84"/>
  <c r="AO26" i="84" s="1"/>
  <c r="AJ25" i="84"/>
  <c r="O25" i="84"/>
  <c r="BH25" i="84" s="1"/>
  <c r="AJ24" i="84"/>
  <c r="O24" i="84"/>
  <c r="BG24" i="84" s="1"/>
  <c r="AJ23" i="84"/>
  <c r="O23" i="84"/>
  <c r="AO23" i="84" s="1"/>
  <c r="AJ22" i="84"/>
  <c r="O22" i="84"/>
  <c r="BF22" i="84" s="1"/>
  <c r="AJ21" i="84"/>
  <c r="O21" i="84"/>
  <c r="BG21" i="84" s="1"/>
  <c r="AJ20" i="84"/>
  <c r="O20" i="84"/>
  <c r="BG20" i="84" s="1"/>
  <c r="Q15" i="84"/>
  <c r="Q14" i="84"/>
  <c r="Q13" i="84"/>
  <c r="B13" i="84"/>
  <c r="BH31" i="83"/>
  <c r="BG31" i="83"/>
  <c r="AJ31" i="83"/>
  <c r="O31" i="83"/>
  <c r="BF31" i="83" s="1"/>
  <c r="AJ30" i="83"/>
  <c r="O30" i="83"/>
  <c r="BG30" i="83" s="1"/>
  <c r="AJ29" i="83"/>
  <c r="O29" i="83"/>
  <c r="BH29" i="83" s="1"/>
  <c r="AJ28" i="83"/>
  <c r="O28" i="83"/>
  <c r="BF28" i="83" s="1"/>
  <c r="AJ27" i="83"/>
  <c r="O27" i="83"/>
  <c r="BE27" i="83" s="1"/>
  <c r="AJ26" i="83"/>
  <c r="O26" i="83"/>
  <c r="AZ26" i="83" s="1"/>
  <c r="AJ25" i="83"/>
  <c r="O25" i="83"/>
  <c r="AJ24" i="83"/>
  <c r="O24" i="83"/>
  <c r="BE24" i="83" s="1"/>
  <c r="AJ23" i="83"/>
  <c r="O23" i="83"/>
  <c r="BF23" i="83" s="1"/>
  <c r="AJ22" i="83"/>
  <c r="O22" i="83"/>
  <c r="BE22" i="83" s="1"/>
  <c r="AJ21" i="83"/>
  <c r="O21" i="83"/>
  <c r="BE21" i="83" s="1"/>
  <c r="AJ20" i="83"/>
  <c r="O20" i="83"/>
  <c r="BH20" i="83" s="1"/>
  <c r="Q15" i="83"/>
  <c r="Q14" i="83"/>
  <c r="Q13" i="83"/>
  <c r="B13" i="83"/>
  <c r="AJ31" i="82"/>
  <c r="O31" i="82"/>
  <c r="BA31" i="82" s="1"/>
  <c r="AJ30" i="82"/>
  <c r="O30" i="82"/>
  <c r="AR30" i="82" s="1"/>
  <c r="AJ29" i="82"/>
  <c r="O29" i="82"/>
  <c r="AZ29" i="82" s="1"/>
  <c r="AJ28" i="82"/>
  <c r="O28" i="82"/>
  <c r="BH28" i="82" s="1"/>
  <c r="AJ27" i="82"/>
  <c r="O27" i="82"/>
  <c r="AP27" i="82" s="1"/>
  <c r="AJ26" i="82"/>
  <c r="O26" i="82"/>
  <c r="AY26" i="82" s="1"/>
  <c r="AJ25" i="82"/>
  <c r="O25" i="82"/>
  <c r="BH25" i="82" s="1"/>
  <c r="AJ24" i="82"/>
  <c r="O24" i="82"/>
  <c r="AP24" i="82" s="1"/>
  <c r="AJ23" i="82"/>
  <c r="O23" i="82"/>
  <c r="AY23" i="82" s="1"/>
  <c r="AJ22" i="82"/>
  <c r="O22" i="82"/>
  <c r="BH22" i="82" s="1"/>
  <c r="AJ21" i="82"/>
  <c r="O21" i="82"/>
  <c r="AP21" i="82" s="1"/>
  <c r="AJ20" i="82"/>
  <c r="O20" i="82"/>
  <c r="AY20" i="82" s="1"/>
  <c r="Q15" i="82"/>
  <c r="B13" i="82"/>
  <c r="BC111" i="16"/>
  <c r="BC78" i="16" s="1"/>
  <c r="BA111" i="16"/>
  <c r="BA78" i="16" s="1"/>
  <c r="AJ31" i="81"/>
  <c r="O31" i="81"/>
  <c r="BH31" i="81" s="1"/>
  <c r="AJ30" i="81"/>
  <c r="O30" i="81"/>
  <c r="AR30" i="81" s="1"/>
  <c r="AJ29" i="81"/>
  <c r="O29" i="81"/>
  <c r="AZ29" i="81" s="1"/>
  <c r="AJ28" i="81"/>
  <c r="O28" i="81"/>
  <c r="BH28" i="81" s="1"/>
  <c r="AJ27" i="81"/>
  <c r="O27" i="81"/>
  <c r="AP27" i="81" s="1"/>
  <c r="AJ26" i="81"/>
  <c r="O26" i="81"/>
  <c r="AY26" i="81" s="1"/>
  <c r="AJ25" i="81"/>
  <c r="O25" i="81"/>
  <c r="BH25" i="81" s="1"/>
  <c r="AJ24" i="81"/>
  <c r="O24" i="81"/>
  <c r="AP24" i="81" s="1"/>
  <c r="AJ23" i="81"/>
  <c r="O23" i="81"/>
  <c r="AY23" i="81" s="1"/>
  <c r="AJ22" i="81"/>
  <c r="O22" i="81"/>
  <c r="BH22" i="81" s="1"/>
  <c r="AJ21" i="81"/>
  <c r="O21" i="81"/>
  <c r="AP21" i="81" s="1"/>
  <c r="AJ20" i="81"/>
  <c r="O20" i="81"/>
  <c r="AY20" i="81" s="1"/>
  <c r="Q15" i="81"/>
  <c r="Q14" i="81"/>
  <c r="Q13" i="81"/>
  <c r="B13" i="81"/>
  <c r="W14" i="101" s="1"/>
  <c r="BB108" i="16"/>
  <c r="BB75" i="16" s="1"/>
  <c r="BC108" i="16"/>
  <c r="BC75" i="16" s="1"/>
  <c r="BD108" i="16"/>
  <c r="BD75" i="16" s="1"/>
  <c r="BE108" i="16"/>
  <c r="BE75" i="16" s="1"/>
  <c r="BF108" i="16"/>
  <c r="BF75" i="16" s="1"/>
  <c r="BA108" i="16"/>
  <c r="AG8" i="96" l="1"/>
  <c r="AE8" i="81"/>
  <c r="AF8" i="85"/>
  <c r="AJ8" i="91"/>
  <c r="AE8" i="91"/>
  <c r="AG8" i="100"/>
  <c r="AE8" i="98"/>
  <c r="AJ8" i="93"/>
  <c r="AE8" i="85"/>
  <c r="AG8" i="95"/>
  <c r="AH8" i="83"/>
  <c r="AA33" i="101"/>
  <c r="AX33" i="101"/>
  <c r="AA31" i="101"/>
  <c r="AX31" i="101"/>
  <c r="AA22" i="101"/>
  <c r="AX22" i="101"/>
  <c r="AA27" i="101"/>
  <c r="AX27" i="101"/>
  <c r="AA23" i="101"/>
  <c r="AX23" i="101"/>
  <c r="AA17" i="101"/>
  <c r="AX17" i="101"/>
  <c r="AA29" i="101"/>
  <c r="AX29" i="101"/>
  <c r="AA32" i="101"/>
  <c r="AX32" i="101"/>
  <c r="AA24" i="101"/>
  <c r="AX24" i="101"/>
  <c r="AA26" i="101"/>
  <c r="AX26" i="101"/>
  <c r="AA30" i="101"/>
  <c r="AX30" i="101"/>
  <c r="AA21" i="101"/>
  <c r="AX21" i="101"/>
  <c r="AA16" i="101"/>
  <c r="AX16" i="101"/>
  <c r="AA14" i="101"/>
  <c r="AX14" i="101"/>
  <c r="AA28" i="101"/>
  <c r="AX28" i="101"/>
  <c r="AA20" i="101"/>
  <c r="AX20" i="101"/>
  <c r="AA25" i="101"/>
  <c r="AX25" i="101"/>
  <c r="AA18" i="101"/>
  <c r="AX18" i="101"/>
  <c r="AA19" i="101"/>
  <c r="AX19" i="101"/>
  <c r="AJ8" i="98"/>
  <c r="AI8" i="94"/>
  <c r="AH8" i="95"/>
  <c r="AH8" i="100"/>
  <c r="AH8" i="87"/>
  <c r="AI8" i="100"/>
  <c r="AI8" i="92"/>
  <c r="AI8" i="95"/>
  <c r="AH8" i="81"/>
  <c r="AJ8" i="81"/>
  <c r="AP22" i="88"/>
  <c r="AR22" i="88"/>
  <c r="AS22" i="88"/>
  <c r="AZ22" i="88"/>
  <c r="BA22" i="88"/>
  <c r="BC22" i="88"/>
  <c r="BD22" i="88"/>
  <c r="BE22" i="88"/>
  <c r="BH22" i="88"/>
  <c r="AQ21" i="81"/>
  <c r="AR21" i="81"/>
  <c r="AQ22" i="88"/>
  <c r="BF22" i="88"/>
  <c r="BG22" i="88"/>
  <c r="W15" i="101"/>
  <c r="AI15" i="101"/>
  <c r="AL15" i="101"/>
  <c r="AJ15" i="101"/>
  <c r="AH15" i="101"/>
  <c r="AE15" i="101"/>
  <c r="Z15" i="101"/>
  <c r="AK15" i="101"/>
  <c r="AG15" i="101"/>
  <c r="V15" i="101"/>
  <c r="AO15" i="101"/>
  <c r="Y15" i="101"/>
  <c r="AD15" i="101"/>
  <c r="AE8" i="89"/>
  <c r="AF8" i="89"/>
  <c r="AG8" i="89"/>
  <c r="AI8" i="89"/>
  <c r="CL15" i="82"/>
  <c r="CM15" i="82" s="1"/>
  <c r="AM15" i="101"/>
  <c r="CJ14" i="82"/>
  <c r="CF14" i="82"/>
  <c r="CG14" i="82"/>
  <c r="CE14" i="82"/>
  <c r="CH14" i="82"/>
  <c r="CI14" i="82"/>
  <c r="W60" i="101"/>
  <c r="Z60" i="101"/>
  <c r="AA60" i="101" s="1"/>
  <c r="V60" i="101"/>
  <c r="AB60" i="101"/>
  <c r="AC60" i="101" s="1"/>
  <c r="Y59" i="101"/>
  <c r="W59" i="101"/>
  <c r="Z59" i="101"/>
  <c r="AA59" i="101" s="1"/>
  <c r="V59" i="101"/>
  <c r="AJ8" i="82"/>
  <c r="CL13" i="82"/>
  <c r="CM13" i="82" s="1"/>
  <c r="AH8" i="82"/>
  <c r="AE8" i="82"/>
  <c r="CP13" i="100"/>
  <c r="CQ13" i="100"/>
  <c r="DA13" i="100"/>
  <c r="CP13" i="99"/>
  <c r="CQ13" i="99"/>
  <c r="DA13" i="99"/>
  <c r="CP13" i="98"/>
  <c r="CQ13" i="98"/>
  <c r="DA13" i="98"/>
  <c r="CQ13" i="97"/>
  <c r="CP13" i="97"/>
  <c r="DA13" i="97"/>
  <c r="CQ13" i="96"/>
  <c r="CP13" i="96"/>
  <c r="DA13" i="96"/>
  <c r="CQ13" i="95"/>
  <c r="CP13" i="95"/>
  <c r="DA13" i="95"/>
  <c r="CQ13" i="94"/>
  <c r="CP13" i="94"/>
  <c r="DA13" i="94"/>
  <c r="CP13" i="93"/>
  <c r="CQ13" i="93"/>
  <c r="DA13" i="93"/>
  <c r="CP13" i="92"/>
  <c r="CQ13" i="92"/>
  <c r="DA13" i="92"/>
  <c r="CQ13" i="91"/>
  <c r="CP13" i="91"/>
  <c r="DA13" i="91"/>
  <c r="CQ13" i="90"/>
  <c r="CP13" i="90"/>
  <c r="DA13" i="90"/>
  <c r="CQ13" i="89"/>
  <c r="CP13" i="89"/>
  <c r="DA13" i="89"/>
  <c r="CP13" i="88"/>
  <c r="CQ13" i="88"/>
  <c r="DA13" i="88"/>
  <c r="CQ13" i="87"/>
  <c r="CP13" i="87"/>
  <c r="DA13" i="87"/>
  <c r="CQ13" i="86"/>
  <c r="CP13" i="86"/>
  <c r="DA13" i="86"/>
  <c r="CP13" i="85"/>
  <c r="CQ13" i="85"/>
  <c r="DA13" i="85"/>
  <c r="CQ13" i="84"/>
  <c r="CP13" i="84"/>
  <c r="DA13" i="84"/>
  <c r="CP13" i="83"/>
  <c r="CQ13" i="83"/>
  <c r="DA13" i="83"/>
  <c r="CQ13" i="82"/>
  <c r="CP13" i="82"/>
  <c r="CQ13" i="81"/>
  <c r="CP13" i="81"/>
  <c r="DA13" i="81"/>
  <c r="AY27" i="100"/>
  <c r="AZ27" i="100"/>
  <c r="BD22" i="100"/>
  <c r="BE22" i="100"/>
  <c r="BA27" i="100"/>
  <c r="AQ25" i="100"/>
  <c r="AT30" i="100"/>
  <c r="AZ20" i="100"/>
  <c r="AW25" i="100"/>
  <c r="AV30" i="100"/>
  <c r="AS25" i="100"/>
  <c r="AT25" i="100"/>
  <c r="AX25" i="100"/>
  <c r="AW30" i="100"/>
  <c r="BD25" i="100"/>
  <c r="AX30" i="100"/>
  <c r="BE25" i="100"/>
  <c r="AY30" i="100"/>
  <c r="AR25" i="100"/>
  <c r="AZ30" i="100"/>
  <c r="AS30" i="100"/>
  <c r="AV25" i="100"/>
  <c r="AX22" i="100"/>
  <c r="AQ24" i="100"/>
  <c r="AS28" i="100"/>
  <c r="AY21" i="100"/>
  <c r="AR24" i="100"/>
  <c r="AT28" i="100"/>
  <c r="AO31" i="100"/>
  <c r="AZ21" i="100"/>
  <c r="AS24" i="100"/>
  <c r="AZ26" i="100"/>
  <c r="AV28" i="100"/>
  <c r="AP31" i="100"/>
  <c r="AZ23" i="100"/>
  <c r="AT21" i="100"/>
  <c r="AP28" i="100"/>
  <c r="AQ28" i="100"/>
  <c r="BA26" i="100"/>
  <c r="AW28" i="100"/>
  <c r="AV24" i="100"/>
  <c r="AX28" i="100"/>
  <c r="AR31" i="100"/>
  <c r="AT24" i="100"/>
  <c r="AP22" i="100"/>
  <c r="AY24" i="100"/>
  <c r="AQ27" i="100"/>
  <c r="AV31" i="100"/>
  <c r="AV21" i="100"/>
  <c r="AX21" i="100"/>
  <c r="AQ22" i="100"/>
  <c r="AZ24" i="100"/>
  <c r="AR27" i="100"/>
  <c r="AW31" i="100"/>
  <c r="AR22" i="100"/>
  <c r="AS27" i="100"/>
  <c r="AX31" i="100"/>
  <c r="AR21" i="100"/>
  <c r="AS22" i="100"/>
  <c r="AT27" i="100"/>
  <c r="BA29" i="100"/>
  <c r="AY31" i="100"/>
  <c r="AS21" i="100"/>
  <c r="AW21" i="100"/>
  <c r="AQ31" i="100"/>
  <c r="AO22" i="100"/>
  <c r="BE28" i="100"/>
  <c r="AT22" i="100"/>
  <c r="AV27" i="100"/>
  <c r="AZ31" i="100"/>
  <c r="AQ21" i="100"/>
  <c r="AO28" i="100"/>
  <c r="BD28" i="100"/>
  <c r="AV22" i="100"/>
  <c r="AO25" i="100"/>
  <c r="AW27" i="100"/>
  <c r="BG31" i="100"/>
  <c r="AR28" i="100"/>
  <c r="AW24" i="100"/>
  <c r="AS31" i="100"/>
  <c r="AX24" i="100"/>
  <c r="AT31" i="100"/>
  <c r="AW22" i="100"/>
  <c r="AP25" i="100"/>
  <c r="AX27" i="100"/>
  <c r="BH31" i="100"/>
  <c r="AR25" i="99"/>
  <c r="AW30" i="99"/>
  <c r="AS25" i="99"/>
  <c r="AX30" i="99"/>
  <c r="AQ21" i="99"/>
  <c r="AT25" i="99"/>
  <c r="AY30" i="99"/>
  <c r="AZ30" i="99"/>
  <c r="AW22" i="99"/>
  <c r="AO31" i="99"/>
  <c r="AQ25" i="99"/>
  <c r="AX22" i="99"/>
  <c r="AP31" i="99"/>
  <c r="AY22" i="99"/>
  <c r="AP25" i="99"/>
  <c r="BC22" i="99"/>
  <c r="AO25" i="99"/>
  <c r="AW25" i="99"/>
  <c r="AY25" i="99"/>
  <c r="AY27" i="99"/>
  <c r="BC25" i="99"/>
  <c r="AZ23" i="99"/>
  <c r="AZ27" i="99"/>
  <c r="AX25" i="99"/>
  <c r="AT22" i="99"/>
  <c r="AZ20" i="99"/>
  <c r="AO28" i="99"/>
  <c r="AP28" i="99"/>
  <c r="AS21" i="99"/>
  <c r="AW21" i="99"/>
  <c r="AQ24" i="99"/>
  <c r="AX28" i="99"/>
  <c r="AT31" i="99"/>
  <c r="AX21" i="99"/>
  <c r="AR24" i="99"/>
  <c r="AZ26" i="99"/>
  <c r="AY28" i="99"/>
  <c r="AV31" i="99"/>
  <c r="AY21" i="99"/>
  <c r="AS24" i="99"/>
  <c r="BC28" i="99"/>
  <c r="AW31" i="99"/>
  <c r="AQ31" i="99"/>
  <c r="AS31" i="99"/>
  <c r="AH31" i="99" s="1"/>
  <c r="AZ21" i="99"/>
  <c r="AT24" i="99"/>
  <c r="AZ31" i="99"/>
  <c r="AV21" i="99"/>
  <c r="AW28" i="99"/>
  <c r="AV24" i="99"/>
  <c r="BA31" i="99"/>
  <c r="AS28" i="99"/>
  <c r="AW24" i="99"/>
  <c r="AQ27" i="99"/>
  <c r="AX24" i="99"/>
  <c r="AR27" i="99"/>
  <c r="AR31" i="99"/>
  <c r="AO22" i="99"/>
  <c r="AY24" i="99"/>
  <c r="AS27" i="99"/>
  <c r="AT21" i="99"/>
  <c r="AP22" i="99"/>
  <c r="AZ24" i="99"/>
  <c r="AT27" i="99"/>
  <c r="AQ28" i="99"/>
  <c r="AQ22" i="99"/>
  <c r="AV27" i="99"/>
  <c r="AS30" i="99"/>
  <c r="AT28" i="99"/>
  <c r="AR22" i="99"/>
  <c r="AW27" i="99"/>
  <c r="AT30" i="99"/>
  <c r="AR21" i="99"/>
  <c r="AR28" i="99"/>
  <c r="AS22" i="99"/>
  <c r="AX27" i="99"/>
  <c r="AV30" i="99"/>
  <c r="AY22" i="98"/>
  <c r="AW28" i="98"/>
  <c r="AX28" i="98"/>
  <c r="AY28" i="98"/>
  <c r="AZ28" i="98"/>
  <c r="AS25" i="98"/>
  <c r="AT25" i="98"/>
  <c r="AX25" i="98"/>
  <c r="AY25" i="98"/>
  <c r="AZ25" i="98"/>
  <c r="AV25" i="98"/>
  <c r="AW25" i="98"/>
  <c r="AR21" i="98"/>
  <c r="AV21" i="98"/>
  <c r="AX21" i="98"/>
  <c r="AY21" i="98"/>
  <c r="AS30" i="98"/>
  <c r="AT30" i="98"/>
  <c r="AV30" i="98"/>
  <c r="AW30" i="98"/>
  <c r="AX30" i="98"/>
  <c r="AO28" i="98"/>
  <c r="AQ28" i="98"/>
  <c r="AY30" i="98"/>
  <c r="AZ30" i="98"/>
  <c r="AR28" i="98"/>
  <c r="AS28" i="98"/>
  <c r="AW21" i="98"/>
  <c r="AZ22" i="98"/>
  <c r="AP28" i="98"/>
  <c r="AT28" i="98"/>
  <c r="AS21" i="98"/>
  <c r="AT21" i="98"/>
  <c r="AV28" i="98"/>
  <c r="AQ21" i="98"/>
  <c r="AX24" i="98"/>
  <c r="AR27" i="98"/>
  <c r="AS31" i="98"/>
  <c r="AZ21" i="98"/>
  <c r="AT24" i="98"/>
  <c r="AP31" i="98"/>
  <c r="AO22" i="98"/>
  <c r="AY24" i="98"/>
  <c r="AS27" i="98"/>
  <c r="BC29" i="98"/>
  <c r="AT31" i="98"/>
  <c r="AR24" i="98"/>
  <c r="AS24" i="98"/>
  <c r="AV24" i="98"/>
  <c r="AQ31" i="98"/>
  <c r="AW24" i="98"/>
  <c r="AQ27" i="98"/>
  <c r="AR31" i="98"/>
  <c r="AP22" i="98"/>
  <c r="AZ24" i="98"/>
  <c r="AT27" i="98"/>
  <c r="BD29" i="98"/>
  <c r="AV31" i="98"/>
  <c r="AQ22" i="98"/>
  <c r="AV27" i="98"/>
  <c r="BE29" i="98"/>
  <c r="AW31" i="98"/>
  <c r="AR22" i="98"/>
  <c r="AW27" i="98"/>
  <c r="BF29" i="98"/>
  <c r="AX31" i="98"/>
  <c r="AS22" i="98"/>
  <c r="AX27" i="98"/>
  <c r="BG29" i="98"/>
  <c r="AY31" i="98"/>
  <c r="AT22" i="98"/>
  <c r="AO25" i="98"/>
  <c r="AY27" i="98"/>
  <c r="BH29" i="98"/>
  <c r="AV22" i="98"/>
  <c r="AP25" i="98"/>
  <c r="AZ27" i="98"/>
  <c r="AO31" i="98"/>
  <c r="AW22" i="98"/>
  <c r="AQ25" i="98"/>
  <c r="AQ24" i="98"/>
  <c r="AX22" i="98"/>
  <c r="AR25" i="98"/>
  <c r="AZ27" i="97"/>
  <c r="BE27" i="97"/>
  <c r="AO25" i="97"/>
  <c r="AP25" i="97"/>
  <c r="AG8" i="97"/>
  <c r="AQ25" i="97"/>
  <c r="AX30" i="97"/>
  <c r="AR25" i="97"/>
  <c r="AY30" i="97"/>
  <c r="AS25" i="97"/>
  <c r="AZ30" i="97"/>
  <c r="AV25" i="97"/>
  <c r="AW25" i="97"/>
  <c r="AZ25" i="97"/>
  <c r="AQ22" i="97"/>
  <c r="AS22" i="97"/>
  <c r="AV22" i="97"/>
  <c r="AR22" i="97"/>
  <c r="AW22" i="97"/>
  <c r="AZ22" i="97"/>
  <c r="AY27" i="97"/>
  <c r="AO28" i="97"/>
  <c r="AO31" i="97"/>
  <c r="AQ21" i="97"/>
  <c r="AZ23" i="97"/>
  <c r="AR28" i="97"/>
  <c r="AR31" i="97"/>
  <c r="AS28" i="97"/>
  <c r="AS31" i="97"/>
  <c r="AT31" i="97"/>
  <c r="AT21" i="97"/>
  <c r="AW28" i="97"/>
  <c r="AV31" i="97"/>
  <c r="AZ20" i="97"/>
  <c r="AR21" i="97"/>
  <c r="AV21" i="97"/>
  <c r="AQ24" i="97"/>
  <c r="AZ26" i="97"/>
  <c r="AZ28" i="97"/>
  <c r="AW31" i="97"/>
  <c r="AW21" i="97"/>
  <c r="AR24" i="97"/>
  <c r="AY31" i="97"/>
  <c r="AQ31" i="97"/>
  <c r="AX21" i="97"/>
  <c r="AS24" i="97"/>
  <c r="AZ31" i="97"/>
  <c r="AT24" i="97"/>
  <c r="BD31" i="97"/>
  <c r="AP28" i="97"/>
  <c r="AV28" i="97"/>
  <c r="AQ27" i="97"/>
  <c r="AX24" i="97"/>
  <c r="AS27" i="97"/>
  <c r="AP31" i="97"/>
  <c r="AQ28" i="97"/>
  <c r="BE21" i="97"/>
  <c r="AY24" i="97"/>
  <c r="AT27" i="97"/>
  <c r="AS30" i="97"/>
  <c r="AV24" i="97"/>
  <c r="AW24" i="97"/>
  <c r="AZ24" i="97"/>
  <c r="AV27" i="97"/>
  <c r="AT30" i="97"/>
  <c r="AS21" i="97"/>
  <c r="AY21" i="97"/>
  <c r="AR27" i="97"/>
  <c r="AO22" i="97"/>
  <c r="BE24" i="97"/>
  <c r="AW27" i="97"/>
  <c r="AV30" i="97"/>
  <c r="AZ21" i="97"/>
  <c r="AP22" i="97"/>
  <c r="AX27" i="97"/>
  <c r="AW30" i="97"/>
  <c r="AS30" i="96"/>
  <c r="AY22" i="96"/>
  <c r="AT30" i="96"/>
  <c r="AV22" i="96"/>
  <c r="AX22" i="96"/>
  <c r="AZ22" i="96"/>
  <c r="AT22" i="96"/>
  <c r="AW22" i="96"/>
  <c r="AV30" i="96"/>
  <c r="AW30" i="96"/>
  <c r="AX30" i="96"/>
  <c r="BE30" i="96"/>
  <c r="BG30" i="96"/>
  <c r="AY30" i="96"/>
  <c r="AO22" i="96"/>
  <c r="AZ30" i="96"/>
  <c r="AP22" i="96"/>
  <c r="BD30" i="96"/>
  <c r="AQ22" i="96"/>
  <c r="AT27" i="96"/>
  <c r="AR22" i="96"/>
  <c r="AV27" i="96"/>
  <c r="AS22" i="96"/>
  <c r="AW27" i="96"/>
  <c r="AP25" i="96"/>
  <c r="AQ25" i="96"/>
  <c r="AR25" i="96"/>
  <c r="AO28" i="96"/>
  <c r="AS25" i="96"/>
  <c r="AP28" i="96"/>
  <c r="AZ25" i="96"/>
  <c r="AW28" i="96"/>
  <c r="AO31" i="96"/>
  <c r="AW25" i="96"/>
  <c r="AX28" i="96"/>
  <c r="AP31" i="96"/>
  <c r="AZ23" i="96"/>
  <c r="AY28" i="96"/>
  <c r="AQ31" i="96"/>
  <c r="AQ21" i="96"/>
  <c r="AZ28" i="96"/>
  <c r="AR31" i="96"/>
  <c r="AR21" i="96"/>
  <c r="AZ26" i="96"/>
  <c r="AS31" i="96"/>
  <c r="AT25" i="96"/>
  <c r="AS21" i="96"/>
  <c r="AT31" i="96"/>
  <c r="AQ24" i="96"/>
  <c r="AV31" i="96"/>
  <c r="AV25" i="96"/>
  <c r="AX25" i="96"/>
  <c r="AV28" i="96"/>
  <c r="AV21" i="96"/>
  <c r="AR24" i="96"/>
  <c r="BA29" i="96"/>
  <c r="AW31" i="96"/>
  <c r="AW21" i="96"/>
  <c r="AS24" i="96"/>
  <c r="AQ27" i="96"/>
  <c r="AY31" i="96"/>
  <c r="AO25" i="96"/>
  <c r="AR28" i="96"/>
  <c r="AS28" i="96"/>
  <c r="AT28" i="96"/>
  <c r="AY25" i="96"/>
  <c r="AT24" i="96"/>
  <c r="AR27" i="96"/>
  <c r="AQ28" i="96"/>
  <c r="AZ20" i="96"/>
  <c r="AT21" i="96"/>
  <c r="AV24" i="96"/>
  <c r="AS27" i="96"/>
  <c r="AY27" i="95"/>
  <c r="BE27" i="95"/>
  <c r="AT24" i="95"/>
  <c r="BF27" i="95"/>
  <c r="AZ27" i="95"/>
  <c r="AW24" i="95"/>
  <c r="AY24" i="95"/>
  <c r="BD27" i="95"/>
  <c r="AZ24" i="95"/>
  <c r="BC24" i="95"/>
  <c r="BF24" i="95"/>
  <c r="AV24" i="95"/>
  <c r="BD24" i="95"/>
  <c r="BC27" i="95"/>
  <c r="AX24" i="95"/>
  <c r="BE24" i="95"/>
  <c r="AO22" i="95"/>
  <c r="AQ22" i="95"/>
  <c r="AR22" i="95"/>
  <c r="AS22" i="95"/>
  <c r="AT22" i="95"/>
  <c r="BD29" i="95"/>
  <c r="BE29" i="95"/>
  <c r="AX22" i="95"/>
  <c r="AW25" i="95"/>
  <c r="AX25" i="95"/>
  <c r="BC20" i="95"/>
  <c r="AZ25" i="95"/>
  <c r="AP22" i="95"/>
  <c r="BF29" i="95"/>
  <c r="BG29" i="95"/>
  <c r="BD20" i="95"/>
  <c r="BH29" i="95"/>
  <c r="BE20" i="95"/>
  <c r="AW22" i="95"/>
  <c r="AY22" i="95"/>
  <c r="BF20" i="95"/>
  <c r="AZ22" i="95"/>
  <c r="AY25" i="95"/>
  <c r="BG20" i="95"/>
  <c r="AV22" i="95"/>
  <c r="BH20" i="95"/>
  <c r="AQ24" i="95"/>
  <c r="AQ21" i="95"/>
  <c r="BD26" i="95"/>
  <c r="AO28" i="95"/>
  <c r="AW30" i="95"/>
  <c r="AR21" i="95"/>
  <c r="BE26" i="95"/>
  <c r="AP28" i="95"/>
  <c r="AX30" i="95"/>
  <c r="BF26" i="95"/>
  <c r="AQ28" i="95"/>
  <c r="AY30" i="95"/>
  <c r="AZ30" i="95"/>
  <c r="AS28" i="95"/>
  <c r="BA30" i="95"/>
  <c r="BF30" i="95"/>
  <c r="AZ21" i="95"/>
  <c r="BD23" i="95"/>
  <c r="AO25" i="95"/>
  <c r="AQ27" i="95"/>
  <c r="AX28" i="95"/>
  <c r="BG26" i="95"/>
  <c r="AV28" i="95"/>
  <c r="BC21" i="95"/>
  <c r="BE23" i="95"/>
  <c r="AP25" i="95"/>
  <c r="AR27" i="95"/>
  <c r="AY28" i="95"/>
  <c r="AO31" i="95"/>
  <c r="AZ26" i="95"/>
  <c r="AT21" i="95"/>
  <c r="BD21" i="95"/>
  <c r="BF23" i="95"/>
  <c r="AQ25" i="95"/>
  <c r="AS27" i="95"/>
  <c r="AZ28" i="95"/>
  <c r="AP31" i="95"/>
  <c r="AV21" i="95"/>
  <c r="BE21" i="95"/>
  <c r="BG23" i="95"/>
  <c r="AR25" i="95"/>
  <c r="AT27" i="95"/>
  <c r="AQ31" i="95"/>
  <c r="BC26" i="95"/>
  <c r="AZ23" i="95"/>
  <c r="BC23" i="95"/>
  <c r="BF21" i="95"/>
  <c r="BH23" i="95"/>
  <c r="AS25" i="95"/>
  <c r="AV27" i="95"/>
  <c r="AR31" i="95"/>
  <c r="BH26" i="95"/>
  <c r="AT28" i="95"/>
  <c r="AT25" i="95"/>
  <c r="AW27" i="95"/>
  <c r="AS31" i="95"/>
  <c r="AV30" i="95"/>
  <c r="AS21" i="95"/>
  <c r="AR28" i="95"/>
  <c r="AW21" i="95"/>
  <c r="AX21" i="95"/>
  <c r="AY21" i="95"/>
  <c r="AW28" i="95"/>
  <c r="AZ20" i="95"/>
  <c r="AV25" i="95"/>
  <c r="AX27" i="95"/>
  <c r="AT31" i="95"/>
  <c r="AY22" i="94"/>
  <c r="AZ22" i="94"/>
  <c r="AZ24" i="94"/>
  <c r="AY30" i="94"/>
  <c r="BC26" i="94"/>
  <c r="AP22" i="94"/>
  <c r="BD26" i="94"/>
  <c r="AQ22" i="94"/>
  <c r="BF26" i="94"/>
  <c r="AX24" i="94"/>
  <c r="AR22" i="94"/>
  <c r="AS22" i="94"/>
  <c r="AT22" i="94"/>
  <c r="AW22" i="94"/>
  <c r="AX22" i="94"/>
  <c r="AY24" i="94"/>
  <c r="AV22" i="94"/>
  <c r="AZ26" i="94"/>
  <c r="BE26" i="94"/>
  <c r="AZ30" i="94"/>
  <c r="BG26" i="94"/>
  <c r="AZ20" i="94"/>
  <c r="BD20" i="94"/>
  <c r="BE20" i="94"/>
  <c r="BF20" i="94"/>
  <c r="AS24" i="94"/>
  <c r="BG20" i="94"/>
  <c r="AT24" i="94"/>
  <c r="AR28" i="94"/>
  <c r="AV24" i="94"/>
  <c r="AS28" i="94"/>
  <c r="BC20" i="94"/>
  <c r="AW24" i="94"/>
  <c r="AT28" i="94"/>
  <c r="AO31" i="94"/>
  <c r="AP31" i="94"/>
  <c r="AQ31" i="94"/>
  <c r="AR31" i="94"/>
  <c r="AQ27" i="94"/>
  <c r="AS31" i="94"/>
  <c r="AO25" i="94"/>
  <c r="AR27" i="94"/>
  <c r="AT31" i="94"/>
  <c r="AQ21" i="94"/>
  <c r="AP25" i="94"/>
  <c r="AS27" i="94"/>
  <c r="AV31" i="94"/>
  <c r="AR21" i="94"/>
  <c r="AQ25" i="94"/>
  <c r="AT27" i="94"/>
  <c r="BD29" i="94"/>
  <c r="AW31" i="94"/>
  <c r="AS21" i="94"/>
  <c r="AZ23" i="94"/>
  <c r="AR25" i="94"/>
  <c r="AV27" i="94"/>
  <c r="BE29" i="94"/>
  <c r="AX31" i="94"/>
  <c r="AT21" i="94"/>
  <c r="BC23" i="94"/>
  <c r="AS25" i="94"/>
  <c r="AW27" i="94"/>
  <c r="BF29" i="94"/>
  <c r="AY31" i="94"/>
  <c r="AV21" i="94"/>
  <c r="BD23" i="94"/>
  <c r="AT25" i="94"/>
  <c r="AX27" i="94"/>
  <c r="BG29" i="94"/>
  <c r="AZ31" i="94"/>
  <c r="AW21" i="94"/>
  <c r="BE23" i="94"/>
  <c r="AV25" i="94"/>
  <c r="AY27" i="94"/>
  <c r="AX21" i="94"/>
  <c r="BF23" i="94"/>
  <c r="AW25" i="94"/>
  <c r="AZ27" i="94"/>
  <c r="AY21" i="94"/>
  <c r="BG23" i="94"/>
  <c r="AX25" i="94"/>
  <c r="AZ21" i="94"/>
  <c r="AY25" i="94"/>
  <c r="AS30" i="94"/>
  <c r="AZ25" i="94"/>
  <c r="AT30" i="94"/>
  <c r="AO28" i="94"/>
  <c r="AV30" i="94"/>
  <c r="AQ24" i="94"/>
  <c r="AP28" i="94"/>
  <c r="AW30" i="94"/>
  <c r="AO22" i="94"/>
  <c r="AR24" i="94"/>
  <c r="AQ28" i="94"/>
  <c r="AX30" i="94"/>
  <c r="AG8" i="93"/>
  <c r="AF8" i="93"/>
  <c r="BE23" i="93"/>
  <c r="AZ23" i="93"/>
  <c r="AS25" i="93"/>
  <c r="AT30" i="93"/>
  <c r="AT21" i="93"/>
  <c r="AV25" i="93"/>
  <c r="AX30" i="93"/>
  <c r="AY30" i="93"/>
  <c r="AZ30" i="93"/>
  <c r="AS21" i="93"/>
  <c r="AX25" i="93"/>
  <c r="AX21" i="93"/>
  <c r="AZ25" i="93"/>
  <c r="BC21" i="93"/>
  <c r="BF21" i="93"/>
  <c r="AV30" i="93"/>
  <c r="BH30" i="93"/>
  <c r="AV21" i="93"/>
  <c r="AT25" i="93"/>
  <c r="AW21" i="93"/>
  <c r="BA30" i="93"/>
  <c r="BC27" i="93"/>
  <c r="AW25" i="93"/>
  <c r="AY25" i="93"/>
  <c r="AY21" i="93"/>
  <c r="AZ21" i="93"/>
  <c r="BF27" i="93"/>
  <c r="AO28" i="93"/>
  <c r="AQ24" i="93"/>
  <c r="AP28" i="93"/>
  <c r="AS28" i="93"/>
  <c r="AV24" i="93"/>
  <c r="AO31" i="93"/>
  <c r="AV28" i="93"/>
  <c r="AP31" i="93"/>
  <c r="AO22" i="93"/>
  <c r="AX24" i="93"/>
  <c r="AW28" i="93"/>
  <c r="AQ31" i="93"/>
  <c r="AP22" i="93"/>
  <c r="AY24" i="93"/>
  <c r="AX28" i="93"/>
  <c r="AR31" i="93"/>
  <c r="AQ22" i="93"/>
  <c r="AZ24" i="93"/>
  <c r="AY28" i="93"/>
  <c r="AS31" i="93"/>
  <c r="AR22" i="93"/>
  <c r="BC24" i="93"/>
  <c r="AQ27" i="93"/>
  <c r="AZ28" i="93"/>
  <c r="AT31" i="93"/>
  <c r="AV31" i="93"/>
  <c r="AR24" i="93"/>
  <c r="AS24" i="93"/>
  <c r="AR28" i="93"/>
  <c r="AT28" i="93"/>
  <c r="AR27" i="93"/>
  <c r="AZ20" i="93"/>
  <c r="AT22" i="93"/>
  <c r="AS27" i="93"/>
  <c r="AW31" i="93"/>
  <c r="AQ28" i="93"/>
  <c r="AT24" i="93"/>
  <c r="BE20" i="93"/>
  <c r="AV22" i="93"/>
  <c r="AT27" i="93"/>
  <c r="AZ31" i="93"/>
  <c r="AS22" i="93"/>
  <c r="AW22" i="93"/>
  <c r="AV27" i="93"/>
  <c r="AX22" i="93"/>
  <c r="AO25" i="93"/>
  <c r="AW27" i="93"/>
  <c r="AZ26" i="93"/>
  <c r="AW24" i="93"/>
  <c r="BF24" i="93"/>
  <c r="AY22" i="93"/>
  <c r="AP25" i="93"/>
  <c r="AX27" i="93"/>
  <c r="BE26" i="93"/>
  <c r="AQ21" i="93"/>
  <c r="AQ25" i="93"/>
  <c r="AY27" i="93"/>
  <c r="AR21" i="93"/>
  <c r="AR25" i="93"/>
  <c r="AZ27" i="93"/>
  <c r="AS30" i="93"/>
  <c r="AE8" i="92"/>
  <c r="BH23" i="92"/>
  <c r="BG23" i="92"/>
  <c r="BF23" i="92"/>
  <c r="AO22" i="92"/>
  <c r="AS25" i="92"/>
  <c r="AT25" i="92"/>
  <c r="AP22" i="92"/>
  <c r="AQ22" i="92"/>
  <c r="AV25" i="92"/>
  <c r="AV22" i="92"/>
  <c r="AZ25" i="92"/>
  <c r="AW22" i="92"/>
  <c r="BA25" i="92"/>
  <c r="AX22" i="92"/>
  <c r="AY22" i="92"/>
  <c r="AZ22" i="92"/>
  <c r="BA22" i="92"/>
  <c r="AW25" i="92"/>
  <c r="AS22" i="92"/>
  <c r="AY25" i="92"/>
  <c r="AR22" i="92"/>
  <c r="AX25" i="92"/>
  <c r="AO29" i="92"/>
  <c r="AP29" i="92"/>
  <c r="AW24" i="92"/>
  <c r="AQ29" i="92"/>
  <c r="AX24" i="92"/>
  <c r="AR29" i="92"/>
  <c r="AY24" i="92"/>
  <c r="AW21" i="92"/>
  <c r="BA24" i="92"/>
  <c r="BC29" i="92"/>
  <c r="BD29" i="92"/>
  <c r="BE29" i="92"/>
  <c r="AV21" i="92"/>
  <c r="BC24" i="92"/>
  <c r="BA21" i="92"/>
  <c r="AO23" i="92"/>
  <c r="AZ26" i="92"/>
  <c r="AQ23" i="92"/>
  <c r="BA26" i="92"/>
  <c r="AS29" i="92"/>
  <c r="AO26" i="92"/>
  <c r="BE24" i="92"/>
  <c r="BF21" i="92"/>
  <c r="AS30" i="92"/>
  <c r="AZ24" i="92"/>
  <c r="BD24" i="92"/>
  <c r="AZ21" i="92"/>
  <c r="AQ26" i="92"/>
  <c r="AP23" i="92"/>
  <c r="BG21" i="92"/>
  <c r="AZ23" i="92"/>
  <c r="BD26" i="92"/>
  <c r="AT30" i="92"/>
  <c r="AP26" i="92"/>
  <c r="AR26" i="92"/>
  <c r="AR23" i="92"/>
  <c r="BH21" i="92"/>
  <c r="BA23" i="92"/>
  <c r="AO25" i="92"/>
  <c r="BE26" i="92"/>
  <c r="AR28" i="92"/>
  <c r="AV30" i="92"/>
  <c r="AX21" i="92"/>
  <c r="BF24" i="92"/>
  <c r="BD21" i="92"/>
  <c r="BC23" i="92"/>
  <c r="AP25" i="92"/>
  <c r="BF26" i="92"/>
  <c r="AS28" i="92"/>
  <c r="AW30" i="92"/>
  <c r="AT21" i="92"/>
  <c r="BA29" i="92"/>
  <c r="BG29" i="92"/>
  <c r="BC21" i="92"/>
  <c r="BH24" i="92"/>
  <c r="BD23" i="92"/>
  <c r="AQ25" i="92"/>
  <c r="BG26" i="92"/>
  <c r="AT28" i="92"/>
  <c r="AX30" i="92"/>
  <c r="AY21" i="92"/>
  <c r="AF8" i="91"/>
  <c r="AH8" i="91"/>
  <c r="AW27" i="91"/>
  <c r="AY24" i="91"/>
  <c r="BC24" i="91"/>
  <c r="BF29" i="91"/>
  <c r="BG29" i="91"/>
  <c r="AZ24" i="91"/>
  <c r="BF20" i="91"/>
  <c r="BA24" i="91"/>
  <c r="BG20" i="91"/>
  <c r="AV27" i="91"/>
  <c r="BE29" i="91"/>
  <c r="BE24" i="91"/>
  <c r="BH25" i="91"/>
  <c r="BH29" i="91"/>
  <c r="BD24" i="91"/>
  <c r="BF24" i="91"/>
  <c r="BG24" i="91"/>
  <c r="AO26" i="91"/>
  <c r="AY26" i="91"/>
  <c r="AZ26" i="91"/>
  <c r="AQ28" i="91"/>
  <c r="AQ30" i="91"/>
  <c r="AP26" i="91"/>
  <c r="AO28" i="91"/>
  <c r="BC23" i="91"/>
  <c r="BA26" i="91"/>
  <c r="AR28" i="91"/>
  <c r="AY30" i="91"/>
  <c r="AS28" i="91"/>
  <c r="AZ30" i="91"/>
  <c r="BA30" i="91"/>
  <c r="AX23" i="91"/>
  <c r="BC26" i="91"/>
  <c r="AP22" i="91"/>
  <c r="AO25" i="91"/>
  <c r="BE26" i="91"/>
  <c r="AV28" i="91"/>
  <c r="BC30" i="91"/>
  <c r="AP23" i="91"/>
  <c r="AT28" i="91"/>
  <c r="AQ22" i="91"/>
  <c r="AP25" i="91"/>
  <c r="BF26" i="91"/>
  <c r="AW28" i="91"/>
  <c r="BD30" i="91"/>
  <c r="BE30" i="91"/>
  <c r="BD23" i="91"/>
  <c r="BD26" i="91"/>
  <c r="BG26" i="91"/>
  <c r="AO24" i="91"/>
  <c r="BH30" i="91"/>
  <c r="AO23" i="91"/>
  <c r="AR22" i="91"/>
  <c r="AV22" i="91"/>
  <c r="AW22" i="91"/>
  <c r="AR24" i="91"/>
  <c r="AV25" i="91"/>
  <c r="AO27" i="91"/>
  <c r="BH28" i="91"/>
  <c r="AZ23" i="91"/>
  <c r="BE23" i="91"/>
  <c r="AS22" i="91"/>
  <c r="AX22" i="91"/>
  <c r="AS24" i="91"/>
  <c r="AW25" i="91"/>
  <c r="AP27" i="91"/>
  <c r="BA23" i="91"/>
  <c r="AX28" i="91"/>
  <c r="AZ28" i="91"/>
  <c r="AQ24" i="91"/>
  <c r="AY22" i="91"/>
  <c r="AT24" i="91"/>
  <c r="AX25" i="91"/>
  <c r="AQ27" i="91"/>
  <c r="AP28" i="91"/>
  <c r="AO22" i="91"/>
  <c r="AY28" i="91"/>
  <c r="AS25" i="91"/>
  <c r="BG28" i="91"/>
  <c r="AZ22" i="91"/>
  <c r="AV24" i="91"/>
  <c r="AY25" i="91"/>
  <c r="AR27" i="91"/>
  <c r="BF30" i="91"/>
  <c r="AP24" i="91"/>
  <c r="AT25" i="91"/>
  <c r="BG22" i="91"/>
  <c r="AW24" i="91"/>
  <c r="AZ25" i="91"/>
  <c r="AS27" i="91"/>
  <c r="BC29" i="91"/>
  <c r="AQ25" i="91"/>
  <c r="AR25" i="91"/>
  <c r="AT22" i="91"/>
  <c r="BH22" i="91"/>
  <c r="AX24" i="91"/>
  <c r="BG25" i="91"/>
  <c r="BG30" i="90"/>
  <c r="AR25" i="90"/>
  <c r="AT25" i="90"/>
  <c r="AY25" i="90"/>
  <c r="BE25" i="90"/>
  <c r="BF25" i="90"/>
  <c r="BG25" i="90"/>
  <c r="AV25" i="90"/>
  <c r="AX25" i="90"/>
  <c r="BH25" i="90"/>
  <c r="AS25" i="90"/>
  <c r="AW25" i="90"/>
  <c r="AV22" i="90"/>
  <c r="BG28" i="90"/>
  <c r="AT22" i="90"/>
  <c r="BF28" i="90"/>
  <c r="AW22" i="90"/>
  <c r="BH28" i="90"/>
  <c r="AX22" i="90"/>
  <c r="BF22" i="90"/>
  <c r="BG22" i="90"/>
  <c r="BH30" i="90"/>
  <c r="AZ26" i="90"/>
  <c r="BE22" i="90"/>
  <c r="BH22" i="90"/>
  <c r="AY22" i="90"/>
  <c r="BG26" i="90"/>
  <c r="AO25" i="90"/>
  <c r="BA26" i="90"/>
  <c r="BD26" i="90"/>
  <c r="BE26" i="90"/>
  <c r="AP25" i="90"/>
  <c r="BC26" i="90"/>
  <c r="BF26" i="90"/>
  <c r="AQ25" i="90"/>
  <c r="AZ23" i="90"/>
  <c r="AR28" i="90"/>
  <c r="AQ30" i="90"/>
  <c r="BH31" i="90"/>
  <c r="AQ28" i="90"/>
  <c r="BA23" i="90"/>
  <c r="AS28" i="90"/>
  <c r="AR30" i="90"/>
  <c r="AV23" i="90"/>
  <c r="AO30" i="90"/>
  <c r="AT28" i="90"/>
  <c r="AZ30" i="90"/>
  <c r="AP31" i="90"/>
  <c r="AR31" i="90"/>
  <c r="AS31" i="90"/>
  <c r="BE21" i="90"/>
  <c r="AY23" i="90"/>
  <c r="AO22" i="90"/>
  <c r="AV28" i="90"/>
  <c r="BA30" i="90"/>
  <c r="AQ31" i="90"/>
  <c r="AT31" i="90"/>
  <c r="AX31" i="90"/>
  <c r="AY31" i="90"/>
  <c r="AP30" i="90"/>
  <c r="AP22" i="90"/>
  <c r="AV26" i="90"/>
  <c r="AW28" i="90"/>
  <c r="BC30" i="90"/>
  <c r="AV31" i="90"/>
  <c r="AW23" i="90"/>
  <c r="AQ22" i="90"/>
  <c r="AW26" i="90"/>
  <c r="AX28" i="90"/>
  <c r="BD30" i="90"/>
  <c r="AO31" i="90"/>
  <c r="AO29" i="90"/>
  <c r="BD29" i="90"/>
  <c r="AW31" i="90"/>
  <c r="AP28" i="90"/>
  <c r="AZ31" i="90"/>
  <c r="AR22" i="90"/>
  <c r="AX26" i="90"/>
  <c r="AY28" i="90"/>
  <c r="BE30" i="90"/>
  <c r="AO28" i="90"/>
  <c r="AS22" i="90"/>
  <c r="BE28" i="90"/>
  <c r="BE28" i="89"/>
  <c r="BH26" i="89"/>
  <c r="BG22" i="89"/>
  <c r="BH22" i="89"/>
  <c r="BC28" i="89"/>
  <c r="BD28" i="89"/>
  <c r="BG28" i="89"/>
  <c r="BH28" i="89"/>
  <c r="BF28" i="89"/>
  <c r="AV26" i="89"/>
  <c r="AW26" i="89"/>
  <c r="AQ30" i="89"/>
  <c r="AX26" i="89"/>
  <c r="BC26" i="89"/>
  <c r="AT26" i="89"/>
  <c r="AZ26" i="89"/>
  <c r="BE22" i="89"/>
  <c r="BD26" i="89"/>
  <c r="AY26" i="89"/>
  <c r="BC22" i="89"/>
  <c r="BA26" i="89"/>
  <c r="BD22" i="89"/>
  <c r="BF22" i="89"/>
  <c r="BE26" i="89"/>
  <c r="AX20" i="89"/>
  <c r="AO24" i="89"/>
  <c r="AZ20" i="89"/>
  <c r="BC24" i="89"/>
  <c r="AY30" i="89"/>
  <c r="AY20" i="89"/>
  <c r="BC20" i="89"/>
  <c r="BA30" i="89"/>
  <c r="BC30" i="89"/>
  <c r="AZ30" i="89"/>
  <c r="BD30" i="89"/>
  <c r="AT28" i="89"/>
  <c r="BE30" i="89"/>
  <c r="AW28" i="89"/>
  <c r="BD24" i="89"/>
  <c r="AR28" i="89"/>
  <c r="AV28" i="89"/>
  <c r="AY28" i="89"/>
  <c r="BA24" i="89"/>
  <c r="AS28" i="89"/>
  <c r="BF30" i="89"/>
  <c r="AW22" i="89"/>
  <c r="AS26" i="89"/>
  <c r="AZ28" i="89"/>
  <c r="AR25" i="89"/>
  <c r="AZ21" i="89"/>
  <c r="AS25" i="89"/>
  <c r="BA21" i="89"/>
  <c r="AT25" i="89"/>
  <c r="AO31" i="89"/>
  <c r="BC21" i="89"/>
  <c r="AV25" i="89"/>
  <c r="AP31" i="89"/>
  <c r="AP25" i="89"/>
  <c r="AR31" i="89"/>
  <c r="AQ24" i="89"/>
  <c r="AO22" i="89"/>
  <c r="AS24" i="89"/>
  <c r="BD25" i="89"/>
  <c r="BA29" i="89"/>
  <c r="AV31" i="89"/>
  <c r="AZ25" i="89"/>
  <c r="AP22" i="89"/>
  <c r="AT24" i="89"/>
  <c r="BE25" i="89"/>
  <c r="AW31" i="89"/>
  <c r="AO25" i="89"/>
  <c r="AQ25" i="89"/>
  <c r="AQ31" i="89"/>
  <c r="AY25" i="89"/>
  <c r="AT31" i="89"/>
  <c r="AQ22" i="89"/>
  <c r="AV24" i="89"/>
  <c r="BF25" i="89"/>
  <c r="AX31" i="89"/>
  <c r="AP24" i="89"/>
  <c r="AR22" i="89"/>
  <c r="AW24" i="89"/>
  <c r="BG25" i="89"/>
  <c r="AY31" i="89"/>
  <c r="AS31" i="89"/>
  <c r="BC25" i="89"/>
  <c r="AS22" i="89"/>
  <c r="AX24" i="89"/>
  <c r="BH25" i="89"/>
  <c r="AO28" i="89"/>
  <c r="AZ31" i="89"/>
  <c r="AT22" i="89"/>
  <c r="AY24" i="89"/>
  <c r="AP28" i="89"/>
  <c r="AO30" i="89"/>
  <c r="BC31" i="89"/>
  <c r="AW25" i="89"/>
  <c r="AR24" i="89"/>
  <c r="AV22" i="89"/>
  <c r="AQ28" i="89"/>
  <c r="BD31" i="89"/>
  <c r="AQ27" i="88"/>
  <c r="AY27" i="88"/>
  <c r="AZ27" i="88"/>
  <c r="AP25" i="88"/>
  <c r="AQ25" i="88"/>
  <c r="AO25" i="88"/>
  <c r="AZ25" i="88"/>
  <c r="BD25" i="88"/>
  <c r="AR25" i="88"/>
  <c r="BD20" i="88"/>
  <c r="BE25" i="88"/>
  <c r="AO31" i="88"/>
  <c r="AQ31" i="88"/>
  <c r="AS25" i="88"/>
  <c r="BA25" i="88"/>
  <c r="BE20" i="88"/>
  <c r="BH20" i="88"/>
  <c r="BA23" i="88"/>
  <c r="BD23" i="88"/>
  <c r="AR31" i="88"/>
  <c r="BG20" i="88"/>
  <c r="AZ23" i="88"/>
  <c r="BG26" i="88"/>
  <c r="BE23" i="88"/>
  <c r="BF20" i="88"/>
  <c r="AY23" i="88"/>
  <c r="AP31" i="88"/>
  <c r="BC23" i="88"/>
  <c r="AO27" i="88"/>
  <c r="AH27" i="88" s="1"/>
  <c r="BC25" i="88"/>
  <c r="BC20" i="88"/>
  <c r="BH26" i="88"/>
  <c r="AP21" i="88"/>
  <c r="AT31" i="88"/>
  <c r="AV31" i="88"/>
  <c r="BD28" i="88"/>
  <c r="AV21" i="88"/>
  <c r="AV24" i="88"/>
  <c r="BE28" i="88"/>
  <c r="BD31" i="88"/>
  <c r="AW24" i="88"/>
  <c r="BF28" i="88"/>
  <c r="BE31" i="88"/>
  <c r="AO21" i="88"/>
  <c r="AS31" i="88"/>
  <c r="AH31" i="88" s="1"/>
  <c r="AQ21" i="88"/>
  <c r="AR21" i="88"/>
  <c r="AW31" i="88"/>
  <c r="AS20" i="88"/>
  <c r="AW21" i="88"/>
  <c r="AQ26" i="88"/>
  <c r="AT20" i="88"/>
  <c r="AX21" i="88"/>
  <c r="AQ23" i="88"/>
  <c r="AX24" i="88"/>
  <c r="AR26" i="88"/>
  <c r="BG28" i="88"/>
  <c r="BF31" i="88"/>
  <c r="AV20" i="88"/>
  <c r="AY21" i="88"/>
  <c r="AR23" i="88"/>
  <c r="AY24" i="88"/>
  <c r="AS26" i="88"/>
  <c r="BH28" i="88"/>
  <c r="BG31" i="88"/>
  <c r="AZ21" i="88"/>
  <c r="BH31" i="88"/>
  <c r="AO24" i="88"/>
  <c r="AH24" i="88" s="1"/>
  <c r="AT26" i="88"/>
  <c r="AX20" i="88"/>
  <c r="BA21" i="88"/>
  <c r="AT23" i="88"/>
  <c r="BA24" i="88"/>
  <c r="AV26" i="88"/>
  <c r="AP24" i="88"/>
  <c r="AQ24" i="88"/>
  <c r="AR24" i="88"/>
  <c r="AS21" i="88"/>
  <c r="AT21" i="88"/>
  <c r="BC31" i="88"/>
  <c r="AZ24" i="88"/>
  <c r="AY20" i="88"/>
  <c r="AV23" i="88"/>
  <c r="BC24" i="88"/>
  <c r="AW26" i="88"/>
  <c r="AS24" i="88"/>
  <c r="AX31" i="88"/>
  <c r="AW20" i="88"/>
  <c r="AS23" i="88"/>
  <c r="AZ20" i="88"/>
  <c r="AW23" i="88"/>
  <c r="BE26" i="88"/>
  <c r="AZ24" i="87"/>
  <c r="BA24" i="87"/>
  <c r="BG24" i="87"/>
  <c r="BH24" i="87"/>
  <c r="BD30" i="87"/>
  <c r="BC30" i="87"/>
  <c r="AO23" i="87"/>
  <c r="BC23" i="87"/>
  <c r="AS27" i="87"/>
  <c r="AT27" i="87"/>
  <c r="AP23" i="87"/>
  <c r="AW23" i="87"/>
  <c r="AX23" i="87"/>
  <c r="BE23" i="87"/>
  <c r="BF21" i="87"/>
  <c r="BG21" i="87"/>
  <c r="BA23" i="87"/>
  <c r="BD23" i="87"/>
  <c r="BA27" i="87"/>
  <c r="BH21" i="87"/>
  <c r="AW24" i="87"/>
  <c r="AY23" i="87"/>
  <c r="AZ23" i="87"/>
  <c r="BF23" i="87"/>
  <c r="BG27" i="87"/>
  <c r="BH27" i="87"/>
  <c r="AX24" i="87"/>
  <c r="BG23" i="87"/>
  <c r="AY24" i="87"/>
  <c r="AO26" i="87"/>
  <c r="BG31" i="87"/>
  <c r="BH31" i="87"/>
  <c r="AP22" i="87"/>
  <c r="AS26" i="87"/>
  <c r="AS22" i="87"/>
  <c r="AP25" i="87"/>
  <c r="AW26" i="87"/>
  <c r="AZ29" i="87"/>
  <c r="AT22" i="87"/>
  <c r="AQ25" i="87"/>
  <c r="AX26" i="87"/>
  <c r="BA29" i="87"/>
  <c r="AT26" i="87"/>
  <c r="AP26" i="87"/>
  <c r="AQ26" i="87"/>
  <c r="AX22" i="87"/>
  <c r="AO24" i="87"/>
  <c r="AV26" i="87"/>
  <c r="BC29" i="87"/>
  <c r="AG8" i="87"/>
  <c r="AO22" i="87"/>
  <c r="AR22" i="87"/>
  <c r="AR25" i="87"/>
  <c r="BA26" i="87"/>
  <c r="AO21" i="87"/>
  <c r="AZ25" i="87"/>
  <c r="AZ22" i="87"/>
  <c r="AQ24" i="87"/>
  <c r="AV22" i="87"/>
  <c r="AW22" i="87"/>
  <c r="AY25" i="87"/>
  <c r="AY22" i="87"/>
  <c r="AX21" i="87"/>
  <c r="BG22" i="87"/>
  <c r="AW30" i="87"/>
  <c r="BA21" i="87"/>
  <c r="BH22" i="87"/>
  <c r="AR24" i="87"/>
  <c r="BE25" i="87"/>
  <c r="AO27" i="87"/>
  <c r="AX30" i="87"/>
  <c r="AO25" i="87"/>
  <c r="AY26" i="87"/>
  <c r="AX25" i="87"/>
  <c r="AP24" i="87"/>
  <c r="BC21" i="87"/>
  <c r="AS24" i="87"/>
  <c r="BF25" i="87"/>
  <c r="AP27" i="87"/>
  <c r="AY30" i="87"/>
  <c r="AV30" i="87"/>
  <c r="BD21" i="87"/>
  <c r="AT24" i="87"/>
  <c r="BG25" i="87"/>
  <c r="AQ27" i="87"/>
  <c r="AZ30" i="87"/>
  <c r="AR26" i="87"/>
  <c r="AQ22" i="87"/>
  <c r="AZ26" i="87"/>
  <c r="BC26" i="87"/>
  <c r="BA25" i="87"/>
  <c r="AY21" i="87"/>
  <c r="BF22" i="87"/>
  <c r="BC25" i="87"/>
  <c r="AZ21" i="87"/>
  <c r="BD25" i="87"/>
  <c r="AJ8" i="86"/>
  <c r="BA29" i="86"/>
  <c r="BC29" i="86"/>
  <c r="BH22" i="86"/>
  <c r="AZ29" i="86"/>
  <c r="BF25" i="86"/>
  <c r="BD29" i="86"/>
  <c r="BG25" i="86"/>
  <c r="BH25" i="86"/>
  <c r="BE29" i="86"/>
  <c r="BF29" i="86"/>
  <c r="AW30" i="86"/>
  <c r="AT30" i="86"/>
  <c r="AP28" i="86"/>
  <c r="AQ25" i="86"/>
  <c r="AX30" i="86"/>
  <c r="AR25" i="86"/>
  <c r="AY30" i="86"/>
  <c r="AZ30" i="86"/>
  <c r="AT23" i="86"/>
  <c r="AV30" i="86"/>
  <c r="AP25" i="86"/>
  <c r="AV25" i="86"/>
  <c r="BC30" i="86"/>
  <c r="BG21" i="86"/>
  <c r="AW25" i="86"/>
  <c r="BD30" i="86"/>
  <c r="BG30" i="86"/>
  <c r="AY25" i="86"/>
  <c r="AV29" i="86"/>
  <c r="BH30" i="86"/>
  <c r="AS30" i="86"/>
  <c r="AZ25" i="86"/>
  <c r="AW29" i="86"/>
  <c r="AS25" i="86"/>
  <c r="AT25" i="86"/>
  <c r="AO29" i="86"/>
  <c r="BF22" i="86"/>
  <c r="BD25" i="86"/>
  <c r="AX29" i="86"/>
  <c r="AO25" i="86"/>
  <c r="BA30" i="86"/>
  <c r="AX25" i="86"/>
  <c r="BG22" i="86"/>
  <c r="BE25" i="86"/>
  <c r="AO28" i="86"/>
  <c r="AV23" i="86"/>
  <c r="AS28" i="86"/>
  <c r="AW23" i="86"/>
  <c r="AO22" i="86"/>
  <c r="AY23" i="86"/>
  <c r="AT28" i="86"/>
  <c r="AW28" i="86"/>
  <c r="AX28" i="86"/>
  <c r="AS22" i="86"/>
  <c r="AV22" i="86"/>
  <c r="BH23" i="86"/>
  <c r="BD28" i="86"/>
  <c r="AP31" i="86"/>
  <c r="AZ23" i="86"/>
  <c r="AV28" i="86"/>
  <c r="BD23" i="86"/>
  <c r="AW22" i="86"/>
  <c r="BE28" i="86"/>
  <c r="AQ31" i="86"/>
  <c r="AR28" i="86"/>
  <c r="AX23" i="86"/>
  <c r="AP22" i="86"/>
  <c r="AT22" i="86"/>
  <c r="AX22" i="86"/>
  <c r="BD26" i="86"/>
  <c r="BF28" i="86"/>
  <c r="AR31" i="86"/>
  <c r="AQ28" i="86"/>
  <c r="BC23" i="86"/>
  <c r="BE23" i="86"/>
  <c r="AY22" i="86"/>
  <c r="BE26" i="86"/>
  <c r="BG28" i="86"/>
  <c r="AO30" i="86"/>
  <c r="AS31" i="86"/>
  <c r="BA23" i="86"/>
  <c r="AZ22" i="86"/>
  <c r="BF26" i="86"/>
  <c r="BH28" i="86"/>
  <c r="AP30" i="86"/>
  <c r="AT31" i="86"/>
  <c r="AQ22" i="86"/>
  <c r="AR22" i="86"/>
  <c r="AO31" i="86"/>
  <c r="BD22" i="86"/>
  <c r="BG26" i="86"/>
  <c r="AQ30" i="86"/>
  <c r="AV31" i="86"/>
  <c r="AY28" i="86"/>
  <c r="AZ28" i="86"/>
  <c r="BE22" i="86"/>
  <c r="AR30" i="86"/>
  <c r="AW31" i="86"/>
  <c r="BG26" i="85"/>
  <c r="BC22" i="85"/>
  <c r="BD22" i="85"/>
  <c r="AR21" i="85"/>
  <c r="AV21" i="85"/>
  <c r="AW21" i="85"/>
  <c r="AS21" i="85"/>
  <c r="AS26" i="85"/>
  <c r="AT26" i="85"/>
  <c r="AT21" i="85"/>
  <c r="AV26" i="85"/>
  <c r="BE21" i="85"/>
  <c r="AZ26" i="85"/>
  <c r="AO21" i="85"/>
  <c r="AQ30" i="85"/>
  <c r="BC21" i="85"/>
  <c r="BA26" i="85"/>
  <c r="AP21" i="85"/>
  <c r="BH28" i="85"/>
  <c r="AY21" i="85"/>
  <c r="AP30" i="85"/>
  <c r="BA21" i="85"/>
  <c r="AX26" i="85"/>
  <c r="AY26" i="85"/>
  <c r="BC26" i="85"/>
  <c r="AZ21" i="85"/>
  <c r="AW26" i="85"/>
  <c r="BG30" i="85"/>
  <c r="BD21" i="85"/>
  <c r="BD26" i="85"/>
  <c r="AX21" i="85"/>
  <c r="BE26" i="85"/>
  <c r="BF26" i="85"/>
  <c r="BA24" i="85"/>
  <c r="AI8" i="85"/>
  <c r="AS29" i="85"/>
  <c r="AX24" i="85"/>
  <c r="AT29" i="85"/>
  <c r="AY24" i="85"/>
  <c r="AZ24" i="85"/>
  <c r="AX27" i="85"/>
  <c r="AS22" i="85"/>
  <c r="AP31" i="85"/>
  <c r="BD24" i="85"/>
  <c r="AW27" i="85"/>
  <c r="AT22" i="85"/>
  <c r="AZ27" i="85"/>
  <c r="BF24" i="85"/>
  <c r="AT20" i="85"/>
  <c r="AV22" i="85"/>
  <c r="BA27" i="85"/>
  <c r="BC24" i="85"/>
  <c r="BE24" i="85"/>
  <c r="AT27" i="85"/>
  <c r="AV27" i="85"/>
  <c r="AO31" i="85"/>
  <c r="AY27" i="85"/>
  <c r="AW22" i="85"/>
  <c r="BC27" i="85"/>
  <c r="BA22" i="85"/>
  <c r="BD27" i="85"/>
  <c r="AR23" i="85"/>
  <c r="BH29" i="85"/>
  <c r="AV31" i="85"/>
  <c r="AW20" i="85"/>
  <c r="AS23" i="85"/>
  <c r="AS25" i="85"/>
  <c r="AO28" i="85"/>
  <c r="AW31" i="85"/>
  <c r="BG29" i="85"/>
  <c r="AY20" i="85"/>
  <c r="BD23" i="85"/>
  <c r="AV25" i="85"/>
  <c r="AQ28" i="85"/>
  <c r="AY31" i="85"/>
  <c r="AT31" i="85"/>
  <c r="AV20" i="85"/>
  <c r="AR25" i="85"/>
  <c r="AX31" i="85"/>
  <c r="AZ20" i="85"/>
  <c r="BE23" i="85"/>
  <c r="AW25" i="85"/>
  <c r="AR28" i="85"/>
  <c r="AO30" i="85"/>
  <c r="AZ31" i="85"/>
  <c r="BA25" i="85"/>
  <c r="BC25" i="85"/>
  <c r="BD20" i="85"/>
  <c r="BH23" i="85"/>
  <c r="BD25" i="85"/>
  <c r="AV28" i="85"/>
  <c r="AZ30" i="85"/>
  <c r="BG31" i="85"/>
  <c r="AP28" i="85"/>
  <c r="BA20" i="85"/>
  <c r="BE20" i="85"/>
  <c r="BE25" i="85"/>
  <c r="AO27" i="85"/>
  <c r="BA28" i="85"/>
  <c r="BA30" i="85"/>
  <c r="BH31" i="85"/>
  <c r="BF29" i="85"/>
  <c r="AQ25" i="85"/>
  <c r="AT25" i="85"/>
  <c r="BE31" i="85"/>
  <c r="BF31" i="85"/>
  <c r="BF20" i="85"/>
  <c r="AO22" i="85"/>
  <c r="BF25" i="85"/>
  <c r="AP27" i="85"/>
  <c r="BC28" i="85"/>
  <c r="BC30" i="85"/>
  <c r="AQ31" i="85"/>
  <c r="AR31" i="85"/>
  <c r="BF23" i="85"/>
  <c r="BC20" i="85"/>
  <c r="AT28" i="85"/>
  <c r="BG20" i="85"/>
  <c r="AP22" i="85"/>
  <c r="BG25" i="85"/>
  <c r="AQ27" i="85"/>
  <c r="BD28" i="85"/>
  <c r="BD30" i="85"/>
  <c r="AV29" i="85"/>
  <c r="AS31" i="85"/>
  <c r="AT23" i="85"/>
  <c r="AQ22" i="85"/>
  <c r="AR27" i="85"/>
  <c r="BE28" i="85"/>
  <c r="BE30" i="85"/>
  <c r="AX20" i="85"/>
  <c r="AS28" i="85"/>
  <c r="AP23" i="84"/>
  <c r="AQ23" i="84"/>
  <c r="AS24" i="84"/>
  <c r="AV24" i="84"/>
  <c r="AW24" i="84"/>
  <c r="AX24" i="84"/>
  <c r="BH24" i="84"/>
  <c r="AY24" i="84"/>
  <c r="AO25" i="84"/>
  <c r="AZ24" i="84"/>
  <c r="AR24" i="84"/>
  <c r="AT24" i="84"/>
  <c r="BH21" i="84"/>
  <c r="AT23" i="84"/>
  <c r="AS23" i="84"/>
  <c r="BC20" i="84"/>
  <c r="AV23" i="84"/>
  <c r="AY23" i="84"/>
  <c r="AX23" i="84"/>
  <c r="AT21" i="84"/>
  <c r="BC23" i="84"/>
  <c r="BD20" i="84"/>
  <c r="AV21" i="84"/>
  <c r="BD23" i="84"/>
  <c r="AR23" i="84"/>
  <c r="BA23" i="84"/>
  <c r="AW21" i="84"/>
  <c r="BE23" i="84"/>
  <c r="BG29" i="84"/>
  <c r="AS21" i="84"/>
  <c r="AX21" i="84"/>
  <c r="BF23" i="84"/>
  <c r="AY21" i="84"/>
  <c r="BH23" i="84"/>
  <c r="AO27" i="84"/>
  <c r="AW23" i="84"/>
  <c r="AZ23" i="84"/>
  <c r="BH29" i="84"/>
  <c r="AZ21" i="84"/>
  <c r="AP27" i="84"/>
  <c r="AP26" i="84"/>
  <c r="AQ26" i="84"/>
  <c r="AZ20" i="84"/>
  <c r="AT26" i="84"/>
  <c r="AP31" i="84"/>
  <c r="BA20" i="84"/>
  <c r="AV26" i="84"/>
  <c r="AQ31" i="84"/>
  <c r="AW26" i="84"/>
  <c r="AR31" i="84"/>
  <c r="AS31" i="84"/>
  <c r="AO22" i="84"/>
  <c r="AP22" i="84"/>
  <c r="AX26" i="84"/>
  <c r="BF20" i="84"/>
  <c r="BA22" i="84"/>
  <c r="BC31" i="84"/>
  <c r="AG8" i="84"/>
  <c r="AR26" i="84"/>
  <c r="AY26" i="84"/>
  <c r="AZ22" i="84"/>
  <c r="AY25" i="84"/>
  <c r="BC22" i="84"/>
  <c r="BD26" i="84"/>
  <c r="BC25" i="84"/>
  <c r="BF26" i="84"/>
  <c r="BD31" i="84"/>
  <c r="AS26" i="84"/>
  <c r="AV31" i="84"/>
  <c r="BA26" i="84"/>
  <c r="AZ25" i="84"/>
  <c r="BE22" i="84"/>
  <c r="BD25" i="84"/>
  <c r="AO21" i="84"/>
  <c r="BG22" i="84"/>
  <c r="BE25" i="84"/>
  <c r="BH26" i="84"/>
  <c r="AQ29" i="84"/>
  <c r="BE31" i="84"/>
  <c r="AO31" i="84"/>
  <c r="AY22" i="84"/>
  <c r="BC26" i="84"/>
  <c r="BD22" i="84"/>
  <c r="AY31" i="84"/>
  <c r="AP21" i="84"/>
  <c r="BH22" i="84"/>
  <c r="AO24" i="84"/>
  <c r="BF25" i="84"/>
  <c r="AR29" i="84"/>
  <c r="BF31" i="84"/>
  <c r="BE20" i="84"/>
  <c r="AZ26" i="84"/>
  <c r="AW31" i="84"/>
  <c r="BA25" i="84"/>
  <c r="AQ21" i="84"/>
  <c r="AP24" i="84"/>
  <c r="BG25" i="84"/>
  <c r="AS29" i="84"/>
  <c r="BG31" i="84"/>
  <c r="AT31" i="84"/>
  <c r="AP25" i="84"/>
  <c r="AX31" i="84"/>
  <c r="BE26" i="84"/>
  <c r="AR21" i="84"/>
  <c r="AQ24" i="84"/>
  <c r="BH31" i="84"/>
  <c r="BH28" i="83"/>
  <c r="BE20" i="83"/>
  <c r="BG28" i="83"/>
  <c r="AO30" i="83"/>
  <c r="AH30" i="83" s="1"/>
  <c r="AP30" i="83"/>
  <c r="AS30" i="83"/>
  <c r="AQ30" i="83"/>
  <c r="AR30" i="83"/>
  <c r="AT30" i="83"/>
  <c r="AV30" i="83"/>
  <c r="AS27" i="83"/>
  <c r="AQ27" i="83"/>
  <c r="BF22" i="83"/>
  <c r="AX27" i="83"/>
  <c r="AW30" i="83"/>
  <c r="AY27" i="83"/>
  <c r="AW27" i="83"/>
  <c r="AZ30" i="83"/>
  <c r="AX30" i="83"/>
  <c r="BH22" i="83"/>
  <c r="BH30" i="83"/>
  <c r="AR27" i="83"/>
  <c r="AT27" i="83"/>
  <c r="AV27" i="83"/>
  <c r="BH27" i="83"/>
  <c r="AY30" i="83"/>
  <c r="BG22" i="83"/>
  <c r="AZ27" i="83"/>
  <c r="BF27" i="83"/>
  <c r="BG27" i="83"/>
  <c r="AP21" i="83"/>
  <c r="AT26" i="83"/>
  <c r="AQ29" i="83"/>
  <c r="AR21" i="83"/>
  <c r="AV26" i="83"/>
  <c r="AR29" i="83"/>
  <c r="AO21" i="83"/>
  <c r="AQ21" i="83"/>
  <c r="AW26" i="83"/>
  <c r="AP24" i="83"/>
  <c r="AY26" i="83"/>
  <c r="AV29" i="83"/>
  <c r="AP29" i="83"/>
  <c r="AW29" i="83"/>
  <c r="AX21" i="83"/>
  <c r="AT29" i="83"/>
  <c r="AQ24" i="83"/>
  <c r="BC26" i="83"/>
  <c r="AQ20" i="83"/>
  <c r="BD26" i="83"/>
  <c r="AS26" i="83"/>
  <c r="AP20" i="83"/>
  <c r="AW21" i="83"/>
  <c r="AR24" i="83"/>
  <c r="AZ29" i="83"/>
  <c r="AV20" i="83"/>
  <c r="AP31" i="83"/>
  <c r="AO29" i="83"/>
  <c r="AO20" i="83"/>
  <c r="BA26" i="83"/>
  <c r="AS24" i="83"/>
  <c r="AY29" i="83"/>
  <c r="AT20" i="83"/>
  <c r="AZ21" i="83"/>
  <c r="AT24" i="83"/>
  <c r="AW28" i="83"/>
  <c r="AO31" i="83"/>
  <c r="BF21" i="83"/>
  <c r="AV24" i="83"/>
  <c r="BE26" i="83"/>
  <c r="AX28" i="83"/>
  <c r="BA29" i="83"/>
  <c r="AW20" i="83"/>
  <c r="BG21" i="83"/>
  <c r="AW24" i="83"/>
  <c r="BF26" i="83"/>
  <c r="AY28" i="83"/>
  <c r="BC29" i="83"/>
  <c r="AQ31" i="83"/>
  <c r="AX26" i="83"/>
  <c r="AO24" i="83"/>
  <c r="AV21" i="83"/>
  <c r="AY20" i="83"/>
  <c r="AS21" i="83"/>
  <c r="AT21" i="83"/>
  <c r="AR20" i="83"/>
  <c r="AS20" i="83"/>
  <c r="AZ28" i="83"/>
  <c r="AZ31" i="83"/>
  <c r="AY24" i="83"/>
  <c r="BE29" i="83"/>
  <c r="BF29" i="83"/>
  <c r="BD28" i="83"/>
  <c r="BD22" i="83"/>
  <c r="BG24" i="83"/>
  <c r="AO27" i="83"/>
  <c r="BE28" i="83"/>
  <c r="BE31" i="83"/>
  <c r="AS29" i="83"/>
  <c r="AX29" i="83"/>
  <c r="AY21" i="83"/>
  <c r="AX20" i="83"/>
  <c r="BH21" i="83"/>
  <c r="AX24" i="83"/>
  <c r="BD29" i="83"/>
  <c r="BA28" i="83"/>
  <c r="BA31" i="83"/>
  <c r="AZ20" i="83"/>
  <c r="AZ24" i="83"/>
  <c r="BC28" i="83"/>
  <c r="BC31" i="83"/>
  <c r="BA20" i="83"/>
  <c r="BF24" i="83"/>
  <c r="BD31" i="83"/>
  <c r="BC20" i="83"/>
  <c r="BD20" i="83"/>
  <c r="BH24" i="83"/>
  <c r="AP27" i="83"/>
  <c r="AT27" i="82"/>
  <c r="AO22" i="82"/>
  <c r="AW27" i="82"/>
  <c r="AV27" i="82"/>
  <c r="AY27" i="82"/>
  <c r="AZ27" i="82"/>
  <c r="AT24" i="82"/>
  <c r="AV24" i="82"/>
  <c r="BD27" i="82"/>
  <c r="BE27" i="82"/>
  <c r="AW24" i="82"/>
  <c r="AX27" i="82"/>
  <c r="AX24" i="82"/>
  <c r="AY24" i="82"/>
  <c r="AZ24" i="82"/>
  <c r="AZ20" i="82"/>
  <c r="BD24" i="82"/>
  <c r="BE24" i="82"/>
  <c r="AS27" i="82"/>
  <c r="AR22" i="82"/>
  <c r="AO25" i="82"/>
  <c r="AS22" i="82"/>
  <c r="AP25" i="82"/>
  <c r="AT22" i="82"/>
  <c r="AV22" i="82"/>
  <c r="AR25" i="82"/>
  <c r="AQ25" i="82"/>
  <c r="AW22" i="82"/>
  <c r="AT30" i="82"/>
  <c r="AW30" i="82"/>
  <c r="AQ22" i="82"/>
  <c r="BA26" i="82"/>
  <c r="AP22" i="82"/>
  <c r="AX22" i="82"/>
  <c r="AV30" i="82"/>
  <c r="AQ27" i="82"/>
  <c r="AR24" i="82"/>
  <c r="AR27" i="82"/>
  <c r="AI8" i="82"/>
  <c r="AS30" i="82"/>
  <c r="AQ21" i="82"/>
  <c r="AS25" i="82"/>
  <c r="AY30" i="82"/>
  <c r="AT25" i="82"/>
  <c r="AV25" i="82"/>
  <c r="AW25" i="82"/>
  <c r="AX25" i="82"/>
  <c r="AP28" i="82"/>
  <c r="AP31" i="82"/>
  <c r="AR21" i="82"/>
  <c r="AZ23" i="82"/>
  <c r="AV21" i="82"/>
  <c r="AO31" i="82"/>
  <c r="AW21" i="82"/>
  <c r="AX21" i="82"/>
  <c r="AQ24" i="82"/>
  <c r="AQ28" i="82"/>
  <c r="AQ31" i="82"/>
  <c r="AS21" i="82"/>
  <c r="AT21" i="82"/>
  <c r="AO28" i="82"/>
  <c r="AY21" i="82"/>
  <c r="AR28" i="82"/>
  <c r="AR31" i="82"/>
  <c r="AZ21" i="82"/>
  <c r="AS24" i="82"/>
  <c r="AZ26" i="82"/>
  <c r="AS28" i="82"/>
  <c r="AS31" i="82"/>
  <c r="BD21" i="82"/>
  <c r="AT28" i="82"/>
  <c r="AT31" i="82"/>
  <c r="AX30" i="82"/>
  <c r="BE21" i="82"/>
  <c r="AV28" i="82"/>
  <c r="AX31" i="82"/>
  <c r="AW28" i="82"/>
  <c r="AY31" i="82"/>
  <c r="AX28" i="82"/>
  <c r="AZ31" i="82"/>
  <c r="BA25" i="81"/>
  <c r="AZ27" i="81"/>
  <c r="AP28" i="81"/>
  <c r="AZ26" i="81"/>
  <c r="AR25" i="81"/>
  <c r="AV25" i="81"/>
  <c r="AS25" i="81"/>
  <c r="AW25" i="81"/>
  <c r="AO25" i="81"/>
  <c r="AQ25" i="81"/>
  <c r="AT25" i="81"/>
  <c r="AX25" i="81"/>
  <c r="AP25" i="81"/>
  <c r="AH25" i="81" s="1"/>
  <c r="AY25" i="81"/>
  <c r="AO28" i="81"/>
  <c r="AS22" i="81"/>
  <c r="AT22" i="81"/>
  <c r="AV22" i="81"/>
  <c r="AS30" i="81"/>
  <c r="AW22" i="81"/>
  <c r="AT30" i="81"/>
  <c r="AX22" i="81"/>
  <c r="AV30" i="81"/>
  <c r="AY22" i="81"/>
  <c r="AW30" i="81"/>
  <c r="AX30" i="81"/>
  <c r="AZ30" i="81"/>
  <c r="AZ23" i="81"/>
  <c r="AV27" i="81"/>
  <c r="AY30" i="81"/>
  <c r="AW27" i="81"/>
  <c r="AX27" i="81"/>
  <c r="AY27" i="81"/>
  <c r="AZ20" i="81"/>
  <c r="AR28" i="81"/>
  <c r="AQ28" i="81"/>
  <c r="AQ24" i="81"/>
  <c r="AT28" i="81"/>
  <c r="AQ31" i="81"/>
  <c r="AS21" i="81"/>
  <c r="AT21" i="81"/>
  <c r="AO31" i="81"/>
  <c r="AS28" i="81"/>
  <c r="AR24" i="81"/>
  <c r="AV21" i="81"/>
  <c r="AP31" i="81"/>
  <c r="AW21" i="81"/>
  <c r="AX21" i="81"/>
  <c r="AV28" i="81"/>
  <c r="AR31" i="81"/>
  <c r="AY21" i="81"/>
  <c r="AS24" i="81"/>
  <c r="AW28" i="81"/>
  <c r="AS31" i="81"/>
  <c r="AV31" i="81"/>
  <c r="AX24" i="81"/>
  <c r="AX31" i="81"/>
  <c r="AO22" i="81"/>
  <c r="AY24" i="81"/>
  <c r="AQ27" i="81"/>
  <c r="AY31" i="81"/>
  <c r="AT24" i="81"/>
  <c r="AX28" i="81"/>
  <c r="AV24" i="81"/>
  <c r="AW31" i="81"/>
  <c r="AP22" i="81"/>
  <c r="AZ24" i="81"/>
  <c r="AR27" i="81"/>
  <c r="BA29" i="81"/>
  <c r="AZ31" i="81"/>
  <c r="AT31" i="81"/>
  <c r="AY28" i="81"/>
  <c r="AW24" i="81"/>
  <c r="AQ22" i="81"/>
  <c r="BA24" i="81"/>
  <c r="AS27" i="81"/>
  <c r="AZ21" i="81"/>
  <c r="AR22" i="81"/>
  <c r="AT27" i="81"/>
  <c r="AG8" i="82"/>
  <c r="AH8" i="93"/>
  <c r="AJ8" i="100"/>
  <c r="AF8" i="100"/>
  <c r="AF8" i="98"/>
  <c r="AF8" i="92"/>
  <c r="AF8" i="94"/>
  <c r="AJ8" i="96"/>
  <c r="AJ8" i="92"/>
  <c r="AG8" i="98"/>
  <c r="AE8" i="88"/>
  <c r="AF8" i="99"/>
  <c r="AE8" i="97"/>
  <c r="AH8" i="88"/>
  <c r="AG8" i="85"/>
  <c r="AI8" i="97"/>
  <c r="AE8" i="95"/>
  <c r="AE8" i="100"/>
  <c r="AI8" i="81"/>
  <c r="AF8" i="95"/>
  <c r="AG8" i="83"/>
  <c r="AJ8" i="84"/>
  <c r="AJ8" i="88"/>
  <c r="AF8" i="86"/>
  <c r="AE8" i="93"/>
  <c r="AF8" i="88"/>
  <c r="AI8" i="91"/>
  <c r="AF8" i="87"/>
  <c r="AJ8" i="95"/>
  <c r="AH8" i="89"/>
  <c r="AJ8" i="87"/>
  <c r="AF8" i="81"/>
  <c r="AJ8" i="97"/>
  <c r="AG8" i="86"/>
  <c r="AJ8" i="85"/>
  <c r="AH8" i="85"/>
  <c r="AH8" i="99"/>
  <c r="AG8" i="91"/>
  <c r="AF8" i="82"/>
  <c r="AI8" i="99"/>
  <c r="AG8" i="81"/>
  <c r="AJ8" i="89"/>
  <c r="AH8" i="92"/>
  <c r="AE8" i="94"/>
  <c r="AF8" i="83"/>
  <c r="AI8" i="84"/>
  <c r="AJ8" i="99"/>
  <c r="AG8" i="90"/>
  <c r="AF8" i="90"/>
  <c r="AH8" i="90"/>
  <c r="AG8" i="99"/>
  <c r="AH8" i="97"/>
  <c r="AI8" i="90"/>
  <c r="AI8" i="87"/>
  <c r="AI8" i="98"/>
  <c r="AJ8" i="83"/>
  <c r="AF8" i="84"/>
  <c r="AH25" i="86"/>
  <c r="BD29" i="100"/>
  <c r="BH23" i="100"/>
  <c r="BC30" i="100"/>
  <c r="BC24" i="100"/>
  <c r="BE30" i="100"/>
  <c r="BD21" i="100"/>
  <c r="BE21" i="100"/>
  <c r="BE24" i="100"/>
  <c r="BE27" i="100"/>
  <c r="BF21" i="100"/>
  <c r="BF27" i="100"/>
  <c r="BH30" i="100"/>
  <c r="AP20" i="100"/>
  <c r="BH21" i="100"/>
  <c r="AY22" i="100"/>
  <c r="AP23" i="100"/>
  <c r="BH24" i="100"/>
  <c r="AY25" i="100"/>
  <c r="AP26" i="100"/>
  <c r="BH27" i="100"/>
  <c r="AY28" i="100"/>
  <c r="AQ29" i="100"/>
  <c r="BC31" i="100"/>
  <c r="BC29" i="100"/>
  <c r="BE29" i="100"/>
  <c r="BF29" i="100"/>
  <c r="BD30" i="100"/>
  <c r="BD24" i="100"/>
  <c r="BF30" i="100"/>
  <c r="BG30" i="100"/>
  <c r="BF24" i="100"/>
  <c r="AO20" i="100"/>
  <c r="BG21" i="100"/>
  <c r="AO23" i="100"/>
  <c r="BG24" i="100"/>
  <c r="AO26" i="100"/>
  <c r="BG27" i="100"/>
  <c r="AP29" i="100"/>
  <c r="BA31" i="100"/>
  <c r="AQ20" i="100"/>
  <c r="AZ22" i="100"/>
  <c r="AQ23" i="100"/>
  <c r="AZ25" i="100"/>
  <c r="AQ26" i="100"/>
  <c r="AZ28" i="100"/>
  <c r="AR29" i="100"/>
  <c r="BD31" i="100"/>
  <c r="BC20" i="100"/>
  <c r="BC23" i="100"/>
  <c r="BC26" i="100"/>
  <c r="BD26" i="100"/>
  <c r="BA24" i="100"/>
  <c r="BC21" i="100"/>
  <c r="AO29" i="100"/>
  <c r="AR20" i="100"/>
  <c r="BA22" i="100"/>
  <c r="AR23" i="100"/>
  <c r="BA25" i="100"/>
  <c r="AR26" i="100"/>
  <c r="BA28" i="100"/>
  <c r="AS29" i="100"/>
  <c r="BE31" i="100"/>
  <c r="AS20" i="100"/>
  <c r="BC22" i="100"/>
  <c r="AS23" i="100"/>
  <c r="BC25" i="100"/>
  <c r="AS26" i="100"/>
  <c r="BC28" i="100"/>
  <c r="AT29" i="100"/>
  <c r="BA20" i="100"/>
  <c r="BE26" i="100"/>
  <c r="BF26" i="100"/>
  <c r="BG26" i="100"/>
  <c r="BH20" i="100"/>
  <c r="BH26" i="100"/>
  <c r="BA30" i="100"/>
  <c r="BC27" i="100"/>
  <c r="AO30" i="100"/>
  <c r="AW20" i="100"/>
  <c r="BF22" i="100"/>
  <c r="AW23" i="100"/>
  <c r="BF25" i="100"/>
  <c r="AW26" i="100"/>
  <c r="BF28" i="100"/>
  <c r="AX29" i="100"/>
  <c r="AP30" i="100"/>
  <c r="BA23" i="100"/>
  <c r="BD20" i="100"/>
  <c r="BE20" i="100"/>
  <c r="BF20" i="100"/>
  <c r="BG23" i="100"/>
  <c r="BH29" i="100"/>
  <c r="AT23" i="100"/>
  <c r="AT26" i="100"/>
  <c r="AV29" i="100"/>
  <c r="AV26" i="100"/>
  <c r="AW29" i="100"/>
  <c r="AX20" i="100"/>
  <c r="AO21" i="100"/>
  <c r="BG22" i="100"/>
  <c r="AX23" i="100"/>
  <c r="AO24" i="100"/>
  <c r="BG25" i="100"/>
  <c r="AX26" i="100"/>
  <c r="AO27" i="100"/>
  <c r="BG28" i="100"/>
  <c r="AY29" i="100"/>
  <c r="AQ30" i="100"/>
  <c r="BD23" i="100"/>
  <c r="BE23" i="100"/>
  <c r="BF23" i="100"/>
  <c r="BG29" i="100"/>
  <c r="BG20" i="100"/>
  <c r="BA21" i="100"/>
  <c r="BD27" i="100"/>
  <c r="AT20" i="100"/>
  <c r="AV20" i="100"/>
  <c r="AV23" i="100"/>
  <c r="BA23" i="99"/>
  <c r="BC26" i="99"/>
  <c r="BE20" i="99"/>
  <c r="BE23" i="99"/>
  <c r="BH20" i="99"/>
  <c r="BA21" i="99"/>
  <c r="BA24" i="99"/>
  <c r="BC21" i="99"/>
  <c r="BC24" i="99"/>
  <c r="BC27" i="99"/>
  <c r="BE30" i="99"/>
  <c r="BD21" i="99"/>
  <c r="BD24" i="99"/>
  <c r="BD27" i="99"/>
  <c r="BF30" i="99"/>
  <c r="AX31" i="99"/>
  <c r="BE21" i="99"/>
  <c r="AV22" i="99"/>
  <c r="BE24" i="99"/>
  <c r="AV25" i="99"/>
  <c r="BE27" i="99"/>
  <c r="AV28" i="99"/>
  <c r="BG30" i="99"/>
  <c r="AY31" i="99"/>
  <c r="BA20" i="99"/>
  <c r="BC20" i="99"/>
  <c r="BD29" i="99"/>
  <c r="BE29" i="99"/>
  <c r="BG26" i="99"/>
  <c r="BH24" i="99"/>
  <c r="AP26" i="99"/>
  <c r="BH27" i="99"/>
  <c r="AQ20" i="99"/>
  <c r="AZ22" i="99"/>
  <c r="AQ23" i="99"/>
  <c r="AZ25" i="99"/>
  <c r="AQ26" i="99"/>
  <c r="AZ28" i="99"/>
  <c r="AR29" i="99"/>
  <c r="BD31" i="99"/>
  <c r="BC23" i="99"/>
  <c r="BC30" i="99"/>
  <c r="BD30" i="99"/>
  <c r="BG21" i="99"/>
  <c r="AO23" i="99"/>
  <c r="AO26" i="99"/>
  <c r="AP20" i="99"/>
  <c r="BH21" i="99"/>
  <c r="AP23" i="99"/>
  <c r="AQ29" i="99"/>
  <c r="BC31" i="99"/>
  <c r="AR20" i="99"/>
  <c r="BA22" i="99"/>
  <c r="AR23" i="99"/>
  <c r="BA25" i="99"/>
  <c r="AR26" i="99"/>
  <c r="BA28" i="99"/>
  <c r="AS29" i="99"/>
  <c r="BE31" i="99"/>
  <c r="BD26" i="99"/>
  <c r="BE26" i="99"/>
  <c r="BF26" i="99"/>
  <c r="BH23" i="99"/>
  <c r="BF27" i="99"/>
  <c r="BF31" i="99"/>
  <c r="AT20" i="99"/>
  <c r="BD22" i="99"/>
  <c r="AT23" i="99"/>
  <c r="BD25" i="99"/>
  <c r="AT26" i="99"/>
  <c r="BD28" i="99"/>
  <c r="AV29" i="99"/>
  <c r="BG31" i="99"/>
  <c r="BC29" i="99"/>
  <c r="BD20" i="99"/>
  <c r="BD23" i="99"/>
  <c r="BF29" i="99"/>
  <c r="BG20" i="99"/>
  <c r="BG23" i="99"/>
  <c r="BH29" i="99"/>
  <c r="BA30" i="99"/>
  <c r="BA27" i="99"/>
  <c r="BH30" i="99"/>
  <c r="AO20" i="99"/>
  <c r="AP29" i="99"/>
  <c r="AS20" i="99"/>
  <c r="AS23" i="99"/>
  <c r="AV20" i="99"/>
  <c r="BE22" i="99"/>
  <c r="AV23" i="99"/>
  <c r="BE25" i="99"/>
  <c r="AV26" i="99"/>
  <c r="BE28" i="99"/>
  <c r="AW29" i="99"/>
  <c r="AO30" i="99"/>
  <c r="AS26" i="99"/>
  <c r="AT29" i="99"/>
  <c r="AW20" i="99"/>
  <c r="BF22" i="99"/>
  <c r="AW23" i="99"/>
  <c r="BF25" i="99"/>
  <c r="AW26" i="99"/>
  <c r="BF28" i="99"/>
  <c r="AX29" i="99"/>
  <c r="AP30" i="99"/>
  <c r="BA29" i="99"/>
  <c r="BF20" i="99"/>
  <c r="BG29" i="99"/>
  <c r="BH26" i="99"/>
  <c r="BF21" i="99"/>
  <c r="BF24" i="99"/>
  <c r="AO29" i="99"/>
  <c r="AX20" i="99"/>
  <c r="AO21" i="99"/>
  <c r="BG22" i="99"/>
  <c r="AX23" i="99"/>
  <c r="AO24" i="99"/>
  <c r="BG25" i="99"/>
  <c r="AX26" i="99"/>
  <c r="AO27" i="99"/>
  <c r="BG28" i="99"/>
  <c r="AY29" i="99"/>
  <c r="AQ30" i="99"/>
  <c r="BA26" i="99"/>
  <c r="BF23" i="99"/>
  <c r="BG24" i="99"/>
  <c r="BG27" i="99"/>
  <c r="BA26" i="98"/>
  <c r="AZ20" i="98"/>
  <c r="AZ23" i="98"/>
  <c r="AZ26" i="98"/>
  <c r="BA29" i="98"/>
  <c r="BH20" i="98"/>
  <c r="BH23" i="98"/>
  <c r="BH26" i="98"/>
  <c r="BA30" i="98"/>
  <c r="BC26" i="98"/>
  <c r="BD23" i="98"/>
  <c r="BC30" i="98"/>
  <c r="BG26" i="98"/>
  <c r="BA21" i="98"/>
  <c r="BA24" i="98"/>
  <c r="BA27" i="98"/>
  <c r="BD30" i="98"/>
  <c r="BC23" i="98"/>
  <c r="BC21" i="98"/>
  <c r="BC24" i="98"/>
  <c r="BC27" i="98"/>
  <c r="BE30" i="98"/>
  <c r="BD21" i="98"/>
  <c r="BD24" i="98"/>
  <c r="BD27" i="98"/>
  <c r="BF30" i="98"/>
  <c r="BE21" i="98"/>
  <c r="BE24" i="98"/>
  <c r="BE27" i="98"/>
  <c r="BG30" i="98"/>
  <c r="BA23" i="98"/>
  <c r="BF21" i="98"/>
  <c r="BF24" i="98"/>
  <c r="BF27" i="98"/>
  <c r="AO29" i="98"/>
  <c r="BH30" i="98"/>
  <c r="AZ31" i="98"/>
  <c r="AO20" i="98"/>
  <c r="BG21" i="98"/>
  <c r="AO23" i="98"/>
  <c r="BG24" i="98"/>
  <c r="AO26" i="98"/>
  <c r="BG27" i="98"/>
  <c r="AP29" i="98"/>
  <c r="BA31" i="98"/>
  <c r="BD20" i="98"/>
  <c r="AP20" i="98"/>
  <c r="BH21" i="98"/>
  <c r="AP23" i="98"/>
  <c r="BH24" i="98"/>
  <c r="AP26" i="98"/>
  <c r="BH27" i="98"/>
  <c r="AQ29" i="98"/>
  <c r="BC31" i="98"/>
  <c r="BA20" i="98"/>
  <c r="AQ20" i="98"/>
  <c r="AQ23" i="98"/>
  <c r="AQ26" i="98"/>
  <c r="AR29" i="98"/>
  <c r="BD31" i="98"/>
  <c r="BC20" i="98"/>
  <c r="BF23" i="98"/>
  <c r="AR20" i="98"/>
  <c r="BA22" i="98"/>
  <c r="AR23" i="98"/>
  <c r="BA25" i="98"/>
  <c r="AR26" i="98"/>
  <c r="BA28" i="98"/>
  <c r="AS29" i="98"/>
  <c r="BE31" i="98"/>
  <c r="BG20" i="98"/>
  <c r="AS20" i="98"/>
  <c r="BC22" i="98"/>
  <c r="AS23" i="98"/>
  <c r="BC25" i="98"/>
  <c r="AS26" i="98"/>
  <c r="BC28" i="98"/>
  <c r="AT29" i="98"/>
  <c r="BF31" i="98"/>
  <c r="BE20" i="98"/>
  <c r="AT20" i="98"/>
  <c r="BD22" i="98"/>
  <c r="AT23" i="98"/>
  <c r="BD25" i="98"/>
  <c r="AT26" i="98"/>
  <c r="BD28" i="98"/>
  <c r="AV29" i="98"/>
  <c r="BG31" i="98"/>
  <c r="BF20" i="98"/>
  <c r="AV20" i="98"/>
  <c r="BE22" i="98"/>
  <c r="AV23" i="98"/>
  <c r="BE25" i="98"/>
  <c r="AV26" i="98"/>
  <c r="BE28" i="98"/>
  <c r="AW29" i="98"/>
  <c r="AO30" i="98"/>
  <c r="BE23" i="98"/>
  <c r="AW20" i="98"/>
  <c r="BF22" i="98"/>
  <c r="AW23" i="98"/>
  <c r="BF25" i="98"/>
  <c r="AW26" i="98"/>
  <c r="BF28" i="98"/>
  <c r="AX29" i="98"/>
  <c r="AP30" i="98"/>
  <c r="BE26" i="98"/>
  <c r="AX20" i="98"/>
  <c r="AO21" i="98"/>
  <c r="BG22" i="98"/>
  <c r="AX23" i="98"/>
  <c r="AO24" i="98"/>
  <c r="BG25" i="98"/>
  <c r="AX26" i="98"/>
  <c r="AO27" i="98"/>
  <c r="BG28" i="98"/>
  <c r="AY29" i="98"/>
  <c r="AQ30" i="98"/>
  <c r="BD26" i="98"/>
  <c r="BF26" i="98"/>
  <c r="BG23" i="98"/>
  <c r="BC23" i="97"/>
  <c r="BD29" i="97"/>
  <c r="BD20" i="97"/>
  <c r="BH20" i="97"/>
  <c r="BH23" i="97"/>
  <c r="BC30" i="97"/>
  <c r="BA21" i="97"/>
  <c r="BA24" i="97"/>
  <c r="BA27" i="97"/>
  <c r="BD30" i="97"/>
  <c r="BC21" i="97"/>
  <c r="BC24" i="97"/>
  <c r="BC27" i="97"/>
  <c r="BE30" i="97"/>
  <c r="BD21" i="97"/>
  <c r="AT22" i="97"/>
  <c r="BD24" i="97"/>
  <c r="AT25" i="97"/>
  <c r="BD27" i="97"/>
  <c r="AT28" i="97"/>
  <c r="BF30" i="97"/>
  <c r="AX31" i="97"/>
  <c r="BF23" i="97"/>
  <c r="BG20" i="97"/>
  <c r="BH29" i="97"/>
  <c r="BF21" i="97"/>
  <c r="BF24" i="97"/>
  <c r="BF27" i="97"/>
  <c r="AO29" i="97"/>
  <c r="BH30" i="97"/>
  <c r="AO20" i="97"/>
  <c r="BG21" i="97"/>
  <c r="AX22" i="97"/>
  <c r="AO23" i="97"/>
  <c r="BG24" i="97"/>
  <c r="AX25" i="97"/>
  <c r="AO26" i="97"/>
  <c r="BG27" i="97"/>
  <c r="AX28" i="97"/>
  <c r="AP29" i="97"/>
  <c r="BA31" i="97"/>
  <c r="AP20" i="97"/>
  <c r="BH21" i="97"/>
  <c r="AY22" i="97"/>
  <c r="AP23" i="97"/>
  <c r="BH24" i="97"/>
  <c r="AY25" i="97"/>
  <c r="AP26" i="97"/>
  <c r="BH27" i="97"/>
  <c r="AY28" i="97"/>
  <c r="AQ29" i="97"/>
  <c r="BC31" i="97"/>
  <c r="BC20" i="97"/>
  <c r="BC26" i="97"/>
  <c r="BE23" i="97"/>
  <c r="BG30" i="97"/>
  <c r="AQ23" i="97"/>
  <c r="BA25" i="97"/>
  <c r="BE31" i="97"/>
  <c r="AS20" i="97"/>
  <c r="BC22" i="97"/>
  <c r="AS23" i="97"/>
  <c r="BC25" i="97"/>
  <c r="AS26" i="97"/>
  <c r="BC28" i="97"/>
  <c r="AT29" i="97"/>
  <c r="BF31" i="97"/>
  <c r="BA29" i="97"/>
  <c r="BA20" i="97"/>
  <c r="BA23" i="97"/>
  <c r="BC29" i="97"/>
  <c r="BE29" i="97"/>
  <c r="BF20" i="97"/>
  <c r="BG29" i="97"/>
  <c r="AQ20" i="97"/>
  <c r="AQ26" i="97"/>
  <c r="AR20" i="97"/>
  <c r="BA22" i="97"/>
  <c r="AR23" i="97"/>
  <c r="AR26" i="97"/>
  <c r="BA28" i="97"/>
  <c r="AS29" i="97"/>
  <c r="AT20" i="97"/>
  <c r="BD22" i="97"/>
  <c r="AT23" i="97"/>
  <c r="BD25" i="97"/>
  <c r="AT26" i="97"/>
  <c r="BD28" i="97"/>
  <c r="AV29" i="97"/>
  <c r="BG31" i="97"/>
  <c r="BD26" i="97"/>
  <c r="BA30" i="97"/>
  <c r="AV20" i="97"/>
  <c r="BE22" i="97"/>
  <c r="AV23" i="97"/>
  <c r="BE25" i="97"/>
  <c r="AV26" i="97"/>
  <c r="BE28" i="97"/>
  <c r="AW29" i="97"/>
  <c r="AO30" i="97"/>
  <c r="BD23" i="97"/>
  <c r="BE26" i="97"/>
  <c r="BG23" i="97"/>
  <c r="AW20" i="97"/>
  <c r="BF22" i="97"/>
  <c r="AW23" i="97"/>
  <c r="BF25" i="97"/>
  <c r="AW26" i="97"/>
  <c r="BF28" i="97"/>
  <c r="AX29" i="97"/>
  <c r="AP30" i="97"/>
  <c r="BA26" i="97"/>
  <c r="BF29" i="97"/>
  <c r="BF26" i="97"/>
  <c r="AX20" i="97"/>
  <c r="AO21" i="97"/>
  <c r="BG22" i="97"/>
  <c r="AX23" i="97"/>
  <c r="AO24" i="97"/>
  <c r="BG25" i="97"/>
  <c r="AX26" i="97"/>
  <c r="AO27" i="97"/>
  <c r="BG28" i="97"/>
  <c r="AY29" i="97"/>
  <c r="AQ30" i="97"/>
  <c r="BE20" i="97"/>
  <c r="BG26" i="97"/>
  <c r="BH26" i="97"/>
  <c r="AR29" i="97"/>
  <c r="BC26" i="96"/>
  <c r="BF20" i="96"/>
  <c r="BF23" i="96"/>
  <c r="AW24" i="96"/>
  <c r="BF26" i="96"/>
  <c r="BG29" i="96"/>
  <c r="BG20" i="96"/>
  <c r="BG23" i="96"/>
  <c r="AX24" i="96"/>
  <c r="BG26" i="96"/>
  <c r="AX27" i="96"/>
  <c r="BH29" i="96"/>
  <c r="BH20" i="96"/>
  <c r="AY21" i="96"/>
  <c r="BH23" i="96"/>
  <c r="AY24" i="96"/>
  <c r="BH26" i="96"/>
  <c r="AY27" i="96"/>
  <c r="BA30" i="96"/>
  <c r="BD20" i="96"/>
  <c r="BD26" i="96"/>
  <c r="AX21" i="96"/>
  <c r="AZ21" i="96"/>
  <c r="AZ24" i="96"/>
  <c r="AZ27" i="96"/>
  <c r="BC30" i="96"/>
  <c r="BA20" i="96"/>
  <c r="BE29" i="96"/>
  <c r="BC21" i="96"/>
  <c r="BC24" i="96"/>
  <c r="BC27" i="96"/>
  <c r="BD21" i="96"/>
  <c r="BD24" i="96"/>
  <c r="BD27" i="96"/>
  <c r="BF30" i="96"/>
  <c r="AX31" i="96"/>
  <c r="BC29" i="96"/>
  <c r="BD29" i="96"/>
  <c r="BF21" i="96"/>
  <c r="BF24" i="96"/>
  <c r="BF27" i="96"/>
  <c r="AO29" i="96"/>
  <c r="BH30" i="96"/>
  <c r="AZ31" i="96"/>
  <c r="BA23" i="96"/>
  <c r="AO20" i="96"/>
  <c r="BG21" i="96"/>
  <c r="AO23" i="96"/>
  <c r="BG24" i="96"/>
  <c r="AO26" i="96"/>
  <c r="BG27" i="96"/>
  <c r="AP29" i="96"/>
  <c r="BA31" i="96"/>
  <c r="BE20" i="96"/>
  <c r="BF29" i="96"/>
  <c r="AP20" i="96"/>
  <c r="BH21" i="96"/>
  <c r="AP23" i="96"/>
  <c r="BH24" i="96"/>
  <c r="AP26" i="96"/>
  <c r="BH27" i="96"/>
  <c r="AQ29" i="96"/>
  <c r="BC31" i="96"/>
  <c r="BE27" i="96"/>
  <c r="AQ20" i="96"/>
  <c r="AQ23" i="96"/>
  <c r="AQ26" i="96"/>
  <c r="AR29" i="96"/>
  <c r="BD31" i="96"/>
  <c r="AR20" i="96"/>
  <c r="BA22" i="96"/>
  <c r="AR23" i="96"/>
  <c r="BA25" i="96"/>
  <c r="AR26" i="96"/>
  <c r="BA28" i="96"/>
  <c r="AS29" i="96"/>
  <c r="BE31" i="96"/>
  <c r="BE26" i="96"/>
  <c r="BA21" i="96"/>
  <c r="BE21" i="96"/>
  <c r="AS20" i="96"/>
  <c r="BC22" i="96"/>
  <c r="AS23" i="96"/>
  <c r="BC25" i="96"/>
  <c r="AS26" i="96"/>
  <c r="BC28" i="96"/>
  <c r="AT29" i="96"/>
  <c r="BF31" i="96"/>
  <c r="BA26" i="96"/>
  <c r="BC20" i="96"/>
  <c r="AT20" i="96"/>
  <c r="BD22" i="96"/>
  <c r="AT23" i="96"/>
  <c r="BD25" i="96"/>
  <c r="AT26" i="96"/>
  <c r="BD28" i="96"/>
  <c r="AV29" i="96"/>
  <c r="BG31" i="96"/>
  <c r="BA27" i="96"/>
  <c r="AV20" i="96"/>
  <c r="BE22" i="96"/>
  <c r="AV23" i="96"/>
  <c r="BE25" i="96"/>
  <c r="AV26" i="96"/>
  <c r="BE28" i="96"/>
  <c r="AW29" i="96"/>
  <c r="AO30" i="96"/>
  <c r="BA24" i="96"/>
  <c r="AW20" i="96"/>
  <c r="BF22" i="96"/>
  <c r="AW23" i="96"/>
  <c r="BF25" i="96"/>
  <c r="AW26" i="96"/>
  <c r="BF28" i="96"/>
  <c r="AX29" i="96"/>
  <c r="AP30" i="96"/>
  <c r="BC23" i="96"/>
  <c r="AX20" i="96"/>
  <c r="AO21" i="96"/>
  <c r="BG22" i="96"/>
  <c r="AX23" i="96"/>
  <c r="AO24" i="96"/>
  <c r="BG25" i="96"/>
  <c r="AX26" i="96"/>
  <c r="AO27" i="96"/>
  <c r="BG28" i="96"/>
  <c r="AY29" i="96"/>
  <c r="AQ30" i="96"/>
  <c r="BD23" i="96"/>
  <c r="BE23" i="96"/>
  <c r="BE24" i="96"/>
  <c r="BA29" i="95"/>
  <c r="AS30" i="95"/>
  <c r="BA20" i="95"/>
  <c r="BA23" i="95"/>
  <c r="BA26" i="95"/>
  <c r="BC29" i="95"/>
  <c r="AT30" i="95"/>
  <c r="BA21" i="95"/>
  <c r="BA24" i="95"/>
  <c r="BA27" i="95"/>
  <c r="BD30" i="95"/>
  <c r="BC30" i="95"/>
  <c r="BE30" i="95"/>
  <c r="AO20" i="95"/>
  <c r="BG21" i="95"/>
  <c r="AO23" i="95"/>
  <c r="BG24" i="95"/>
  <c r="AO26" i="95"/>
  <c r="BG27" i="95"/>
  <c r="AP29" i="95"/>
  <c r="BA31" i="95"/>
  <c r="AI31" i="95" s="1"/>
  <c r="AP20" i="95"/>
  <c r="BH21" i="95"/>
  <c r="AP23" i="95"/>
  <c r="BH24" i="95"/>
  <c r="AP26" i="95"/>
  <c r="BH27" i="95"/>
  <c r="AQ29" i="95"/>
  <c r="BC31" i="95"/>
  <c r="BG30" i="95"/>
  <c r="AQ20" i="95"/>
  <c r="AQ23" i="95"/>
  <c r="AQ26" i="95"/>
  <c r="AR29" i="95"/>
  <c r="BD31" i="95"/>
  <c r="AR20" i="95"/>
  <c r="BA22" i="95"/>
  <c r="AR23" i="95"/>
  <c r="BA25" i="95"/>
  <c r="AR26" i="95"/>
  <c r="BA28" i="95"/>
  <c r="AS29" i="95"/>
  <c r="BE31" i="95"/>
  <c r="AS20" i="95"/>
  <c r="BC22" i="95"/>
  <c r="AS23" i="95"/>
  <c r="BC25" i="95"/>
  <c r="AS26" i="95"/>
  <c r="BC28" i="95"/>
  <c r="AT29" i="95"/>
  <c r="BF31" i="95"/>
  <c r="BH30" i="95"/>
  <c r="AT20" i="95"/>
  <c r="BD22" i="95"/>
  <c r="AT23" i="95"/>
  <c r="BD25" i="95"/>
  <c r="AT26" i="95"/>
  <c r="BD28" i="95"/>
  <c r="AV29" i="95"/>
  <c r="BG31" i="95"/>
  <c r="AO29" i="95"/>
  <c r="AV20" i="95"/>
  <c r="BE22" i="95"/>
  <c r="AV23" i="95"/>
  <c r="BE25" i="95"/>
  <c r="AV26" i="95"/>
  <c r="BE28" i="95"/>
  <c r="AW29" i="95"/>
  <c r="AO30" i="95"/>
  <c r="AW20" i="95"/>
  <c r="BF22" i="95"/>
  <c r="AW23" i="95"/>
  <c r="BF25" i="95"/>
  <c r="AW26" i="95"/>
  <c r="BF28" i="95"/>
  <c r="AX29" i="95"/>
  <c r="AP30" i="95"/>
  <c r="AX20" i="95"/>
  <c r="AO21" i="95"/>
  <c r="BG22" i="95"/>
  <c r="AX23" i="95"/>
  <c r="AO24" i="95"/>
  <c r="BG25" i="95"/>
  <c r="AX26" i="95"/>
  <c r="AO27" i="95"/>
  <c r="BG28" i="95"/>
  <c r="AY29" i="95"/>
  <c r="AQ30" i="95"/>
  <c r="BA29" i="94"/>
  <c r="BA20" i="94"/>
  <c r="BA23" i="94"/>
  <c r="BA26" i="94"/>
  <c r="BC29" i="94"/>
  <c r="BH20" i="94"/>
  <c r="BH23" i="94"/>
  <c r="BH26" i="94"/>
  <c r="BA30" i="94"/>
  <c r="BC30" i="94"/>
  <c r="BA21" i="94"/>
  <c r="BA24" i="94"/>
  <c r="BA27" i="94"/>
  <c r="BD30" i="94"/>
  <c r="BC21" i="94"/>
  <c r="BC24" i="94"/>
  <c r="BC27" i="94"/>
  <c r="BE30" i="94"/>
  <c r="BD21" i="94"/>
  <c r="BD24" i="94"/>
  <c r="BD27" i="94"/>
  <c r="BF30" i="94"/>
  <c r="BE21" i="94"/>
  <c r="BE24" i="94"/>
  <c r="BE27" i="94"/>
  <c r="BG30" i="94"/>
  <c r="BH29" i="94"/>
  <c r="BF21" i="94"/>
  <c r="BF24" i="94"/>
  <c r="BF27" i="94"/>
  <c r="AO29" i="94"/>
  <c r="BH30" i="94"/>
  <c r="AO20" i="94"/>
  <c r="BG21" i="94"/>
  <c r="AO23" i="94"/>
  <c r="BG24" i="94"/>
  <c r="AO26" i="94"/>
  <c r="BG27" i="94"/>
  <c r="AP29" i="94"/>
  <c r="BA31" i="94"/>
  <c r="AP20" i="94"/>
  <c r="BH21" i="94"/>
  <c r="AP23" i="94"/>
  <c r="BH24" i="94"/>
  <c r="AP26" i="94"/>
  <c r="BH27" i="94"/>
  <c r="AQ29" i="94"/>
  <c r="BC31" i="94"/>
  <c r="AQ20" i="94"/>
  <c r="AQ23" i="94"/>
  <c r="AQ26" i="94"/>
  <c r="AR29" i="94"/>
  <c r="BD31" i="94"/>
  <c r="AR20" i="94"/>
  <c r="BA22" i="94"/>
  <c r="AR23" i="94"/>
  <c r="BA25" i="94"/>
  <c r="AR26" i="94"/>
  <c r="BA28" i="94"/>
  <c r="AI28" i="94" s="1"/>
  <c r="AS29" i="94"/>
  <c r="BE31" i="94"/>
  <c r="AS20" i="94"/>
  <c r="BC22" i="94"/>
  <c r="AS23" i="94"/>
  <c r="BC25" i="94"/>
  <c r="AS26" i="94"/>
  <c r="BC28" i="94"/>
  <c r="AT29" i="94"/>
  <c r="BF31" i="94"/>
  <c r="AT20" i="94"/>
  <c r="BD22" i="94"/>
  <c r="AT23" i="94"/>
  <c r="BD25" i="94"/>
  <c r="AT26" i="94"/>
  <c r="BD28" i="94"/>
  <c r="AV29" i="94"/>
  <c r="BG31" i="94"/>
  <c r="AV20" i="94"/>
  <c r="BE22" i="94"/>
  <c r="AV23" i="94"/>
  <c r="BE25" i="94"/>
  <c r="AV26" i="94"/>
  <c r="BE28" i="94"/>
  <c r="AW29" i="94"/>
  <c r="AO30" i="94"/>
  <c r="AW20" i="94"/>
  <c r="BF22" i="94"/>
  <c r="AW23" i="94"/>
  <c r="BF25" i="94"/>
  <c r="AW26" i="94"/>
  <c r="BF28" i="94"/>
  <c r="AX29" i="94"/>
  <c r="AP30" i="94"/>
  <c r="AX20" i="94"/>
  <c r="AO21" i="94"/>
  <c r="BG22" i="94"/>
  <c r="AX23" i="94"/>
  <c r="AO24" i="94"/>
  <c r="BG25" i="94"/>
  <c r="AX26" i="94"/>
  <c r="AO27" i="94"/>
  <c r="BG28" i="94"/>
  <c r="AY29" i="94"/>
  <c r="AQ30" i="94"/>
  <c r="BA20" i="93"/>
  <c r="BA23" i="93"/>
  <c r="BA26" i="93"/>
  <c r="BC29" i="93"/>
  <c r="BC20" i="93"/>
  <c r="BC23" i="93"/>
  <c r="BC26" i="93"/>
  <c r="BD29" i="93"/>
  <c r="BD20" i="93"/>
  <c r="BD23" i="93"/>
  <c r="BD26" i="93"/>
  <c r="BE29" i="93"/>
  <c r="AW30" i="93"/>
  <c r="BF20" i="93"/>
  <c r="BH20" i="93"/>
  <c r="BC30" i="93"/>
  <c r="BH23" i="93"/>
  <c r="BH26" i="93"/>
  <c r="BA21" i="93"/>
  <c r="BA24" i="93"/>
  <c r="BA27" i="93"/>
  <c r="BD30" i="93"/>
  <c r="BF29" i="93"/>
  <c r="BF26" i="93"/>
  <c r="BE30" i="93"/>
  <c r="BD21" i="93"/>
  <c r="BD24" i="93"/>
  <c r="BD27" i="93"/>
  <c r="BF30" i="93"/>
  <c r="AX31" i="93"/>
  <c r="BE21" i="93"/>
  <c r="BE24" i="93"/>
  <c r="BE27" i="93"/>
  <c r="BG30" i="93"/>
  <c r="AY31" i="93"/>
  <c r="BA29" i="93"/>
  <c r="AO20" i="93"/>
  <c r="BG21" i="93"/>
  <c r="AO23" i="93"/>
  <c r="BG24" i="93"/>
  <c r="AO26" i="93"/>
  <c r="BG27" i="93"/>
  <c r="AP29" i="93"/>
  <c r="BA31" i="93"/>
  <c r="BG23" i="93"/>
  <c r="AP20" i="93"/>
  <c r="BH21" i="93"/>
  <c r="AP23" i="93"/>
  <c r="BH24" i="93"/>
  <c r="AP26" i="93"/>
  <c r="BH27" i="93"/>
  <c r="AQ29" i="93"/>
  <c r="BC31" i="93"/>
  <c r="BF23" i="93"/>
  <c r="AQ20" i="93"/>
  <c r="AZ22" i="93"/>
  <c r="AQ23" i="93"/>
  <c r="AQ26" i="93"/>
  <c r="AR29" i="93"/>
  <c r="BD31" i="93"/>
  <c r="AR20" i="93"/>
  <c r="BA22" i="93"/>
  <c r="AR23" i="93"/>
  <c r="BA25" i="93"/>
  <c r="AR26" i="93"/>
  <c r="BA28" i="93"/>
  <c r="AS29" i="93"/>
  <c r="BE31" i="93"/>
  <c r="BG26" i="93"/>
  <c r="AS20" i="93"/>
  <c r="BC22" i="93"/>
  <c r="AS23" i="93"/>
  <c r="BC25" i="93"/>
  <c r="AS26" i="93"/>
  <c r="BC28" i="93"/>
  <c r="AT29" i="93"/>
  <c r="BF31" i="93"/>
  <c r="AT20" i="93"/>
  <c r="BD22" i="93"/>
  <c r="AT23" i="93"/>
  <c r="BD25" i="93"/>
  <c r="AT26" i="93"/>
  <c r="BD28" i="93"/>
  <c r="AV29" i="93"/>
  <c r="BG31" i="93"/>
  <c r="BG20" i="93"/>
  <c r="AV20" i="93"/>
  <c r="BE22" i="93"/>
  <c r="AV23" i="93"/>
  <c r="BE25" i="93"/>
  <c r="AV26" i="93"/>
  <c r="BE28" i="93"/>
  <c r="AW29" i="93"/>
  <c r="AO30" i="93"/>
  <c r="AO29" i="93"/>
  <c r="AW20" i="93"/>
  <c r="BF22" i="93"/>
  <c r="AW23" i="93"/>
  <c r="BF25" i="93"/>
  <c r="AW26" i="93"/>
  <c r="BF28" i="93"/>
  <c r="AX29" i="93"/>
  <c r="AP30" i="93"/>
  <c r="AH30" i="93" s="1"/>
  <c r="BG29" i="93"/>
  <c r="BH29" i="93"/>
  <c r="AX20" i="93"/>
  <c r="AO21" i="93"/>
  <c r="BG22" i="93"/>
  <c r="AX23" i="93"/>
  <c r="AO24" i="93"/>
  <c r="BG25" i="93"/>
  <c r="AX26" i="93"/>
  <c r="AO27" i="93"/>
  <c r="BG28" i="93"/>
  <c r="AY29" i="93"/>
  <c r="AQ30" i="93"/>
  <c r="AV25" i="83"/>
  <c r="AT25" i="83"/>
  <c r="AO25" i="83"/>
  <c r="AS25" i="83"/>
  <c r="AR25" i="83"/>
  <c r="AQ25" i="83"/>
  <c r="AP25" i="83"/>
  <c r="BA25" i="83"/>
  <c r="BG25" i="83"/>
  <c r="AY25" i="83"/>
  <c r="AX25" i="83"/>
  <c r="BC25" i="83"/>
  <c r="AZ25" i="83"/>
  <c r="BH25" i="83"/>
  <c r="AW25" i="83"/>
  <c r="BF25" i="83"/>
  <c r="BE25" i="83"/>
  <c r="BD25" i="83"/>
  <c r="AS20" i="86"/>
  <c r="AR20" i="86"/>
  <c r="AQ20" i="86"/>
  <c r="AP20" i="86"/>
  <c r="AT20" i="86"/>
  <c r="AO20" i="86"/>
  <c r="BE20" i="86"/>
  <c r="BD20" i="86"/>
  <c r="AV20" i="86"/>
  <c r="BC20" i="86"/>
  <c r="BA20" i="86"/>
  <c r="AY20" i="86"/>
  <c r="AZ20" i="86"/>
  <c r="AX20" i="86"/>
  <c r="AW20" i="86"/>
  <c r="BF20" i="86"/>
  <c r="BH20" i="86"/>
  <c r="BG20" i="86"/>
  <c r="BH30" i="88"/>
  <c r="BG30" i="88"/>
  <c r="BF30" i="88"/>
  <c r="AT30" i="88"/>
  <c r="AS30" i="88"/>
  <c r="AR30" i="88"/>
  <c r="AQ30" i="88"/>
  <c r="AP30" i="88"/>
  <c r="AO30" i="88"/>
  <c r="BE30" i="88"/>
  <c r="BD30" i="88"/>
  <c r="BC30" i="88"/>
  <c r="BA30" i="88"/>
  <c r="BH27" i="86"/>
  <c r="BG27" i="86"/>
  <c r="AP27" i="86"/>
  <c r="AO27" i="86"/>
  <c r="BD27" i="86"/>
  <c r="BC27" i="86"/>
  <c r="AS27" i="86"/>
  <c r="BA27" i="86"/>
  <c r="AZ27" i="86"/>
  <c r="AY27" i="86"/>
  <c r="AT27" i="86"/>
  <c r="AX27" i="86"/>
  <c r="AW27" i="86"/>
  <c r="AV27" i="86"/>
  <c r="AO20" i="84"/>
  <c r="AQ20" i="84"/>
  <c r="AP20" i="84"/>
  <c r="BH20" i="84"/>
  <c r="BH30" i="84"/>
  <c r="BG30" i="84"/>
  <c r="BC30" i="84"/>
  <c r="BF30" i="84"/>
  <c r="BE30" i="84"/>
  <c r="BD30" i="84"/>
  <c r="BA30" i="84"/>
  <c r="AW30" i="84"/>
  <c r="AS30" i="84"/>
  <c r="AZ30" i="84"/>
  <c r="AY30" i="84"/>
  <c r="AX30" i="84"/>
  <c r="AT30" i="84"/>
  <c r="AR30" i="84"/>
  <c r="AV30" i="84"/>
  <c r="AV30" i="88"/>
  <c r="AY20" i="92"/>
  <c r="AX20" i="92"/>
  <c r="AW20" i="92"/>
  <c r="AV20" i="92"/>
  <c r="AT20" i="92"/>
  <c r="AS20" i="92"/>
  <c r="AQ20" i="92"/>
  <c r="AP20" i="92"/>
  <c r="AO20" i="92"/>
  <c r="BH20" i="92"/>
  <c r="BG20" i="92"/>
  <c r="BF20" i="92"/>
  <c r="BE20" i="92"/>
  <c r="BD20" i="92"/>
  <c r="BC20" i="92"/>
  <c r="BA20" i="92"/>
  <c r="AZ20" i="92"/>
  <c r="AR20" i="92"/>
  <c r="AW30" i="88"/>
  <c r="AT20" i="90"/>
  <c r="AS20" i="90"/>
  <c r="AR20" i="90"/>
  <c r="AQ20" i="90"/>
  <c r="AP20" i="90"/>
  <c r="AO20" i="90"/>
  <c r="AX20" i="90"/>
  <c r="AW20" i="90"/>
  <c r="AV20" i="90"/>
  <c r="AZ20" i="90"/>
  <c r="AY20" i="90"/>
  <c r="BE20" i="90"/>
  <c r="BD20" i="90"/>
  <c r="BC20" i="90"/>
  <c r="BA20" i="90"/>
  <c r="BH31" i="91"/>
  <c r="BG31" i="91"/>
  <c r="BF31" i="91"/>
  <c r="BE31" i="91"/>
  <c r="BD31" i="91"/>
  <c r="AT31" i="91"/>
  <c r="AS31" i="91"/>
  <c r="AR31" i="91"/>
  <c r="AQ31" i="91"/>
  <c r="AP31" i="91"/>
  <c r="AO31" i="91"/>
  <c r="BA31" i="91"/>
  <c r="BC31" i="91"/>
  <c r="AX30" i="88"/>
  <c r="BH21" i="86"/>
  <c r="AO21" i="86"/>
  <c r="BE21" i="86"/>
  <c r="AY21" i="86"/>
  <c r="BD21" i="86"/>
  <c r="BC21" i="86"/>
  <c r="AV21" i="86"/>
  <c r="AT21" i="86"/>
  <c r="BA21" i="86"/>
  <c r="AZ21" i="86"/>
  <c r="AX21" i="86"/>
  <c r="AW21" i="86"/>
  <c r="AV20" i="87"/>
  <c r="AT20" i="87"/>
  <c r="AS20" i="87"/>
  <c r="AR20" i="87"/>
  <c r="AQ20" i="87"/>
  <c r="BC20" i="87"/>
  <c r="BA20" i="87"/>
  <c r="AP20" i="87"/>
  <c r="AZ20" i="87"/>
  <c r="AY20" i="87"/>
  <c r="AX20" i="87"/>
  <c r="AW20" i="87"/>
  <c r="BG20" i="87"/>
  <c r="BD20" i="87"/>
  <c r="BH20" i="87"/>
  <c r="BF20" i="87"/>
  <c r="BE20" i="87"/>
  <c r="AO20" i="87"/>
  <c r="AO29" i="87"/>
  <c r="AV29" i="87"/>
  <c r="AT29" i="87"/>
  <c r="AS29" i="87"/>
  <c r="AR29" i="87"/>
  <c r="AQ29" i="87"/>
  <c r="BF29" i="87"/>
  <c r="BE29" i="87"/>
  <c r="BH29" i="87"/>
  <c r="BG29" i="87"/>
  <c r="AY30" i="88"/>
  <c r="AO27" i="90"/>
  <c r="AR27" i="89"/>
  <c r="BF20" i="90"/>
  <c r="AV31" i="91"/>
  <c r="AW28" i="87"/>
  <c r="AV28" i="87"/>
  <c r="AT28" i="87"/>
  <c r="AS28" i="87"/>
  <c r="AZ28" i="87"/>
  <c r="AY28" i="87"/>
  <c r="AX28" i="87"/>
  <c r="AR28" i="87"/>
  <c r="AQ28" i="87"/>
  <c r="BH28" i="87"/>
  <c r="BG28" i="87"/>
  <c r="BF28" i="87"/>
  <c r="BC28" i="87"/>
  <c r="AP28" i="87"/>
  <c r="AO28" i="87"/>
  <c r="BE28" i="87"/>
  <c r="BD28" i="87"/>
  <c r="BA28" i="87"/>
  <c r="AZ23" i="83"/>
  <c r="BA23" i="83"/>
  <c r="BH26" i="83"/>
  <c r="BG26" i="83"/>
  <c r="AR26" i="83"/>
  <c r="AQ26" i="83"/>
  <c r="AP26" i="83"/>
  <c r="AO26" i="83"/>
  <c r="AS20" i="84"/>
  <c r="BE27" i="86"/>
  <c r="AZ31" i="87"/>
  <c r="AY31" i="87"/>
  <c r="AX31" i="87"/>
  <c r="AW31" i="87"/>
  <c r="AT31" i="87"/>
  <c r="AS31" i="87"/>
  <c r="AR31" i="87"/>
  <c r="AQ31" i="87"/>
  <c r="AP31" i="87"/>
  <c r="AO31" i="87"/>
  <c r="BE31" i="87"/>
  <c r="BD31" i="87"/>
  <c r="BC31" i="87"/>
  <c r="BA31" i="87"/>
  <c r="AV31" i="87"/>
  <c r="BC23" i="83"/>
  <c r="AT20" i="84"/>
  <c r="AP29" i="84"/>
  <c r="AO29" i="84"/>
  <c r="BF29" i="84"/>
  <c r="BE29" i="84"/>
  <c r="AV29" i="84"/>
  <c r="BD29" i="84"/>
  <c r="AZ29" i="84"/>
  <c r="BC29" i="84"/>
  <c r="BA29" i="84"/>
  <c r="AY29" i="84"/>
  <c r="AX29" i="84"/>
  <c r="AW29" i="84"/>
  <c r="BF27" i="86"/>
  <c r="AQ29" i="88"/>
  <c r="AP29" i="88"/>
  <c r="AO29" i="88"/>
  <c r="AW29" i="88"/>
  <c r="AV29" i="88"/>
  <c r="AT29" i="88"/>
  <c r="AS29" i="88"/>
  <c r="AR29" i="88"/>
  <c r="BD29" i="88"/>
  <c r="BC29" i="88"/>
  <c r="BA29" i="88"/>
  <c r="AZ29" i="88"/>
  <c r="AY29" i="88"/>
  <c r="AX29" i="88"/>
  <c r="BH29" i="88"/>
  <c r="BG29" i="88"/>
  <c r="BF29" i="88"/>
  <c r="BE29" i="88"/>
  <c r="BG20" i="90"/>
  <c r="AW31" i="91"/>
  <c r="AX28" i="84"/>
  <c r="AQ28" i="84"/>
  <c r="AW28" i="84"/>
  <c r="AV28" i="84"/>
  <c r="AT28" i="84"/>
  <c r="AS28" i="84"/>
  <c r="AR28" i="84"/>
  <c r="BH28" i="84"/>
  <c r="AZ28" i="84"/>
  <c r="BG28" i="84"/>
  <c r="BF28" i="84"/>
  <c r="AY28" i="84"/>
  <c r="AP28" i="84"/>
  <c r="BE28" i="84"/>
  <c r="BC28" i="84"/>
  <c r="BD28" i="84"/>
  <c r="BA28" i="84"/>
  <c r="BH24" i="86"/>
  <c r="BG24" i="86"/>
  <c r="BC24" i="86"/>
  <c r="BA24" i="86"/>
  <c r="AZ24" i="86"/>
  <c r="AY24" i="86"/>
  <c r="AV24" i="86"/>
  <c r="AX24" i="86"/>
  <c r="AW24" i="86"/>
  <c r="BE24" i="86"/>
  <c r="BD24" i="86"/>
  <c r="AT24" i="86"/>
  <c r="AS24" i="86"/>
  <c r="AR24" i="86"/>
  <c r="AQ24" i="86"/>
  <c r="AP24" i="86"/>
  <c r="AO24" i="86"/>
  <c r="AZ30" i="88"/>
  <c r="AQ27" i="86"/>
  <c r="BH28" i="92"/>
  <c r="BG28" i="92"/>
  <c r="BF28" i="92"/>
  <c r="BE28" i="92"/>
  <c r="BD28" i="92"/>
  <c r="BC28" i="92"/>
  <c r="BA28" i="92"/>
  <c r="AZ28" i="92"/>
  <c r="AY28" i="92"/>
  <c r="AX28" i="92"/>
  <c r="AP28" i="92"/>
  <c r="AO28" i="92"/>
  <c r="AW28" i="92"/>
  <c r="AI28" i="92" s="1"/>
  <c r="AR27" i="86"/>
  <c r="BD23" i="83"/>
  <c r="AV20" i="84"/>
  <c r="AO30" i="84"/>
  <c r="AP21" i="86"/>
  <c r="AS26" i="86"/>
  <c r="AR26" i="86"/>
  <c r="AQ26" i="86"/>
  <c r="AP26" i="86"/>
  <c r="AO26" i="86"/>
  <c r="AT26" i="86"/>
  <c r="BC26" i="86"/>
  <c r="BA26" i="86"/>
  <c r="AZ26" i="86"/>
  <c r="AW26" i="86"/>
  <c r="AY26" i="86"/>
  <c r="AX26" i="86"/>
  <c r="AV26" i="86"/>
  <c r="AP29" i="87"/>
  <c r="BH20" i="90"/>
  <c r="BH24" i="90"/>
  <c r="BG24" i="90"/>
  <c r="BF24" i="90"/>
  <c r="BE24" i="90"/>
  <c r="BD24" i="90"/>
  <c r="BC24" i="90"/>
  <c r="BA24" i="90"/>
  <c r="AZ24" i="90"/>
  <c r="AY24" i="90"/>
  <c r="AX24" i="90"/>
  <c r="AW24" i="90"/>
  <c r="AV24" i="90"/>
  <c r="AO24" i="90"/>
  <c r="AT24" i="90"/>
  <c r="AP24" i="90"/>
  <c r="AS24" i="90"/>
  <c r="AR24" i="90"/>
  <c r="AQ24" i="90"/>
  <c r="AX31" i="91"/>
  <c r="BH27" i="89"/>
  <c r="BG27" i="89"/>
  <c r="BF27" i="89"/>
  <c r="BE27" i="89"/>
  <c r="BD27" i="89"/>
  <c r="BC27" i="89"/>
  <c r="BA27" i="89"/>
  <c r="AZ27" i="89"/>
  <c r="AY27" i="89"/>
  <c r="AX27" i="89"/>
  <c r="AW27" i="89"/>
  <c r="AV27" i="89"/>
  <c r="AT27" i="89"/>
  <c r="AS27" i="89"/>
  <c r="AP27" i="89"/>
  <c r="AQ27" i="89"/>
  <c r="BE23" i="83"/>
  <c r="AW20" i="84"/>
  <c r="AP30" i="84"/>
  <c r="AQ21" i="86"/>
  <c r="AW29" i="87"/>
  <c r="AR20" i="89"/>
  <c r="AQ20" i="89"/>
  <c r="AP20" i="89"/>
  <c r="AO20" i="89"/>
  <c r="AV20" i="89"/>
  <c r="AT20" i="89"/>
  <c r="AS20" i="89"/>
  <c r="AW20" i="89"/>
  <c r="BD20" i="89"/>
  <c r="BE20" i="89"/>
  <c r="BH20" i="89"/>
  <c r="BG20" i="89"/>
  <c r="BF20" i="89"/>
  <c r="AR23" i="89"/>
  <c r="AQ23" i="89"/>
  <c r="AP23" i="89"/>
  <c r="AO23" i="89"/>
  <c r="BF23" i="89"/>
  <c r="BE23" i="89"/>
  <c r="BD23" i="89"/>
  <c r="AY23" i="89"/>
  <c r="BC23" i="89"/>
  <c r="BA23" i="89"/>
  <c r="AZ23" i="89"/>
  <c r="BH23" i="89"/>
  <c r="BG23" i="89"/>
  <c r="AX23" i="89"/>
  <c r="AW23" i="89"/>
  <c r="AV23" i="89"/>
  <c r="AT23" i="89"/>
  <c r="AS23" i="89"/>
  <c r="AV21" i="91"/>
  <c r="AT21" i="91"/>
  <c r="AS21" i="91"/>
  <c r="AR21" i="91"/>
  <c r="AQ21" i="91"/>
  <c r="AP21" i="91"/>
  <c r="BG21" i="91"/>
  <c r="BF21" i="91"/>
  <c r="BE21" i="91"/>
  <c r="BD21" i="91"/>
  <c r="BC21" i="91"/>
  <c r="BA21" i="91"/>
  <c r="AZ21" i="91"/>
  <c r="BH21" i="91"/>
  <c r="AY21" i="91"/>
  <c r="AX21" i="91"/>
  <c r="AW21" i="91"/>
  <c r="AO21" i="91"/>
  <c r="AY31" i="91"/>
  <c r="BH27" i="90"/>
  <c r="BG27" i="90"/>
  <c r="BF27" i="90"/>
  <c r="BE27" i="90"/>
  <c r="BD27" i="90"/>
  <c r="BC27" i="90"/>
  <c r="BA27" i="90"/>
  <c r="AZ27" i="90"/>
  <c r="AV27" i="90"/>
  <c r="AY27" i="90"/>
  <c r="AX27" i="90"/>
  <c r="AW27" i="90"/>
  <c r="AQ27" i="90"/>
  <c r="AT27" i="90"/>
  <c r="AS27" i="90"/>
  <c r="AR27" i="90"/>
  <c r="AO28" i="84"/>
  <c r="BH27" i="88"/>
  <c r="BG27" i="88"/>
  <c r="BF27" i="88"/>
  <c r="BE27" i="88"/>
  <c r="BD27" i="88"/>
  <c r="AX27" i="88"/>
  <c r="AW27" i="88"/>
  <c r="AV27" i="88"/>
  <c r="AT27" i="88"/>
  <c r="AS27" i="88"/>
  <c r="AR27" i="88"/>
  <c r="BA27" i="88"/>
  <c r="BC27" i="88"/>
  <c r="AX20" i="84"/>
  <c r="AQ30" i="84"/>
  <c r="AR21" i="86"/>
  <c r="AX29" i="87"/>
  <c r="BH21" i="90"/>
  <c r="BG21" i="90"/>
  <c r="AT21" i="90"/>
  <c r="AS21" i="90"/>
  <c r="AR21" i="90"/>
  <c r="AQ21" i="90"/>
  <c r="AP21" i="90"/>
  <c r="AO21" i="90"/>
  <c r="BD21" i="90"/>
  <c r="AW21" i="90"/>
  <c r="BC21" i="90"/>
  <c r="BA21" i="90"/>
  <c r="AZ21" i="90"/>
  <c r="AY21" i="90"/>
  <c r="AX21" i="90"/>
  <c r="BF21" i="90"/>
  <c r="AZ31" i="91"/>
  <c r="BH23" i="83"/>
  <c r="BG23" i="83"/>
  <c r="AY23" i="83"/>
  <c r="AT23" i="83"/>
  <c r="AP23" i="83"/>
  <c r="AX23" i="83"/>
  <c r="AW23" i="83"/>
  <c r="AO23" i="83"/>
  <c r="AV23" i="83"/>
  <c r="AS23" i="83"/>
  <c r="AQ23" i="83"/>
  <c r="AR23" i="83"/>
  <c r="AV22" i="83"/>
  <c r="AT22" i="83"/>
  <c r="AS22" i="83"/>
  <c r="AP22" i="83"/>
  <c r="AR22" i="83"/>
  <c r="AQ22" i="83"/>
  <c r="BC22" i="83"/>
  <c r="BA22" i="83"/>
  <c r="AW22" i="83"/>
  <c r="AZ22" i="83"/>
  <c r="AX22" i="83"/>
  <c r="AY22" i="83"/>
  <c r="AO22" i="83"/>
  <c r="AR20" i="84"/>
  <c r="AY20" i="84"/>
  <c r="AS21" i="86"/>
  <c r="AY29" i="87"/>
  <c r="AQ28" i="92"/>
  <c r="AX22" i="84"/>
  <c r="AW22" i="84"/>
  <c r="AQ22" i="84"/>
  <c r="AV22" i="84"/>
  <c r="AT22" i="84"/>
  <c r="AS22" i="84"/>
  <c r="AR22" i="84"/>
  <c r="AT23" i="90"/>
  <c r="AS23" i="90"/>
  <c r="AR23" i="90"/>
  <c r="AQ23" i="90"/>
  <c r="AP23" i="90"/>
  <c r="AO23" i="90"/>
  <c r="BH23" i="90"/>
  <c r="BG23" i="90"/>
  <c r="BF23" i="90"/>
  <c r="BC23" i="90"/>
  <c r="BE23" i="90"/>
  <c r="BD23" i="90"/>
  <c r="AW20" i="91"/>
  <c r="AV20" i="91"/>
  <c r="AT20" i="91"/>
  <c r="AS20" i="91"/>
  <c r="AR20" i="91"/>
  <c r="AQ20" i="91"/>
  <c r="AZ20" i="91"/>
  <c r="AY20" i="91"/>
  <c r="AX20" i="91"/>
  <c r="AP20" i="91"/>
  <c r="AO20" i="91"/>
  <c r="BE20" i="91"/>
  <c r="BD20" i="91"/>
  <c r="BC20" i="91"/>
  <c r="BA20" i="91"/>
  <c r="AP24" i="92"/>
  <c r="AO24" i="92"/>
  <c r="AS24" i="92"/>
  <c r="AR24" i="92"/>
  <c r="AQ24" i="92"/>
  <c r="AV28" i="83"/>
  <c r="AT28" i="83"/>
  <c r="AS28" i="83"/>
  <c r="AR28" i="83"/>
  <c r="AQ28" i="83"/>
  <c r="AP28" i="83"/>
  <c r="AO28" i="83"/>
  <c r="BG29" i="83"/>
  <c r="AY31" i="83"/>
  <c r="AX31" i="83"/>
  <c r="AW31" i="83"/>
  <c r="AV31" i="83"/>
  <c r="AR31" i="83"/>
  <c r="AT31" i="83"/>
  <c r="AS31" i="83"/>
  <c r="BG23" i="84"/>
  <c r="AZ25" i="85"/>
  <c r="AY25" i="85"/>
  <c r="AX25" i="85"/>
  <c r="AP25" i="85"/>
  <c r="AO25" i="85"/>
  <c r="AQ26" i="85"/>
  <c r="AP26" i="85"/>
  <c r="AO26" i="85"/>
  <c r="BH26" i="85"/>
  <c r="AY28" i="88"/>
  <c r="AX28" i="88"/>
  <c r="AW28" i="88"/>
  <c r="AV28" i="88"/>
  <c r="AT28" i="88"/>
  <c r="AZ28" i="88"/>
  <c r="AS28" i="88"/>
  <c r="AR28" i="88"/>
  <c r="AQ28" i="88"/>
  <c r="AP28" i="88"/>
  <c r="AO28" i="88"/>
  <c r="BA28" i="88"/>
  <c r="BE27" i="91"/>
  <c r="BD27" i="91"/>
  <c r="BC27" i="91"/>
  <c r="BA27" i="91"/>
  <c r="AZ27" i="91"/>
  <c r="AY27" i="91"/>
  <c r="BH27" i="91"/>
  <c r="BG27" i="91"/>
  <c r="BF27" i="91"/>
  <c r="AX27" i="91"/>
  <c r="BH30" i="87"/>
  <c r="BG30" i="87"/>
  <c r="BF30" i="87"/>
  <c r="BE30" i="87"/>
  <c r="AQ30" i="87"/>
  <c r="AP30" i="87"/>
  <c r="AO30" i="87"/>
  <c r="AT30" i="87"/>
  <c r="AS30" i="87"/>
  <c r="AR30" i="87"/>
  <c r="AV23" i="87"/>
  <c r="AT23" i="87"/>
  <c r="AS23" i="87"/>
  <c r="AR23" i="87"/>
  <c r="AQ23" i="87"/>
  <c r="AS29" i="89"/>
  <c r="AR29" i="89"/>
  <c r="AQ29" i="89"/>
  <c r="AP29" i="89"/>
  <c r="AO29" i="89"/>
  <c r="AZ29" i="89"/>
  <c r="AY29" i="89"/>
  <c r="AX29" i="89"/>
  <c r="AW29" i="89"/>
  <c r="AV29" i="89"/>
  <c r="AT29" i="89"/>
  <c r="BH29" i="89"/>
  <c r="BG29" i="89"/>
  <c r="BD29" i="89"/>
  <c r="BF29" i="89"/>
  <c r="BE29" i="89"/>
  <c r="AR29" i="85"/>
  <c r="AQ29" i="85"/>
  <c r="AP29" i="85"/>
  <c r="AO29" i="85"/>
  <c r="BD29" i="85"/>
  <c r="BC29" i="85"/>
  <c r="BA29" i="85"/>
  <c r="AZ29" i="85"/>
  <c r="AY29" i="85"/>
  <c r="AW29" i="85"/>
  <c r="AX29" i="85"/>
  <c r="AX25" i="84"/>
  <c r="AW25" i="84"/>
  <c r="AV25" i="84"/>
  <c r="AT25" i="84"/>
  <c r="AS25" i="84"/>
  <c r="AQ25" i="84"/>
  <c r="AR25" i="84"/>
  <c r="BH21" i="89"/>
  <c r="BG21" i="89"/>
  <c r="BF21" i="89"/>
  <c r="BE21" i="89"/>
  <c r="AR21" i="89"/>
  <c r="AQ21" i="89"/>
  <c r="AP21" i="89"/>
  <c r="AO21" i="89"/>
  <c r="AY21" i="89"/>
  <c r="AX21" i="89"/>
  <c r="AW21" i="89"/>
  <c r="AV21" i="89"/>
  <c r="AT21" i="89"/>
  <c r="AS21" i="89"/>
  <c r="AW23" i="91"/>
  <c r="AV23" i="91"/>
  <c r="AT23" i="91"/>
  <c r="AS23" i="91"/>
  <c r="AR23" i="91"/>
  <c r="AQ23" i="91"/>
  <c r="BF23" i="91"/>
  <c r="BH23" i="91"/>
  <c r="BG23" i="91"/>
  <c r="BF20" i="83"/>
  <c r="BG26" i="84"/>
  <c r="BH24" i="85"/>
  <c r="BG24" i="85"/>
  <c r="AW24" i="85"/>
  <c r="AV24" i="85"/>
  <c r="AT24" i="85"/>
  <c r="AS24" i="85"/>
  <c r="AR24" i="85"/>
  <c r="AQ24" i="85"/>
  <c r="AP24" i="85"/>
  <c r="AW21" i="87"/>
  <c r="AV21" i="87"/>
  <c r="AT21" i="87"/>
  <c r="AS21" i="87"/>
  <c r="AR21" i="87"/>
  <c r="AQ21" i="87"/>
  <c r="AP21" i="87"/>
  <c r="BG20" i="83"/>
  <c r="AQ20" i="85"/>
  <c r="AS20" i="85"/>
  <c r="AR20" i="85"/>
  <c r="AP20" i="85"/>
  <c r="AO20" i="85"/>
  <c r="AH30" i="87"/>
  <c r="AV29" i="90"/>
  <c r="AT29" i="90"/>
  <c r="AS29" i="90"/>
  <c r="AR29" i="90"/>
  <c r="AQ29" i="90"/>
  <c r="AP29" i="90"/>
  <c r="AH29" i="90" s="1"/>
  <c r="BC29" i="90"/>
  <c r="BA29" i="90"/>
  <c r="AZ29" i="90"/>
  <c r="AY29" i="90"/>
  <c r="AX29" i="90"/>
  <c r="AW29" i="90"/>
  <c r="BF29" i="90"/>
  <c r="BH29" i="90"/>
  <c r="BG29" i="90"/>
  <c r="AT24" i="92"/>
  <c r="BH30" i="85"/>
  <c r="AY30" i="85"/>
  <c r="AX30" i="85"/>
  <c r="AR30" i="85"/>
  <c r="AW30" i="85"/>
  <c r="AV30" i="85"/>
  <c r="AT30" i="85"/>
  <c r="AS30" i="85"/>
  <c r="BH31" i="92"/>
  <c r="BG31" i="92"/>
  <c r="BF31" i="92"/>
  <c r="BE31" i="92"/>
  <c r="BD31" i="92"/>
  <c r="BC31" i="92"/>
  <c r="BA31" i="92"/>
  <c r="AZ31" i="92"/>
  <c r="AY31" i="92"/>
  <c r="AX31" i="92"/>
  <c r="AW31" i="92"/>
  <c r="AV31" i="92"/>
  <c r="AQ31" i="92"/>
  <c r="AT31" i="92"/>
  <c r="AS31" i="92"/>
  <c r="AR31" i="92"/>
  <c r="BH21" i="85"/>
  <c r="BF21" i="85"/>
  <c r="BG21" i="85"/>
  <c r="AQ23" i="85"/>
  <c r="AP23" i="85"/>
  <c r="AO23" i="85"/>
  <c r="BC23" i="85"/>
  <c r="BA23" i="85"/>
  <c r="AZ23" i="85"/>
  <c r="AY23" i="85"/>
  <c r="AV23" i="85"/>
  <c r="AX23" i="85"/>
  <c r="AW23" i="85"/>
  <c r="AV24" i="92"/>
  <c r="AP31" i="92"/>
  <c r="BA21" i="84"/>
  <c r="BA24" i="84"/>
  <c r="BA27" i="84"/>
  <c r="AI27" i="84" s="1"/>
  <c r="BF24" i="87"/>
  <c r="BE24" i="87"/>
  <c r="BD24" i="87"/>
  <c r="BC24" i="87"/>
  <c r="AW25" i="87"/>
  <c r="AV25" i="87"/>
  <c r="AT25" i="87"/>
  <c r="AS25" i="87"/>
  <c r="AP26" i="88"/>
  <c r="AO26" i="88"/>
  <c r="BD26" i="88"/>
  <c r="BC26" i="88"/>
  <c r="BA26" i="88"/>
  <c r="AZ26" i="88"/>
  <c r="AY26" i="88"/>
  <c r="AX26" i="88"/>
  <c r="AP30" i="91"/>
  <c r="AO30" i="91"/>
  <c r="AX30" i="91"/>
  <c r="AW30" i="91"/>
  <c r="AV30" i="91"/>
  <c r="AT30" i="91"/>
  <c r="AS30" i="91"/>
  <c r="AR30" i="91"/>
  <c r="AY23" i="92"/>
  <c r="AX23" i="92"/>
  <c r="AW23" i="92"/>
  <c r="AV23" i="92"/>
  <c r="AT23" i="92"/>
  <c r="AS23" i="92"/>
  <c r="BF27" i="87"/>
  <c r="BE27" i="87"/>
  <c r="BD27" i="87"/>
  <c r="BC27" i="87"/>
  <c r="AZ27" i="87"/>
  <c r="AY27" i="87"/>
  <c r="AX27" i="87"/>
  <c r="AW27" i="87"/>
  <c r="AV27" i="87"/>
  <c r="BC30" i="83"/>
  <c r="BC21" i="84"/>
  <c r="BC24" i="84"/>
  <c r="BC27" i="84"/>
  <c r="BH27" i="85"/>
  <c r="BG27" i="85"/>
  <c r="BE27" i="85"/>
  <c r="BA21" i="83"/>
  <c r="BA24" i="83"/>
  <c r="BA27" i="83"/>
  <c r="BD30" i="83"/>
  <c r="BD21" i="84"/>
  <c r="BD24" i="84"/>
  <c r="BD27" i="84"/>
  <c r="AZ22" i="85"/>
  <c r="AY22" i="85"/>
  <c r="AX22" i="85"/>
  <c r="BE22" i="85"/>
  <c r="BF27" i="85"/>
  <c r="AT29" i="86"/>
  <c r="AS29" i="86"/>
  <c r="AR29" i="86"/>
  <c r="AQ29" i="86"/>
  <c r="AP29" i="86"/>
  <c r="BG29" i="86"/>
  <c r="AY22" i="88"/>
  <c r="AX22" i="88"/>
  <c r="AW22" i="88"/>
  <c r="AV22" i="88"/>
  <c r="AT22" i="88"/>
  <c r="AY30" i="90"/>
  <c r="AX30" i="90"/>
  <c r="AW30" i="90"/>
  <c r="AV30" i="90"/>
  <c r="AT30" i="90"/>
  <c r="AS30" i="90"/>
  <c r="BA30" i="83"/>
  <c r="BC21" i="83"/>
  <c r="BC24" i="83"/>
  <c r="BC27" i="83"/>
  <c r="BE30" i="83"/>
  <c r="BE21" i="84"/>
  <c r="BE24" i="84"/>
  <c r="BE27" i="84"/>
  <c r="BF22" i="85"/>
  <c r="BH29" i="86"/>
  <c r="BD21" i="83"/>
  <c r="BD24" i="83"/>
  <c r="BD27" i="83"/>
  <c r="BF30" i="83"/>
  <c r="BF21" i="84"/>
  <c r="BF24" i="84"/>
  <c r="BF27" i="84"/>
  <c r="AZ31" i="84"/>
  <c r="BG22" i="85"/>
  <c r="AZ28" i="85"/>
  <c r="AY28" i="85"/>
  <c r="AX28" i="85"/>
  <c r="AW28" i="85"/>
  <c r="BF28" i="85"/>
  <c r="BE30" i="86"/>
  <c r="BH30" i="89"/>
  <c r="BG30" i="89"/>
  <c r="AX30" i="89"/>
  <c r="AW30" i="89"/>
  <c r="AV30" i="89"/>
  <c r="AT30" i="89"/>
  <c r="AS30" i="89"/>
  <c r="AR30" i="89"/>
  <c r="BH22" i="85"/>
  <c r="AS23" i="86"/>
  <c r="AR23" i="86"/>
  <c r="AQ23" i="86"/>
  <c r="AP23" i="86"/>
  <c r="AO23" i="86"/>
  <c r="BG23" i="86"/>
  <c r="AP20" i="88"/>
  <c r="AO20" i="88"/>
  <c r="AR20" i="88"/>
  <c r="AQ20" i="88"/>
  <c r="BH21" i="88"/>
  <c r="BG21" i="88"/>
  <c r="BF21" i="88"/>
  <c r="BE21" i="88"/>
  <c r="BD21" i="88"/>
  <c r="AX29" i="91"/>
  <c r="AW29" i="91"/>
  <c r="AV29" i="91"/>
  <c r="AT29" i="91"/>
  <c r="AS29" i="91"/>
  <c r="AR29" i="91"/>
  <c r="BA29" i="91"/>
  <c r="AZ29" i="91"/>
  <c r="AY29" i="91"/>
  <c r="AQ29" i="91"/>
  <c r="AP29" i="91"/>
  <c r="AO29" i="91"/>
  <c r="AP21" i="92"/>
  <c r="AO21" i="92"/>
  <c r="AS21" i="92"/>
  <c r="AR21" i="92"/>
  <c r="AQ21" i="92"/>
  <c r="BH22" i="92"/>
  <c r="BG22" i="92"/>
  <c r="BF22" i="92"/>
  <c r="BE22" i="92"/>
  <c r="BD22" i="92"/>
  <c r="BC22" i="92"/>
  <c r="AP23" i="88"/>
  <c r="AO23" i="88"/>
  <c r="BF23" i="88"/>
  <c r="BH24" i="89"/>
  <c r="BG24" i="89"/>
  <c r="BF24" i="89"/>
  <c r="BE24" i="89"/>
  <c r="AY26" i="92"/>
  <c r="AX26" i="92"/>
  <c r="AW26" i="92"/>
  <c r="AV26" i="92"/>
  <c r="AT26" i="92"/>
  <c r="AS26" i="92"/>
  <c r="BH26" i="92"/>
  <c r="BA31" i="86"/>
  <c r="BD26" i="87"/>
  <c r="BG23" i="88"/>
  <c r="BH25" i="92"/>
  <c r="BG25" i="92"/>
  <c r="BF25" i="92"/>
  <c r="BE25" i="92"/>
  <c r="BD25" i="92"/>
  <c r="BC25" i="92"/>
  <c r="BC31" i="86"/>
  <c r="BA22" i="87"/>
  <c r="BE26" i="87"/>
  <c r="BH23" i="88"/>
  <c r="AP27" i="92"/>
  <c r="AO27" i="92"/>
  <c r="BF27" i="92"/>
  <c r="BA31" i="85"/>
  <c r="BD31" i="86"/>
  <c r="BC22" i="87"/>
  <c r="BF26" i="87"/>
  <c r="BG27" i="92"/>
  <c r="BC31" i="85"/>
  <c r="BA22" i="86"/>
  <c r="BA25" i="86"/>
  <c r="BA28" i="86"/>
  <c r="BE31" i="86"/>
  <c r="BD22" i="87"/>
  <c r="BG26" i="87"/>
  <c r="BH24" i="88"/>
  <c r="BG24" i="88"/>
  <c r="BF24" i="88"/>
  <c r="BE24" i="88"/>
  <c r="BD24" i="88"/>
  <c r="AY25" i="88"/>
  <c r="AX25" i="88"/>
  <c r="AW25" i="88"/>
  <c r="AV25" i="88"/>
  <c r="AT25" i="88"/>
  <c r="BG25" i="88"/>
  <c r="AT26" i="90"/>
  <c r="AS26" i="90"/>
  <c r="AR26" i="90"/>
  <c r="AQ26" i="90"/>
  <c r="AP26" i="90"/>
  <c r="AO26" i="90"/>
  <c r="BH26" i="90"/>
  <c r="AW26" i="91"/>
  <c r="AV26" i="91"/>
  <c r="AT26" i="91"/>
  <c r="AS26" i="91"/>
  <c r="AR26" i="91"/>
  <c r="AQ26" i="91"/>
  <c r="BH26" i="91"/>
  <c r="BH27" i="92"/>
  <c r="AZ29" i="92"/>
  <c r="AY29" i="92"/>
  <c r="AX29" i="92"/>
  <c r="AW29" i="92"/>
  <c r="AV29" i="92"/>
  <c r="AT29" i="92"/>
  <c r="BH29" i="92"/>
  <c r="BH25" i="88"/>
  <c r="AR26" i="89"/>
  <c r="AQ26" i="89"/>
  <c r="AP26" i="89"/>
  <c r="AO26" i="89"/>
  <c r="BG26" i="89"/>
  <c r="AR30" i="92"/>
  <c r="AQ30" i="92"/>
  <c r="AP30" i="92"/>
  <c r="AO30" i="92"/>
  <c r="BG30" i="92"/>
  <c r="BA31" i="90"/>
  <c r="BC31" i="90"/>
  <c r="BA22" i="91"/>
  <c r="BA25" i="91"/>
  <c r="BA28" i="91"/>
  <c r="AY31" i="88"/>
  <c r="AX22" i="89"/>
  <c r="AX25" i="89"/>
  <c r="AX28" i="89"/>
  <c r="BA31" i="89"/>
  <c r="AZ22" i="90"/>
  <c r="AZ25" i="90"/>
  <c r="AZ28" i="90"/>
  <c r="BD31" i="90"/>
  <c r="BC22" i="91"/>
  <c r="BC25" i="91"/>
  <c r="BC28" i="91"/>
  <c r="AZ31" i="88"/>
  <c r="AY22" i="89"/>
  <c r="BA22" i="90"/>
  <c r="BA25" i="90"/>
  <c r="BA28" i="90"/>
  <c r="BE31" i="90"/>
  <c r="BD22" i="91"/>
  <c r="BD25" i="91"/>
  <c r="BD28" i="91"/>
  <c r="AZ22" i="89"/>
  <c r="BC22" i="90"/>
  <c r="BC25" i="90"/>
  <c r="BC28" i="90"/>
  <c r="BF31" i="90"/>
  <c r="BE22" i="91"/>
  <c r="BE25" i="91"/>
  <c r="BE28" i="91"/>
  <c r="BA29" i="82"/>
  <c r="BD23" i="82"/>
  <c r="BE23" i="82"/>
  <c r="BH23" i="82"/>
  <c r="BA30" i="82"/>
  <c r="BC30" i="82"/>
  <c r="BA21" i="82"/>
  <c r="BA24" i="82"/>
  <c r="BA27" i="82"/>
  <c r="BD30" i="82"/>
  <c r="AV31" i="82"/>
  <c r="BA20" i="82"/>
  <c r="BC23" i="82"/>
  <c r="BD20" i="82"/>
  <c r="BF20" i="82"/>
  <c r="BF23" i="82"/>
  <c r="BG26" i="82"/>
  <c r="BC21" i="82"/>
  <c r="BC24" i="82"/>
  <c r="BC27" i="82"/>
  <c r="BE30" i="82"/>
  <c r="AW31" i="82"/>
  <c r="BF29" i="82"/>
  <c r="BH26" i="82"/>
  <c r="AO20" i="82"/>
  <c r="AP20" i="82"/>
  <c r="BH21" i="82"/>
  <c r="AY22" i="82"/>
  <c r="AP23" i="82"/>
  <c r="BH24" i="82"/>
  <c r="AY25" i="82"/>
  <c r="AP26" i="82"/>
  <c r="BH27" i="82"/>
  <c r="AY28" i="82"/>
  <c r="AQ29" i="82"/>
  <c r="BC31" i="82"/>
  <c r="BG29" i="82"/>
  <c r="BG20" i="82"/>
  <c r="BG24" i="82"/>
  <c r="AQ20" i="82"/>
  <c r="AZ22" i="82"/>
  <c r="AQ23" i="82"/>
  <c r="AZ25" i="82"/>
  <c r="AQ26" i="82"/>
  <c r="AZ28" i="82"/>
  <c r="AR29" i="82"/>
  <c r="BD31" i="82"/>
  <c r="BH30" i="82"/>
  <c r="BE31" i="82"/>
  <c r="BC26" i="82"/>
  <c r="BE29" i="82"/>
  <c r="BE26" i="82"/>
  <c r="BF26" i="82"/>
  <c r="AO29" i="82"/>
  <c r="AS20" i="82"/>
  <c r="BC22" i="82"/>
  <c r="AS23" i="82"/>
  <c r="BC25" i="82"/>
  <c r="AS26" i="82"/>
  <c r="BC28" i="82"/>
  <c r="AT29" i="82"/>
  <c r="BF31" i="82"/>
  <c r="BA23" i="82"/>
  <c r="BG23" i="82"/>
  <c r="BH29" i="82"/>
  <c r="BF30" i="82"/>
  <c r="BG21" i="82"/>
  <c r="BG27" i="82"/>
  <c r="AR26" i="82"/>
  <c r="BA28" i="82"/>
  <c r="AT20" i="82"/>
  <c r="BD22" i="82"/>
  <c r="AT23" i="82"/>
  <c r="BD25" i="82"/>
  <c r="AT26" i="82"/>
  <c r="BD28" i="82"/>
  <c r="AV29" i="82"/>
  <c r="BG31" i="82"/>
  <c r="BG30" i="82"/>
  <c r="BF21" i="82"/>
  <c r="BF24" i="82"/>
  <c r="BF27" i="82"/>
  <c r="AV20" i="82"/>
  <c r="BE22" i="82"/>
  <c r="AV23" i="82"/>
  <c r="BE25" i="82"/>
  <c r="AV26" i="82"/>
  <c r="BE28" i="82"/>
  <c r="AW29" i="82"/>
  <c r="AO30" i="82"/>
  <c r="BH31" i="82"/>
  <c r="BF22" i="82"/>
  <c r="BF25" i="82"/>
  <c r="BF28" i="82"/>
  <c r="AX29" i="82"/>
  <c r="AP30" i="82"/>
  <c r="BC29" i="82"/>
  <c r="BC20" i="82"/>
  <c r="BE20" i="82"/>
  <c r="AZ30" i="82"/>
  <c r="AP29" i="82"/>
  <c r="BA22" i="82"/>
  <c r="AR23" i="82"/>
  <c r="BA25" i="82"/>
  <c r="AS29" i="82"/>
  <c r="AW23" i="82"/>
  <c r="AW26" i="82"/>
  <c r="AX20" i="82"/>
  <c r="AO21" i="82"/>
  <c r="BG22" i="82"/>
  <c r="AX23" i="82"/>
  <c r="AO24" i="82"/>
  <c r="BG25" i="82"/>
  <c r="AX26" i="82"/>
  <c r="AO27" i="82"/>
  <c r="BG28" i="82"/>
  <c r="AY29" i="82"/>
  <c r="AQ30" i="82"/>
  <c r="BD29" i="82"/>
  <c r="BD26" i="82"/>
  <c r="BH20" i="82"/>
  <c r="AO23" i="82"/>
  <c r="AO26" i="82"/>
  <c r="AR20" i="82"/>
  <c r="AW20" i="82"/>
  <c r="BA20" i="81"/>
  <c r="BA26" i="81"/>
  <c r="BE26" i="81"/>
  <c r="BF23" i="81"/>
  <c r="BG29" i="81"/>
  <c r="BG23" i="81"/>
  <c r="BD21" i="81"/>
  <c r="BD24" i="81"/>
  <c r="BD27" i="81"/>
  <c r="BF30" i="81"/>
  <c r="BD23" i="81"/>
  <c r="BG20" i="81"/>
  <c r="BG26" i="81"/>
  <c r="BC24" i="81"/>
  <c r="AO20" i="81"/>
  <c r="BG21" i="81"/>
  <c r="AO23" i="81"/>
  <c r="BG24" i="81"/>
  <c r="AO26" i="81"/>
  <c r="BG27" i="81"/>
  <c r="AP29" i="81"/>
  <c r="BA31" i="81"/>
  <c r="BC26" i="81"/>
  <c r="BG30" i="81"/>
  <c r="BH24" i="81"/>
  <c r="AP26" i="81"/>
  <c r="BH27" i="81"/>
  <c r="AQ29" i="81"/>
  <c r="BC31" i="81"/>
  <c r="BE23" i="81"/>
  <c r="BH29" i="81"/>
  <c r="AQ20" i="81"/>
  <c r="AZ22" i="81"/>
  <c r="AQ23" i="81"/>
  <c r="AZ25" i="81"/>
  <c r="AQ26" i="81"/>
  <c r="AZ28" i="81"/>
  <c r="AR29" i="81"/>
  <c r="BD31" i="81"/>
  <c r="BD26" i="81"/>
  <c r="BF29" i="81"/>
  <c r="BF20" i="81"/>
  <c r="BH23" i="81"/>
  <c r="BA30" i="81"/>
  <c r="BH30" i="81"/>
  <c r="AR23" i="81"/>
  <c r="BA28" i="81"/>
  <c r="AS29" i="81"/>
  <c r="BE31" i="81"/>
  <c r="BC30" i="81"/>
  <c r="BA21" i="81"/>
  <c r="BC21" i="81"/>
  <c r="BE30" i="81"/>
  <c r="BE24" i="81"/>
  <c r="BF24" i="81"/>
  <c r="BC22" i="81"/>
  <c r="AS23" i="81"/>
  <c r="BC25" i="81"/>
  <c r="AS26" i="81"/>
  <c r="BC28" i="81"/>
  <c r="AT29" i="81"/>
  <c r="BF31" i="81"/>
  <c r="BC27" i="81"/>
  <c r="BE27" i="81"/>
  <c r="BF27" i="81"/>
  <c r="BH21" i="81"/>
  <c r="BA22" i="81"/>
  <c r="AT20" i="81"/>
  <c r="BD22" i="81"/>
  <c r="AT23" i="81"/>
  <c r="BD25" i="81"/>
  <c r="AT26" i="81"/>
  <c r="BD28" i="81"/>
  <c r="AV29" i="81"/>
  <c r="BG31" i="81"/>
  <c r="BC20" i="81"/>
  <c r="BE21" i="81"/>
  <c r="BF21" i="81"/>
  <c r="AP20" i="81"/>
  <c r="AR20" i="81"/>
  <c r="AR26" i="81"/>
  <c r="AV20" i="81"/>
  <c r="BE22" i="81"/>
  <c r="AV23" i="81"/>
  <c r="BE25" i="81"/>
  <c r="AV26" i="81"/>
  <c r="BE28" i="81"/>
  <c r="AW29" i="81"/>
  <c r="AO30" i="81"/>
  <c r="BC23" i="81"/>
  <c r="BA27" i="81"/>
  <c r="AP23" i="81"/>
  <c r="AS20" i="81"/>
  <c r="AW20" i="81"/>
  <c r="BF22" i="81"/>
  <c r="AW23" i="81"/>
  <c r="BF25" i="81"/>
  <c r="AW26" i="81"/>
  <c r="BF28" i="81"/>
  <c r="AX29" i="81"/>
  <c r="AP30" i="81"/>
  <c r="BC29" i="81"/>
  <c r="BE20" i="81"/>
  <c r="BD30" i="81"/>
  <c r="AX20" i="81"/>
  <c r="AO21" i="81"/>
  <c r="BG22" i="81"/>
  <c r="AX23" i="81"/>
  <c r="AO24" i="81"/>
  <c r="BG25" i="81"/>
  <c r="AX26" i="81"/>
  <c r="AO27" i="81"/>
  <c r="BG28" i="81"/>
  <c r="AY29" i="81"/>
  <c r="AQ30" i="81"/>
  <c r="BA23" i="81"/>
  <c r="BD29" i="81"/>
  <c r="BD20" i="81"/>
  <c r="BE29" i="81"/>
  <c r="BF26" i="81"/>
  <c r="BH20" i="81"/>
  <c r="BH26" i="81"/>
  <c r="AO29" i="81"/>
  <c r="AP75" i="16"/>
  <c r="BA75" i="16" s="1"/>
  <c r="AA15" i="101" l="1"/>
  <c r="AX15" i="101"/>
  <c r="AH22" i="88"/>
  <c r="AH23" i="90"/>
  <c r="AI27" i="83"/>
  <c r="AH21" i="85"/>
  <c r="AI30" i="86"/>
  <c r="AI24" i="87"/>
  <c r="AH27" i="87"/>
  <c r="AI23" i="90"/>
  <c r="AK23" i="90" s="1"/>
  <c r="AH24" i="93"/>
  <c r="AH28" i="95"/>
  <c r="AI27" i="97"/>
  <c r="AH28" i="98"/>
  <c r="AH25" i="98"/>
  <c r="AH25" i="99"/>
  <c r="EE15" i="82"/>
  <c r="GO15" i="82"/>
  <c r="HJ15" i="82"/>
  <c r="GM15" i="82"/>
  <c r="FM15" i="82"/>
  <c r="FH15" i="82"/>
  <c r="FQ15" i="82"/>
  <c r="EP15" i="82"/>
  <c r="HD15" i="82"/>
  <c r="HM15" i="82"/>
  <c r="GS15" i="82"/>
  <c r="HN15" i="82"/>
  <c r="HR15" i="82"/>
  <c r="EF15" i="82"/>
  <c r="EA15" i="82"/>
  <c r="FW15" i="82"/>
  <c r="FU15" i="82"/>
  <c r="EQ15" i="82"/>
  <c r="GL15" i="82"/>
  <c r="EJ15" i="82"/>
  <c r="GA15" i="82"/>
  <c r="EB15" i="82"/>
  <c r="EY15" i="82"/>
  <c r="GN15" i="82"/>
  <c r="FF15" i="82"/>
  <c r="EH15" i="82"/>
  <c r="EU15" i="82"/>
  <c r="FI15" i="82"/>
  <c r="EG15" i="82"/>
  <c r="GP15" i="82"/>
  <c r="EO15" i="82"/>
  <c r="GB15" i="82"/>
  <c r="GX15" i="82"/>
  <c r="GR15" i="82"/>
  <c r="EL15" i="82"/>
  <c r="DY15" i="82"/>
  <c r="FV15" i="82"/>
  <c r="ER15" i="82"/>
  <c r="FN15" i="82"/>
  <c r="GV15" i="82"/>
  <c r="EC15" i="82"/>
  <c r="EZ15" i="82"/>
  <c r="HI15" i="82"/>
  <c r="EN15" i="82"/>
  <c r="HC15" i="82"/>
  <c r="FS15" i="82"/>
  <c r="FO15" i="82"/>
  <c r="EW15" i="82"/>
  <c r="FX15" i="82"/>
  <c r="HE15" i="82"/>
  <c r="HL15" i="82"/>
  <c r="DX15" i="82"/>
  <c r="FC15" i="82"/>
  <c r="FJ15" i="82"/>
  <c r="FB15" i="82"/>
  <c r="HB15" i="82"/>
  <c r="GZ15" i="82"/>
  <c r="HS15" i="82"/>
  <c r="GD15" i="82"/>
  <c r="GK15" i="82"/>
  <c r="GI15" i="82"/>
  <c r="ES15" i="82"/>
  <c r="GH15" i="82"/>
  <c r="GU15" i="82"/>
  <c r="HH15" i="82"/>
  <c r="FD15" i="82"/>
  <c r="FY15" i="82"/>
  <c r="HP15" i="82"/>
  <c r="EX15" i="82"/>
  <c r="FA15" i="82"/>
  <c r="EM15" i="82"/>
  <c r="GC15" i="82"/>
  <c r="FL15" i="82"/>
  <c r="GE15" i="82"/>
  <c r="EK15" i="82"/>
  <c r="FZ15" i="82"/>
  <c r="HF15" i="82"/>
  <c r="FK15" i="82"/>
  <c r="HO15" i="82"/>
  <c r="FR15" i="82"/>
  <c r="ET15" i="82"/>
  <c r="GW15" i="82"/>
  <c r="GF15" i="82"/>
  <c r="DZ15" i="82"/>
  <c r="FT15" i="82"/>
  <c r="HK15" i="82"/>
  <c r="FE15" i="82"/>
  <c r="FG15" i="82"/>
  <c r="GJ15" i="82"/>
  <c r="DW15" i="82"/>
  <c r="FP15" i="82"/>
  <c r="HA15" i="82"/>
  <c r="HQ15" i="82"/>
  <c r="ED15" i="82"/>
  <c r="GQ15" i="82"/>
  <c r="GY15" i="82"/>
  <c r="AI27" i="82"/>
  <c r="CL14" i="82"/>
  <c r="CM14" i="82" s="1"/>
  <c r="HO13" i="82"/>
  <c r="HI13" i="82"/>
  <c r="HB13" i="82"/>
  <c r="FK13" i="82"/>
  <c r="FA13" i="82"/>
  <c r="FY13" i="82"/>
  <c r="GI13" i="82"/>
  <c r="ES13" i="82"/>
  <c r="HM13" i="82"/>
  <c r="HD13" i="82"/>
  <c r="HE13" i="82"/>
  <c r="DY13" i="82"/>
  <c r="EW13" i="82"/>
  <c r="FL13" i="82"/>
  <c r="GY13" i="82"/>
  <c r="FV13" i="82"/>
  <c r="ED13" i="82"/>
  <c r="EM13" i="82"/>
  <c r="EZ13" i="82"/>
  <c r="EA13" i="82"/>
  <c r="GE13" i="82"/>
  <c r="HC13" i="82"/>
  <c r="FD13" i="82"/>
  <c r="EB13" i="82"/>
  <c r="ER13" i="82"/>
  <c r="HH13" i="82"/>
  <c r="HL13" i="82"/>
  <c r="HN13" i="82"/>
  <c r="FG13" i="82"/>
  <c r="HR13" i="82"/>
  <c r="FI13" i="82"/>
  <c r="FF13" i="82"/>
  <c r="FW13" i="82"/>
  <c r="EF13" i="82"/>
  <c r="GB13" i="82"/>
  <c r="FM13" i="82"/>
  <c r="EU13" i="82"/>
  <c r="GP13" i="82"/>
  <c r="HP13" i="82"/>
  <c r="EQ13" i="82"/>
  <c r="GZ13" i="82"/>
  <c r="GK13" i="82"/>
  <c r="FQ13" i="82"/>
  <c r="GO13" i="82"/>
  <c r="EP13" i="82"/>
  <c r="EX13" i="82"/>
  <c r="GV13" i="82"/>
  <c r="EN13" i="82"/>
  <c r="GL13" i="82"/>
  <c r="FC13" i="82"/>
  <c r="EC13" i="82"/>
  <c r="FS13" i="82"/>
  <c r="FO13" i="82"/>
  <c r="GC13" i="82"/>
  <c r="FT13" i="82"/>
  <c r="GQ13" i="82"/>
  <c r="GA13" i="82"/>
  <c r="DX13" i="82"/>
  <c r="FJ13" i="82"/>
  <c r="FZ13" i="82"/>
  <c r="GS13" i="82"/>
  <c r="EG13" i="82"/>
  <c r="HJ13" i="82"/>
  <c r="HQ13" i="82"/>
  <c r="FX13" i="82"/>
  <c r="FE13" i="82"/>
  <c r="EH13" i="82"/>
  <c r="GN13" i="82"/>
  <c r="FU13" i="82"/>
  <c r="FR13" i="82"/>
  <c r="HA13" i="82"/>
  <c r="HS13" i="82"/>
  <c r="EE13" i="82"/>
  <c r="GW13" i="82"/>
  <c r="GX13" i="82"/>
  <c r="FP13" i="82"/>
  <c r="FB13" i="82"/>
  <c r="HF13" i="82"/>
  <c r="DW13" i="82"/>
  <c r="EK13" i="82"/>
  <c r="EY13" i="82"/>
  <c r="GH13" i="82"/>
  <c r="HK13" i="82"/>
  <c r="GF13" i="82"/>
  <c r="DZ13" i="82"/>
  <c r="GU13" i="82"/>
  <c r="GM13" i="82"/>
  <c r="ET13" i="82"/>
  <c r="EL13" i="82"/>
  <c r="EO13" i="82"/>
  <c r="EJ13" i="82"/>
  <c r="FH13" i="82"/>
  <c r="GJ13" i="82"/>
  <c r="FN13" i="82"/>
  <c r="GR13" i="82"/>
  <c r="GD13" i="82"/>
  <c r="AB15" i="101"/>
  <c r="AC15" i="101" s="1"/>
  <c r="CS13" i="100"/>
  <c r="CZ13" i="100" s="1"/>
  <c r="BQ33" i="101"/>
  <c r="BS33" i="101" s="1"/>
  <c r="CR13" i="100"/>
  <c r="CY13" i="100" s="1"/>
  <c r="BP33" i="101"/>
  <c r="BR33" i="101" s="1"/>
  <c r="CS13" i="99"/>
  <c r="CZ13" i="99" s="1"/>
  <c r="BQ32" i="101"/>
  <c r="BS32" i="101" s="1"/>
  <c r="CR13" i="99"/>
  <c r="CY13" i="99" s="1"/>
  <c r="BP32" i="101"/>
  <c r="BR32" i="101" s="1"/>
  <c r="CS13" i="98"/>
  <c r="CZ13" i="98" s="1"/>
  <c r="BQ31" i="101"/>
  <c r="BS31" i="101" s="1"/>
  <c r="CR13" i="98"/>
  <c r="CY13" i="98" s="1"/>
  <c r="BP31" i="101"/>
  <c r="BR31" i="101" s="1"/>
  <c r="CR13" i="97"/>
  <c r="CY13" i="97" s="1"/>
  <c r="BP30" i="101"/>
  <c r="BR30" i="101" s="1"/>
  <c r="CS13" i="97"/>
  <c r="CZ13" i="97" s="1"/>
  <c r="BQ30" i="101"/>
  <c r="BS30" i="101" s="1"/>
  <c r="CR13" i="96"/>
  <c r="CY13" i="96" s="1"/>
  <c r="BP29" i="101"/>
  <c r="BR29" i="101" s="1"/>
  <c r="CS13" i="96"/>
  <c r="CZ13" i="96" s="1"/>
  <c r="BQ29" i="101"/>
  <c r="BS29" i="101" s="1"/>
  <c r="CR13" i="95"/>
  <c r="CY13" i="95" s="1"/>
  <c r="BP28" i="101"/>
  <c r="BR28" i="101" s="1"/>
  <c r="CS13" i="95"/>
  <c r="CZ13" i="95" s="1"/>
  <c r="BQ28" i="101"/>
  <c r="BS28" i="101" s="1"/>
  <c r="CR13" i="94"/>
  <c r="CY13" i="94" s="1"/>
  <c r="BP27" i="101"/>
  <c r="BR27" i="101" s="1"/>
  <c r="CS13" i="94"/>
  <c r="CZ13" i="94" s="1"/>
  <c r="BQ27" i="101"/>
  <c r="BS27" i="101" s="1"/>
  <c r="CS13" i="93"/>
  <c r="CZ13" i="93" s="1"/>
  <c r="BQ26" i="101"/>
  <c r="BS26" i="101" s="1"/>
  <c r="CR13" i="93"/>
  <c r="CY13" i="93" s="1"/>
  <c r="BP26" i="101"/>
  <c r="BR26" i="101" s="1"/>
  <c r="CS13" i="92"/>
  <c r="CZ13" i="92" s="1"/>
  <c r="BQ25" i="101"/>
  <c r="BS25" i="101" s="1"/>
  <c r="CR13" i="92"/>
  <c r="CY13" i="92" s="1"/>
  <c r="BP25" i="101"/>
  <c r="BR25" i="101" s="1"/>
  <c r="CR13" i="91"/>
  <c r="CY13" i="91" s="1"/>
  <c r="BP24" i="101"/>
  <c r="BR24" i="101" s="1"/>
  <c r="CS13" i="91"/>
  <c r="CZ13" i="91" s="1"/>
  <c r="BQ24" i="101"/>
  <c r="BS24" i="101" s="1"/>
  <c r="CR13" i="90"/>
  <c r="CY13" i="90" s="1"/>
  <c r="BP23" i="101"/>
  <c r="BR23" i="101" s="1"/>
  <c r="CS13" i="90"/>
  <c r="CZ13" i="90" s="1"/>
  <c r="BQ23" i="101"/>
  <c r="BS23" i="101" s="1"/>
  <c r="CR13" i="89"/>
  <c r="CY13" i="89" s="1"/>
  <c r="BP22" i="101"/>
  <c r="BR22" i="101" s="1"/>
  <c r="CS13" i="89"/>
  <c r="CZ13" i="89" s="1"/>
  <c r="BQ22" i="101"/>
  <c r="BS22" i="101" s="1"/>
  <c r="CS13" i="88"/>
  <c r="CZ13" i="88" s="1"/>
  <c r="BQ21" i="101"/>
  <c r="BS21" i="101" s="1"/>
  <c r="CR13" i="88"/>
  <c r="CY13" i="88" s="1"/>
  <c r="BP21" i="101"/>
  <c r="BR21" i="101" s="1"/>
  <c r="CR13" i="87"/>
  <c r="CY13" i="87" s="1"/>
  <c r="BP20" i="101"/>
  <c r="BR20" i="101" s="1"/>
  <c r="CS13" i="87"/>
  <c r="CZ13" i="87" s="1"/>
  <c r="BQ20" i="101"/>
  <c r="BS20" i="101" s="1"/>
  <c r="CR13" i="86"/>
  <c r="CY13" i="86" s="1"/>
  <c r="BP19" i="101"/>
  <c r="BR19" i="101" s="1"/>
  <c r="CS13" i="86"/>
  <c r="CZ13" i="86" s="1"/>
  <c r="BQ19" i="101"/>
  <c r="BS19" i="101" s="1"/>
  <c r="CS13" i="85"/>
  <c r="CZ13" i="85" s="1"/>
  <c r="BQ18" i="101"/>
  <c r="BS18" i="101" s="1"/>
  <c r="CR13" i="85"/>
  <c r="CY13" i="85" s="1"/>
  <c r="BP18" i="101"/>
  <c r="BR18" i="101" s="1"/>
  <c r="CR13" i="84"/>
  <c r="CY13" i="84" s="1"/>
  <c r="BP17" i="101"/>
  <c r="BR17" i="101" s="1"/>
  <c r="CS13" i="84"/>
  <c r="CZ13" i="84" s="1"/>
  <c r="BQ17" i="101"/>
  <c r="BS17" i="101" s="1"/>
  <c r="CS13" i="83"/>
  <c r="CZ13" i="83" s="1"/>
  <c r="BQ16" i="101"/>
  <c r="BS16" i="101" s="1"/>
  <c r="CR13" i="83"/>
  <c r="CY13" i="83" s="1"/>
  <c r="BP16" i="101"/>
  <c r="BR16" i="101" s="1"/>
  <c r="CR13" i="82"/>
  <c r="CY13" i="82" s="1"/>
  <c r="BP15" i="101"/>
  <c r="BR15" i="101" s="1"/>
  <c r="CS13" i="82"/>
  <c r="CZ13" i="82" s="1"/>
  <c r="BQ15" i="101"/>
  <c r="BS15" i="101" s="1"/>
  <c r="CR13" i="81"/>
  <c r="CY13" i="81" s="1"/>
  <c r="BP14" i="101"/>
  <c r="BR14" i="101" s="1"/>
  <c r="CS13" i="81"/>
  <c r="CZ13" i="81" s="1"/>
  <c r="BQ14" i="101"/>
  <c r="BS14" i="101" s="1"/>
  <c r="AH31" i="100"/>
  <c r="AH25" i="100"/>
  <c r="AH22" i="100"/>
  <c r="AI27" i="100"/>
  <c r="AH24" i="100"/>
  <c r="AH28" i="100"/>
  <c r="AH21" i="100"/>
  <c r="AI30" i="100"/>
  <c r="AH27" i="100"/>
  <c r="AI21" i="100"/>
  <c r="AK21" i="100" s="1"/>
  <c r="AI26" i="100"/>
  <c r="AH30" i="100"/>
  <c r="AI31" i="100"/>
  <c r="AI24" i="100"/>
  <c r="AI30" i="99"/>
  <c r="AH23" i="99"/>
  <c r="AH28" i="99"/>
  <c r="AI25" i="99"/>
  <c r="AK25" i="99" s="1"/>
  <c r="AH22" i="99"/>
  <c r="AH24" i="99"/>
  <c r="AI31" i="99"/>
  <c r="AH21" i="99"/>
  <c r="AH29" i="99"/>
  <c r="AH26" i="99"/>
  <c r="AH20" i="99"/>
  <c r="AI27" i="99"/>
  <c r="AH30" i="99"/>
  <c r="AI24" i="99"/>
  <c r="AI21" i="99"/>
  <c r="AH27" i="99"/>
  <c r="AK27" i="99" s="1"/>
  <c r="AH22" i="98"/>
  <c r="AI30" i="98"/>
  <c r="AI28" i="98"/>
  <c r="AH31" i="98"/>
  <c r="AI25" i="98"/>
  <c r="AH27" i="98"/>
  <c r="AH24" i="98"/>
  <c r="AI24" i="98"/>
  <c r="AH21" i="98"/>
  <c r="AH20" i="98"/>
  <c r="AI21" i="98"/>
  <c r="AI27" i="98"/>
  <c r="AI22" i="98"/>
  <c r="AH23" i="98"/>
  <c r="AI31" i="98"/>
  <c r="AH29" i="98"/>
  <c r="AH30" i="98"/>
  <c r="AH26" i="98"/>
  <c r="AH25" i="97"/>
  <c r="AH23" i="97"/>
  <c r="AI24" i="97"/>
  <c r="AH20" i="97"/>
  <c r="AH31" i="97"/>
  <c r="AI30" i="97"/>
  <c r="AH28" i="97"/>
  <c r="AH30" i="97"/>
  <c r="AK30" i="97" s="1"/>
  <c r="AI21" i="97"/>
  <c r="AH24" i="97"/>
  <c r="AK24" i="97" s="1"/>
  <c r="AH27" i="97"/>
  <c r="AH21" i="97"/>
  <c r="AK21" i="97" s="1"/>
  <c r="AI31" i="97"/>
  <c r="AH26" i="97"/>
  <c r="AH29" i="97"/>
  <c r="AK29" i="97" s="1"/>
  <c r="AH22" i="97"/>
  <c r="AH22" i="96"/>
  <c r="AI22" i="96"/>
  <c r="AH27" i="96"/>
  <c r="AH20" i="96"/>
  <c r="AH30" i="96"/>
  <c r="AH24" i="96"/>
  <c r="AI20" i="96"/>
  <c r="AH28" i="96"/>
  <c r="AI25" i="96"/>
  <c r="AI28" i="96"/>
  <c r="AH31" i="96"/>
  <c r="AH25" i="96"/>
  <c r="AI21" i="96"/>
  <c r="AI30" i="96"/>
  <c r="AH21" i="96"/>
  <c r="AH26" i="96"/>
  <c r="AI24" i="96"/>
  <c r="AH23" i="96"/>
  <c r="AI27" i="96"/>
  <c r="AI31" i="96"/>
  <c r="AH29" i="96"/>
  <c r="AI23" i="96"/>
  <c r="AH24" i="95"/>
  <c r="AH22" i="95"/>
  <c r="AI24" i="95"/>
  <c r="AH31" i="95"/>
  <c r="AH27" i="95"/>
  <c r="AI28" i="95"/>
  <c r="AH25" i="95"/>
  <c r="AI22" i="95"/>
  <c r="AH21" i="95"/>
  <c r="AH30" i="95"/>
  <c r="AH26" i="95"/>
  <c r="AI25" i="95"/>
  <c r="AH29" i="95"/>
  <c r="AH23" i="95"/>
  <c r="AI29" i="95"/>
  <c r="AH20" i="95"/>
  <c r="AI30" i="95"/>
  <c r="AI27" i="95"/>
  <c r="AK28" i="95"/>
  <c r="AI21" i="95"/>
  <c r="AH22" i="94"/>
  <c r="AH24" i="94"/>
  <c r="AH31" i="94"/>
  <c r="AH28" i="94"/>
  <c r="AI22" i="94"/>
  <c r="AI24" i="94"/>
  <c r="AH27" i="94"/>
  <c r="AH23" i="94"/>
  <c r="AI21" i="94"/>
  <c r="AI23" i="94"/>
  <c r="AH20" i="94"/>
  <c r="AI31" i="94"/>
  <c r="AI20" i="94"/>
  <c r="AH29" i="94"/>
  <c r="AH25" i="94"/>
  <c r="AH21" i="94"/>
  <c r="AI30" i="94"/>
  <c r="AI25" i="94"/>
  <c r="AI29" i="94"/>
  <c r="AH30" i="94"/>
  <c r="AH26" i="94"/>
  <c r="AI27" i="94"/>
  <c r="AI29" i="93"/>
  <c r="AH31" i="93"/>
  <c r="AH25" i="93"/>
  <c r="AI20" i="93"/>
  <c r="AI30" i="93"/>
  <c r="AH21" i="93"/>
  <c r="AH28" i="93"/>
  <c r="AH22" i="93"/>
  <c r="AI25" i="93"/>
  <c r="AI21" i="93"/>
  <c r="AH27" i="93"/>
  <c r="AH20" i="93"/>
  <c r="AH23" i="93"/>
  <c r="AI31" i="93"/>
  <c r="AH26" i="93"/>
  <c r="AI27" i="93"/>
  <c r="AI26" i="93"/>
  <c r="AI24" i="93"/>
  <c r="AI28" i="93"/>
  <c r="AH27" i="92"/>
  <c r="AK27" i="92" s="1"/>
  <c r="AH22" i="92"/>
  <c r="AI26" i="92"/>
  <c r="AI30" i="92"/>
  <c r="AH23" i="92"/>
  <c r="AH25" i="92"/>
  <c r="AI22" i="92"/>
  <c r="AH31" i="92"/>
  <c r="AI25" i="92"/>
  <c r="AI24" i="92"/>
  <c r="AH26" i="92"/>
  <c r="AK26" i="92" s="1"/>
  <c r="AI21" i="92"/>
  <c r="AI29" i="92"/>
  <c r="AI20" i="92"/>
  <c r="AH24" i="92"/>
  <c r="AH29" i="92"/>
  <c r="AI31" i="92"/>
  <c r="AH30" i="92"/>
  <c r="AK30" i="92" s="1"/>
  <c r="AI30" i="91"/>
  <c r="AI27" i="91"/>
  <c r="AH28" i="91"/>
  <c r="AH21" i="91"/>
  <c r="AH25" i="91"/>
  <c r="AH27" i="91"/>
  <c r="AI26" i="91"/>
  <c r="AH22" i="91"/>
  <c r="AH31" i="91"/>
  <c r="AH24" i="91"/>
  <c r="AH29" i="91"/>
  <c r="AI24" i="91"/>
  <c r="AH23" i="91"/>
  <c r="AI23" i="91"/>
  <c r="AI25" i="91"/>
  <c r="AH26" i="91"/>
  <c r="AI28" i="91"/>
  <c r="AI22" i="91"/>
  <c r="AI21" i="90"/>
  <c r="AH26" i="90"/>
  <c r="AH28" i="90"/>
  <c r="AH25" i="90"/>
  <c r="AI22" i="90"/>
  <c r="AH22" i="90"/>
  <c r="AH24" i="90"/>
  <c r="AH20" i="90"/>
  <c r="AI31" i="90"/>
  <c r="AH27" i="90"/>
  <c r="AH31" i="90"/>
  <c r="AI30" i="90"/>
  <c r="AI26" i="90"/>
  <c r="AH21" i="90"/>
  <c r="AI29" i="90"/>
  <c r="AH30" i="90"/>
  <c r="AI30" i="89"/>
  <c r="AI27" i="89"/>
  <c r="AH25" i="89"/>
  <c r="AH24" i="89"/>
  <c r="AI26" i="89"/>
  <c r="AH28" i="89"/>
  <c r="AH21" i="89"/>
  <c r="AH23" i="89"/>
  <c r="AH22" i="89"/>
  <c r="AH30" i="89"/>
  <c r="AH31" i="89"/>
  <c r="AI28" i="89"/>
  <c r="AI31" i="89"/>
  <c r="AI21" i="89"/>
  <c r="AH27" i="89"/>
  <c r="AI25" i="89"/>
  <c r="AI24" i="89"/>
  <c r="AI22" i="89"/>
  <c r="AI23" i="89"/>
  <c r="AI29" i="89"/>
  <c r="AI23" i="88"/>
  <c r="AH25" i="88"/>
  <c r="AI31" i="88"/>
  <c r="AI22" i="88"/>
  <c r="AH21" i="88"/>
  <c r="AI26" i="88"/>
  <c r="AH30" i="88"/>
  <c r="AH23" i="88"/>
  <c r="AI24" i="88"/>
  <c r="AI21" i="88"/>
  <c r="AH26" i="88"/>
  <c r="AI20" i="88"/>
  <c r="AI25" i="88"/>
  <c r="AH26" i="87"/>
  <c r="AI22" i="87"/>
  <c r="AI23" i="87"/>
  <c r="AH24" i="87"/>
  <c r="AK24" i="87" s="1"/>
  <c r="AH21" i="87"/>
  <c r="AH25" i="87"/>
  <c r="AH23" i="87"/>
  <c r="AK23" i="87" s="1"/>
  <c r="AH22" i="87"/>
  <c r="AH29" i="87"/>
  <c r="AI26" i="87"/>
  <c r="AI25" i="87"/>
  <c r="AH28" i="87"/>
  <c r="AI30" i="87"/>
  <c r="AH31" i="87"/>
  <c r="AI21" i="87"/>
  <c r="AI27" i="87"/>
  <c r="AH30" i="86"/>
  <c r="AI25" i="86"/>
  <c r="AI29" i="86"/>
  <c r="AI22" i="86"/>
  <c r="AI31" i="86"/>
  <c r="AH22" i="86"/>
  <c r="AH31" i="86"/>
  <c r="AH28" i="86"/>
  <c r="AH27" i="86"/>
  <c r="AI28" i="86"/>
  <c r="AH24" i="86"/>
  <c r="AI27" i="86"/>
  <c r="AI26" i="86"/>
  <c r="AH23" i="86"/>
  <c r="AI23" i="86"/>
  <c r="AH21" i="86"/>
  <c r="AH20" i="86"/>
  <c r="AI21" i="85"/>
  <c r="AI26" i="85"/>
  <c r="AI22" i="85"/>
  <c r="AI27" i="85"/>
  <c r="AH31" i="85"/>
  <c r="AH28" i="85"/>
  <c r="AH24" i="85"/>
  <c r="AI25" i="85"/>
  <c r="AH27" i="85"/>
  <c r="AH22" i="85"/>
  <c r="AI28" i="85"/>
  <c r="AI30" i="85"/>
  <c r="AI31" i="85"/>
  <c r="AH30" i="85"/>
  <c r="AK30" i="85" s="1"/>
  <c r="AI20" i="85"/>
  <c r="AH29" i="85"/>
  <c r="AH25" i="85"/>
  <c r="AK25" i="85" s="1"/>
  <c r="AH26" i="85"/>
  <c r="AH26" i="84"/>
  <c r="AH23" i="84"/>
  <c r="AI23" i="84"/>
  <c r="AH27" i="84"/>
  <c r="AK27" i="84" s="1"/>
  <c r="AI24" i="84"/>
  <c r="AH31" i="84"/>
  <c r="AI21" i="84"/>
  <c r="AH24" i="84"/>
  <c r="AH21" i="84"/>
  <c r="AI30" i="84"/>
  <c r="AH25" i="84"/>
  <c r="AI22" i="84"/>
  <c r="AH22" i="84"/>
  <c r="AI25" i="84"/>
  <c r="AI26" i="84"/>
  <c r="AI31" i="84"/>
  <c r="AI20" i="84"/>
  <c r="AH24" i="83"/>
  <c r="AH21" i="83"/>
  <c r="AH20" i="83"/>
  <c r="AH27" i="83"/>
  <c r="AH29" i="83"/>
  <c r="AI24" i="83"/>
  <c r="AH25" i="83"/>
  <c r="AK25" i="83" s="1"/>
  <c r="AI29" i="83"/>
  <c r="AI30" i="83"/>
  <c r="AH26" i="83"/>
  <c r="AH28" i="83"/>
  <c r="AI21" i="83"/>
  <c r="AI28" i="83"/>
  <c r="AI26" i="83"/>
  <c r="AH23" i="83"/>
  <c r="AI20" i="83"/>
  <c r="AH22" i="83"/>
  <c r="AH25" i="82"/>
  <c r="AI24" i="82"/>
  <c r="AH28" i="82"/>
  <c r="AH26" i="82"/>
  <c r="AH27" i="82"/>
  <c r="AH22" i="82"/>
  <c r="AH31" i="82"/>
  <c r="AH23" i="82"/>
  <c r="AH21" i="82"/>
  <c r="AH24" i="82"/>
  <c r="AH29" i="82"/>
  <c r="AH20" i="82"/>
  <c r="AH30" i="82"/>
  <c r="AI21" i="82"/>
  <c r="AI30" i="82"/>
  <c r="AH24" i="81"/>
  <c r="AH28" i="81"/>
  <c r="AI25" i="81"/>
  <c r="AK25" i="81" s="1"/>
  <c r="AH21" i="81"/>
  <c r="AI22" i="81"/>
  <c r="AH22" i="81"/>
  <c r="AH31" i="81"/>
  <c r="AI30" i="81"/>
  <c r="AI27" i="81"/>
  <c r="AH27" i="81"/>
  <c r="AI21" i="81"/>
  <c r="AH26" i="81"/>
  <c r="AI24" i="81"/>
  <c r="AI28" i="81"/>
  <c r="AH29" i="81"/>
  <c r="AI31" i="81"/>
  <c r="AK31" i="95"/>
  <c r="AH23" i="100"/>
  <c r="AH26" i="100"/>
  <c r="AK26" i="100" s="1"/>
  <c r="AH20" i="100"/>
  <c r="AH29" i="100"/>
  <c r="AH20" i="84"/>
  <c r="AK24" i="88"/>
  <c r="AH28" i="84"/>
  <c r="AH29" i="84"/>
  <c r="AH30" i="84"/>
  <c r="AK30" i="84" s="1"/>
  <c r="AH23" i="85"/>
  <c r="AH20" i="85"/>
  <c r="AH20" i="81"/>
  <c r="AH23" i="81"/>
  <c r="AH30" i="81"/>
  <c r="AK30" i="81" s="1"/>
  <c r="AI25" i="100"/>
  <c r="AI22" i="100"/>
  <c r="AI28" i="100"/>
  <c r="AI29" i="100"/>
  <c r="AI23" i="100"/>
  <c r="AI20" i="100"/>
  <c r="AI28" i="99"/>
  <c r="AI22" i="99"/>
  <c r="AI23" i="99"/>
  <c r="AI26" i="99"/>
  <c r="AI20" i="99"/>
  <c r="AK31" i="99"/>
  <c r="AI29" i="99"/>
  <c r="AI26" i="98"/>
  <c r="AI23" i="98"/>
  <c r="AI20" i="98"/>
  <c r="AI29" i="98"/>
  <c r="AI26" i="97"/>
  <c r="AI22" i="97"/>
  <c r="AI25" i="97"/>
  <c r="AI28" i="97"/>
  <c r="AI20" i="97"/>
  <c r="AI23" i="97"/>
  <c r="AI29" i="97"/>
  <c r="AI29" i="96"/>
  <c r="AI26" i="96"/>
  <c r="AI26" i="95"/>
  <c r="AI23" i="95"/>
  <c r="AI20" i="95"/>
  <c r="AI26" i="94"/>
  <c r="AI23" i="93"/>
  <c r="AI22" i="93"/>
  <c r="AH29" i="93"/>
  <c r="AK31" i="88"/>
  <c r="AI24" i="86"/>
  <c r="AK24" i="86"/>
  <c r="AH29" i="89"/>
  <c r="AI28" i="84"/>
  <c r="AH20" i="89"/>
  <c r="AI23" i="85"/>
  <c r="AH29" i="88"/>
  <c r="AI31" i="87"/>
  <c r="AI29" i="87"/>
  <c r="AI31" i="91"/>
  <c r="AI30" i="88"/>
  <c r="AI20" i="91"/>
  <c r="AH21" i="92"/>
  <c r="AK31" i="86"/>
  <c r="AI22" i="83"/>
  <c r="AH20" i="88"/>
  <c r="AI29" i="88"/>
  <c r="AI21" i="86"/>
  <c r="AH20" i="92"/>
  <c r="AI25" i="83"/>
  <c r="AI28" i="88"/>
  <c r="AH28" i="92"/>
  <c r="AI20" i="89"/>
  <c r="AH26" i="89"/>
  <c r="AH29" i="86"/>
  <c r="AH28" i="88"/>
  <c r="AI23" i="83"/>
  <c r="AI27" i="88"/>
  <c r="AH20" i="87"/>
  <c r="AI29" i="84"/>
  <c r="AI27" i="90"/>
  <c r="AI28" i="90"/>
  <c r="AI29" i="85"/>
  <c r="AI21" i="91"/>
  <c r="AI20" i="90"/>
  <c r="AI20" i="87"/>
  <c r="AH31" i="83"/>
  <c r="AH20" i="91"/>
  <c r="AI24" i="90"/>
  <c r="AH26" i="86"/>
  <c r="AI20" i="86"/>
  <c r="AH30" i="91"/>
  <c r="AI28" i="87"/>
  <c r="AI29" i="91"/>
  <c r="AI25" i="90"/>
  <c r="AI23" i="92"/>
  <c r="AI24" i="85"/>
  <c r="AI31" i="83"/>
  <c r="AI23" i="82"/>
  <c r="AI20" i="82"/>
  <c r="AI26" i="82"/>
  <c r="AI28" i="82"/>
  <c r="AI31" i="82"/>
  <c r="AI29" i="82"/>
  <c r="AI25" i="82"/>
  <c r="AI22" i="82"/>
  <c r="AI26" i="81"/>
  <c r="AI23" i="81"/>
  <c r="AI29" i="81"/>
  <c r="AI20" i="81"/>
  <c r="AK21" i="94" l="1"/>
  <c r="AK22" i="87"/>
  <c r="AK23" i="94"/>
  <c r="AK22" i="95"/>
  <c r="AK20" i="93"/>
  <c r="AK20" i="83"/>
  <c r="AK28" i="89"/>
  <c r="AK31" i="94"/>
  <c r="AK27" i="95"/>
  <c r="AK21" i="81"/>
  <c r="AK30" i="83"/>
  <c r="AK22" i="84"/>
  <c r="AK21" i="85"/>
  <c r="AK26" i="85"/>
  <c r="AK22" i="85"/>
  <c r="AK27" i="85"/>
  <c r="AK28" i="85"/>
  <c r="AK21" i="86"/>
  <c r="AK27" i="86"/>
  <c r="AK25" i="86"/>
  <c r="AK26" i="87"/>
  <c r="AK22" i="88"/>
  <c r="AK30" i="89"/>
  <c r="AK21" i="90"/>
  <c r="AK21" i="93"/>
  <c r="AK30" i="93"/>
  <c r="AK20" i="94"/>
  <c r="AK24" i="94"/>
  <c r="AK29" i="95"/>
  <c r="AK24" i="95"/>
  <c r="AK24" i="96"/>
  <c r="AK20" i="96"/>
  <c r="AK28" i="98"/>
  <c r="AK30" i="98"/>
  <c r="AK27" i="98"/>
  <c r="AK30" i="99"/>
  <c r="AK27" i="100"/>
  <c r="GT15" i="82"/>
  <c r="HT15" i="82"/>
  <c r="HG15" i="82"/>
  <c r="EV15" i="82"/>
  <c r="GG15" i="82"/>
  <c r="EI15" i="82"/>
  <c r="DV15" i="82"/>
  <c r="CX15" i="82" s="1"/>
  <c r="AK27" i="97"/>
  <c r="AK31" i="92"/>
  <c r="AK29" i="84"/>
  <c r="AK23" i="84"/>
  <c r="AK23" i="88"/>
  <c r="AK25" i="89"/>
  <c r="AK31" i="89"/>
  <c r="AK26" i="90"/>
  <c r="AK25" i="91"/>
  <c r="AK27" i="93"/>
  <c r="AK28" i="93"/>
  <c r="AK22" i="96"/>
  <c r="AK31" i="98"/>
  <c r="AK30" i="100"/>
  <c r="AK27" i="81"/>
  <c r="GO14" i="82"/>
  <c r="FK14" i="82"/>
  <c r="GS14" i="82"/>
  <c r="EQ14" i="82"/>
  <c r="GE14" i="82"/>
  <c r="GF14" i="82"/>
  <c r="GU14" i="82"/>
  <c r="EK14" i="82"/>
  <c r="EM14" i="82"/>
  <c r="GI14" i="82"/>
  <c r="FS14" i="82"/>
  <c r="DZ14" i="82"/>
  <c r="FU14" i="82"/>
  <c r="EN14" i="82"/>
  <c r="ES14" i="82"/>
  <c r="GK14" i="82"/>
  <c r="FD14" i="82"/>
  <c r="EE14" i="82"/>
  <c r="GC14" i="82"/>
  <c r="FJ14" i="82"/>
  <c r="GR14" i="82"/>
  <c r="FQ14" i="82"/>
  <c r="GV14" i="82"/>
  <c r="GQ14" i="82"/>
  <c r="FO14" i="82"/>
  <c r="EL14" i="82"/>
  <c r="HQ14" i="82"/>
  <c r="HB14" i="82"/>
  <c r="HN14" i="82"/>
  <c r="FY14" i="82"/>
  <c r="HI14" i="82"/>
  <c r="EX14" i="82"/>
  <c r="DY14" i="82"/>
  <c r="EZ14" i="82"/>
  <c r="EF14" i="82"/>
  <c r="EC14" i="82"/>
  <c r="EH14" i="82"/>
  <c r="GB14" i="82"/>
  <c r="FC14" i="82"/>
  <c r="GJ14" i="82"/>
  <c r="GW14" i="82"/>
  <c r="HD14" i="82"/>
  <c r="GM14" i="82"/>
  <c r="GH14" i="82"/>
  <c r="HC14" i="82"/>
  <c r="FR14" i="82"/>
  <c r="GY14" i="82"/>
  <c r="HA14" i="82"/>
  <c r="HO14" i="82"/>
  <c r="HS14" i="82"/>
  <c r="ET14" i="82"/>
  <c r="HR14" i="82"/>
  <c r="FV14" i="82"/>
  <c r="FA14" i="82"/>
  <c r="GL14" i="82"/>
  <c r="GZ14" i="82"/>
  <c r="GX14" i="82"/>
  <c r="FX14" i="82"/>
  <c r="HL14" i="82"/>
  <c r="GD14" i="82"/>
  <c r="FG14" i="82"/>
  <c r="HK14" i="82"/>
  <c r="HM14" i="82"/>
  <c r="HH14" i="82"/>
  <c r="FW14" i="82"/>
  <c r="FI14" i="82"/>
  <c r="DX14" i="82"/>
  <c r="FH14" i="82"/>
  <c r="EY14" i="82"/>
  <c r="EG14" i="82"/>
  <c r="HJ14" i="82"/>
  <c r="EW14" i="82"/>
  <c r="FP14" i="82"/>
  <c r="EA14" i="82"/>
  <c r="GA14" i="82"/>
  <c r="GN14" i="82"/>
  <c r="FT14" i="82"/>
  <c r="EP14" i="82"/>
  <c r="ER14" i="82"/>
  <c r="FF14" i="82"/>
  <c r="DW14" i="82"/>
  <c r="ED14" i="82"/>
  <c r="FN14" i="82"/>
  <c r="HE14" i="82"/>
  <c r="EJ14" i="82"/>
  <c r="FB14" i="82"/>
  <c r="GP14" i="82"/>
  <c r="EU14" i="82"/>
  <c r="EB14" i="82"/>
  <c r="FM14" i="82"/>
  <c r="FZ14" i="82"/>
  <c r="EO14" i="82"/>
  <c r="FE14" i="82"/>
  <c r="HP14" i="82"/>
  <c r="HF14" i="82"/>
  <c r="FL14" i="82"/>
  <c r="AB59" i="101"/>
  <c r="AC59" i="101" s="1"/>
  <c r="AK24" i="82"/>
  <c r="EV13" i="82"/>
  <c r="HG13" i="82"/>
  <c r="GG13" i="82"/>
  <c r="DV13" i="82"/>
  <c r="CX13" i="82" s="1"/>
  <c r="EI13" i="82"/>
  <c r="HT13" i="82"/>
  <c r="GT13" i="82"/>
  <c r="AK21" i="98"/>
  <c r="AK21" i="96"/>
  <c r="AK22" i="94"/>
  <c r="AK25" i="93"/>
  <c r="AK31" i="93"/>
  <c r="AK24" i="92"/>
  <c r="AK22" i="90"/>
  <c r="AK22" i="89"/>
  <c r="AK25" i="88"/>
  <c r="AK30" i="86"/>
  <c r="AK21" i="84"/>
  <c r="AK24" i="83"/>
  <c r="AK27" i="83"/>
  <c r="AK30" i="82"/>
  <c r="AK27" i="82"/>
  <c r="W13" i="81"/>
  <c r="AK22" i="81"/>
  <c r="AK31" i="100"/>
  <c r="AK24" i="100"/>
  <c r="AK21" i="99"/>
  <c r="AK24" i="99"/>
  <c r="AK24" i="98"/>
  <c r="AK25" i="98"/>
  <c r="AK22" i="98"/>
  <c r="AK20" i="97"/>
  <c r="AK31" i="97"/>
  <c r="AK25" i="97"/>
  <c r="AK25" i="96"/>
  <c r="AK23" i="96"/>
  <c r="AK28" i="96"/>
  <c r="AK27" i="96"/>
  <c r="AK30" i="96"/>
  <c r="AK31" i="96"/>
  <c r="AK30" i="95"/>
  <c r="AK25" i="95"/>
  <c r="AK21" i="95"/>
  <c r="AK30" i="94"/>
  <c r="AK27" i="94"/>
  <c r="AK25" i="94"/>
  <c r="AK28" i="94"/>
  <c r="AK29" i="94"/>
  <c r="AK24" i="93"/>
  <c r="AK26" i="93"/>
  <c r="AK25" i="92"/>
  <c r="AK29" i="92"/>
  <c r="AK22" i="92"/>
  <c r="AK27" i="91"/>
  <c r="AK24" i="91"/>
  <c r="AK26" i="91"/>
  <c r="AK23" i="91"/>
  <c r="AK28" i="91"/>
  <c r="AK22" i="91"/>
  <c r="AK31" i="91"/>
  <c r="AK29" i="91"/>
  <c r="AK31" i="90"/>
  <c r="AK29" i="90"/>
  <c r="AK30" i="90"/>
  <c r="AK27" i="89"/>
  <c r="AK24" i="89"/>
  <c r="AK23" i="89"/>
  <c r="AK21" i="89"/>
  <c r="AK27" i="88"/>
  <c r="AK26" i="88"/>
  <c r="AK21" i="88"/>
  <c r="AK21" i="87"/>
  <c r="AK27" i="87"/>
  <c r="AK31" i="87"/>
  <c r="AK30" i="87"/>
  <c r="AK29" i="87"/>
  <c r="AK28" i="87"/>
  <c r="AK25" i="87"/>
  <c r="AK22" i="86"/>
  <c r="AK28" i="86"/>
  <c r="AK23" i="86"/>
  <c r="AK20" i="85"/>
  <c r="AK31" i="85"/>
  <c r="AK24" i="84"/>
  <c r="AK31" i="84"/>
  <c r="AK20" i="84"/>
  <c r="AK25" i="84"/>
  <c r="AK28" i="84"/>
  <c r="AK26" i="84"/>
  <c r="AK29" i="83"/>
  <c r="AK26" i="83"/>
  <c r="AK28" i="83"/>
  <c r="AK21" i="83"/>
  <c r="AK21" i="82"/>
  <c r="AK26" i="82"/>
  <c r="AK31" i="81"/>
  <c r="AK24" i="81"/>
  <c r="AK28" i="81"/>
  <c r="AK22" i="100"/>
  <c r="AK28" i="100"/>
  <c r="AK25" i="100"/>
  <c r="AK23" i="100"/>
  <c r="AK29" i="100"/>
  <c r="AK20" i="100"/>
  <c r="AK22" i="99"/>
  <c r="AK23" i="99"/>
  <c r="AK29" i="99"/>
  <c r="AK28" i="99"/>
  <c r="AK20" i="99"/>
  <c r="AK26" i="99"/>
  <c r="AK26" i="98"/>
  <c r="AK29" i="98"/>
  <c r="AK23" i="98"/>
  <c r="AK20" i="98"/>
  <c r="AK26" i="97"/>
  <c r="AK22" i="97"/>
  <c r="AK28" i="97"/>
  <c r="AK23" i="97"/>
  <c r="AK26" i="96"/>
  <c r="AK29" i="96"/>
  <c r="AK26" i="95"/>
  <c r="AK23" i="95"/>
  <c r="AK20" i="95"/>
  <c r="AK26" i="94"/>
  <c r="AK22" i="93"/>
  <c r="AK29" i="93"/>
  <c r="AK23" i="93"/>
  <c r="AK20" i="90"/>
  <c r="AK26" i="89"/>
  <c r="AK24" i="85"/>
  <c r="AK25" i="90"/>
  <c r="AK28" i="90"/>
  <c r="AK20" i="89"/>
  <c r="AK21" i="91"/>
  <c r="AK20" i="91"/>
  <c r="AK20" i="86"/>
  <c r="AK22" i="83"/>
  <c r="AK30" i="91"/>
  <c r="AK20" i="88"/>
  <c r="AK31" i="83"/>
  <c r="AK20" i="87"/>
  <c r="AK29" i="85"/>
  <c r="AK28" i="92"/>
  <c r="AK20" i="92"/>
  <c r="AK23" i="83"/>
  <c r="AK29" i="86"/>
  <c r="AK29" i="89"/>
  <c r="AK26" i="86"/>
  <c r="AK24" i="90"/>
  <c r="AK21" i="92"/>
  <c r="AK23" i="92"/>
  <c r="AK23" i="85"/>
  <c r="AK28" i="88"/>
  <c r="AK29" i="88"/>
  <c r="AK30" i="88"/>
  <c r="AK27" i="90"/>
  <c r="AK31" i="82"/>
  <c r="AK28" i="82"/>
  <c r="AK22" i="82"/>
  <c r="AK20" i="82"/>
  <c r="AK23" i="82"/>
  <c r="AK29" i="82"/>
  <c r="AK25" i="82"/>
  <c r="AK26" i="81"/>
  <c r="AK20" i="81"/>
  <c r="AK23" i="81"/>
  <c r="AK29" i="81"/>
  <c r="DY51" i="16"/>
  <c r="DP6" i="16"/>
  <c r="AZ6" i="16"/>
  <c r="AZ7" i="16"/>
  <c r="AZ8" i="16"/>
  <c r="AZ9" i="16"/>
  <c r="AZ10" i="16"/>
  <c r="AZ11" i="16"/>
  <c r="AZ12" i="16"/>
  <c r="AZ13" i="16"/>
  <c r="AZ14" i="16"/>
  <c r="AZ15" i="16"/>
  <c r="AZ16" i="16"/>
  <c r="AZ17" i="16"/>
  <c r="AZ18" i="16"/>
  <c r="AZ19" i="16"/>
  <c r="AZ20" i="16"/>
  <c r="AZ21" i="16"/>
  <c r="AZ22" i="16"/>
  <c r="AZ23" i="16"/>
  <c r="AZ24" i="16"/>
  <c r="AZ25" i="16"/>
  <c r="AZ26" i="16"/>
  <c r="AZ27" i="16"/>
  <c r="AZ28" i="16"/>
  <c r="AZ29" i="16"/>
  <c r="AZ30" i="16"/>
  <c r="AZ31" i="16"/>
  <c r="AZ32" i="16"/>
  <c r="AZ33" i="16"/>
  <c r="AZ34" i="16"/>
  <c r="AZ5" i="16"/>
  <c r="GB6" i="16"/>
  <c r="GB7" i="16"/>
  <c r="GB8" i="16"/>
  <c r="GB9" i="16"/>
  <c r="GB10" i="16"/>
  <c r="GB11" i="16"/>
  <c r="GB12" i="16"/>
  <c r="GB13" i="16"/>
  <c r="GB14" i="16"/>
  <c r="GB15" i="16"/>
  <c r="GB16" i="16"/>
  <c r="GB17" i="16"/>
  <c r="GB18" i="16"/>
  <c r="GB19" i="16"/>
  <c r="GB20" i="16"/>
  <c r="GB21" i="16"/>
  <c r="GB22" i="16"/>
  <c r="GB23" i="16"/>
  <c r="GB24" i="16"/>
  <c r="GB25" i="16"/>
  <c r="GB26" i="16"/>
  <c r="GB27" i="16"/>
  <c r="GB28" i="16"/>
  <c r="GB29" i="16"/>
  <c r="GB30" i="16"/>
  <c r="GB31" i="16"/>
  <c r="GB32" i="16"/>
  <c r="GB33" i="16"/>
  <c r="GB34" i="16"/>
  <c r="GC6" i="16"/>
  <c r="GC7" i="16"/>
  <c r="GC8" i="16"/>
  <c r="GC9" i="16"/>
  <c r="GC10" i="16"/>
  <c r="GC11" i="16"/>
  <c r="GC12" i="16"/>
  <c r="GC13" i="16"/>
  <c r="GC14" i="16"/>
  <c r="GC15" i="16"/>
  <c r="GC16" i="16"/>
  <c r="GC17" i="16"/>
  <c r="GC18" i="16"/>
  <c r="GC19" i="16"/>
  <c r="GC20" i="16"/>
  <c r="GC21" i="16"/>
  <c r="GC22" i="16"/>
  <c r="GC23" i="16"/>
  <c r="GC24" i="16"/>
  <c r="GC25" i="16"/>
  <c r="GC26" i="16"/>
  <c r="GC27" i="16"/>
  <c r="GC28" i="16"/>
  <c r="GC29" i="16"/>
  <c r="GC30" i="16"/>
  <c r="GC31" i="16"/>
  <c r="GC32" i="16"/>
  <c r="GC33" i="16"/>
  <c r="GC34" i="16"/>
  <c r="FO6" i="16"/>
  <c r="FO7" i="16"/>
  <c r="FO8" i="16"/>
  <c r="FO9" i="16"/>
  <c r="FO10" i="16"/>
  <c r="FO11" i="16"/>
  <c r="FO12" i="16"/>
  <c r="FO13" i="16"/>
  <c r="FO14" i="16"/>
  <c r="FO15" i="16"/>
  <c r="FO16" i="16"/>
  <c r="FO17" i="16"/>
  <c r="FO18" i="16"/>
  <c r="FO19" i="16"/>
  <c r="FO20" i="16"/>
  <c r="FO21" i="16"/>
  <c r="FO22" i="16"/>
  <c r="FO23" i="16"/>
  <c r="FO24" i="16"/>
  <c r="FO25" i="16"/>
  <c r="FO26" i="16"/>
  <c r="FO27" i="16"/>
  <c r="FO28" i="16"/>
  <c r="FO29" i="16"/>
  <c r="FO30" i="16"/>
  <c r="FO31" i="16"/>
  <c r="FO32" i="16"/>
  <c r="FO33" i="16"/>
  <c r="FO34" i="16"/>
  <c r="EZ6" i="16"/>
  <c r="EZ7" i="16"/>
  <c r="EZ8" i="16"/>
  <c r="EZ9" i="16"/>
  <c r="EZ10" i="16"/>
  <c r="EZ11" i="16"/>
  <c r="EZ12" i="16"/>
  <c r="EZ13" i="16"/>
  <c r="EZ14" i="16"/>
  <c r="EZ15" i="16"/>
  <c r="EZ16" i="16"/>
  <c r="EZ17" i="16"/>
  <c r="EZ18" i="16"/>
  <c r="EZ19" i="16"/>
  <c r="EZ20" i="16"/>
  <c r="EZ21" i="16"/>
  <c r="EZ22" i="16"/>
  <c r="EZ23" i="16"/>
  <c r="EZ24" i="16"/>
  <c r="EZ25" i="16"/>
  <c r="EZ26" i="16"/>
  <c r="EZ27" i="16"/>
  <c r="EZ28" i="16"/>
  <c r="EZ29" i="16"/>
  <c r="EZ30" i="16"/>
  <c r="EZ31" i="16"/>
  <c r="EZ32" i="16"/>
  <c r="EZ33" i="16"/>
  <c r="EZ34" i="16"/>
  <c r="EY6" i="16"/>
  <c r="EY7" i="16"/>
  <c r="EY8" i="16"/>
  <c r="EY9" i="16"/>
  <c r="EY10" i="16"/>
  <c r="EY11" i="16"/>
  <c r="EY12" i="16"/>
  <c r="EY13" i="16"/>
  <c r="EY14" i="16"/>
  <c r="EY15" i="16"/>
  <c r="EY16" i="16"/>
  <c r="EY17" i="16"/>
  <c r="EY18" i="16"/>
  <c r="EY19" i="16"/>
  <c r="EY20" i="16"/>
  <c r="EY21" i="16"/>
  <c r="EY22" i="16"/>
  <c r="EY23" i="16"/>
  <c r="EY24" i="16"/>
  <c r="EY25" i="16"/>
  <c r="EY26" i="16"/>
  <c r="EY27" i="16"/>
  <c r="EY28" i="16"/>
  <c r="EY29" i="16"/>
  <c r="EY30" i="16"/>
  <c r="EY31" i="16"/>
  <c r="EY32" i="16"/>
  <c r="EY33" i="16"/>
  <c r="EY34" i="16"/>
  <c r="EX6" i="16"/>
  <c r="EX7" i="16"/>
  <c r="EX8" i="16"/>
  <c r="EX9" i="16"/>
  <c r="EX10" i="16"/>
  <c r="EX11" i="16"/>
  <c r="EX12" i="16"/>
  <c r="EX13" i="16"/>
  <c r="EX14" i="16"/>
  <c r="EX15" i="16"/>
  <c r="EX16" i="16"/>
  <c r="EX17" i="16"/>
  <c r="EX18" i="16"/>
  <c r="EX19" i="16"/>
  <c r="EX20" i="16"/>
  <c r="EX21" i="16"/>
  <c r="EX22" i="16"/>
  <c r="EX23" i="16"/>
  <c r="EX24" i="16"/>
  <c r="EX25" i="16"/>
  <c r="EX26" i="16"/>
  <c r="EX27" i="16"/>
  <c r="EX28" i="16"/>
  <c r="EX29" i="16"/>
  <c r="EX30" i="16"/>
  <c r="EX31" i="16"/>
  <c r="EX32" i="16"/>
  <c r="EX33" i="16"/>
  <c r="EX34" i="16"/>
  <c r="FA6" i="16"/>
  <c r="FA7" i="16"/>
  <c r="FA8" i="16"/>
  <c r="FA9" i="16"/>
  <c r="FA10" i="16"/>
  <c r="FA11" i="16"/>
  <c r="FA12" i="16"/>
  <c r="FA13" i="16"/>
  <c r="FA14" i="16"/>
  <c r="FA15" i="16"/>
  <c r="FA16" i="16"/>
  <c r="FA17" i="16"/>
  <c r="FA18" i="16"/>
  <c r="FA19" i="16"/>
  <c r="FA20" i="16"/>
  <c r="FA21" i="16"/>
  <c r="FA22" i="16"/>
  <c r="FA23" i="16"/>
  <c r="FA24" i="16"/>
  <c r="FA25" i="16"/>
  <c r="FA26" i="16"/>
  <c r="FA27" i="16"/>
  <c r="FA28" i="16"/>
  <c r="FA29" i="16"/>
  <c r="FA30" i="16"/>
  <c r="FA31" i="16"/>
  <c r="FA32" i="16"/>
  <c r="FA33" i="16"/>
  <c r="FA34" i="16"/>
  <c r="FN6" i="16"/>
  <c r="FN7" i="16"/>
  <c r="FN8" i="16"/>
  <c r="FN9" i="16"/>
  <c r="FN10" i="16"/>
  <c r="FN11" i="16"/>
  <c r="FN12" i="16"/>
  <c r="FN13" i="16"/>
  <c r="FN14" i="16"/>
  <c r="FN15" i="16"/>
  <c r="FN16" i="16"/>
  <c r="FN17" i="16"/>
  <c r="FN18" i="16"/>
  <c r="FN19" i="16"/>
  <c r="FN20" i="16"/>
  <c r="FN21" i="16"/>
  <c r="FN22" i="16"/>
  <c r="FN23" i="16"/>
  <c r="FN24" i="16"/>
  <c r="FN25" i="16"/>
  <c r="FN26" i="16"/>
  <c r="FN27" i="16"/>
  <c r="FN28" i="16"/>
  <c r="FN29" i="16"/>
  <c r="FN30" i="16"/>
  <c r="FN31" i="16"/>
  <c r="FN32" i="16"/>
  <c r="FN33" i="16"/>
  <c r="FN34" i="16"/>
  <c r="FZ6" i="16"/>
  <c r="FZ7" i="16"/>
  <c r="FZ8" i="16"/>
  <c r="FZ9" i="16"/>
  <c r="FZ10" i="16"/>
  <c r="FZ11" i="16"/>
  <c r="FZ12" i="16"/>
  <c r="FZ13" i="16"/>
  <c r="FZ14" i="16"/>
  <c r="FZ15" i="16"/>
  <c r="FZ16" i="16"/>
  <c r="FZ17" i="16"/>
  <c r="FZ18" i="16"/>
  <c r="FZ19" i="16"/>
  <c r="FZ20" i="16"/>
  <c r="FZ21" i="16"/>
  <c r="FZ22" i="16"/>
  <c r="FZ23" i="16"/>
  <c r="FZ24" i="16"/>
  <c r="FZ25" i="16"/>
  <c r="FZ26" i="16"/>
  <c r="FZ27" i="16"/>
  <c r="FZ28" i="16"/>
  <c r="FZ29" i="16"/>
  <c r="FZ30" i="16"/>
  <c r="FZ31" i="16"/>
  <c r="FZ32" i="16"/>
  <c r="FZ33" i="16"/>
  <c r="FZ34" i="16"/>
  <c r="GA6" i="16"/>
  <c r="GA7" i="16"/>
  <c r="GA8" i="16"/>
  <c r="GA9" i="16"/>
  <c r="GA10" i="16"/>
  <c r="GA11" i="16"/>
  <c r="GA12" i="16"/>
  <c r="GA13" i="16"/>
  <c r="GA14" i="16"/>
  <c r="GA15" i="16"/>
  <c r="GA16" i="16"/>
  <c r="GA17" i="16"/>
  <c r="GA18" i="16"/>
  <c r="GA19" i="16"/>
  <c r="GA20" i="16"/>
  <c r="GA21" i="16"/>
  <c r="GA22" i="16"/>
  <c r="GA23" i="16"/>
  <c r="GA24" i="16"/>
  <c r="GA25" i="16"/>
  <c r="GA26" i="16"/>
  <c r="GA27" i="16"/>
  <c r="GA28" i="16"/>
  <c r="GA29" i="16"/>
  <c r="GA30" i="16"/>
  <c r="GA31" i="16"/>
  <c r="GA32" i="16"/>
  <c r="GA33" i="16"/>
  <c r="GA34" i="16"/>
  <c r="GD6" i="16"/>
  <c r="GD7" i="16"/>
  <c r="GD8" i="16"/>
  <c r="GD10" i="16"/>
  <c r="GD11" i="16"/>
  <c r="GD13" i="16"/>
  <c r="GD14" i="16"/>
  <c r="GD15" i="16"/>
  <c r="GD16" i="16"/>
  <c r="GD17" i="16"/>
  <c r="GD18" i="16"/>
  <c r="GD19" i="16"/>
  <c r="GD20" i="16"/>
  <c r="GD21" i="16"/>
  <c r="GD22" i="16"/>
  <c r="GD23" i="16"/>
  <c r="GD24" i="16"/>
  <c r="GD25" i="16"/>
  <c r="GD26" i="16"/>
  <c r="GD27" i="16"/>
  <c r="GD28" i="16"/>
  <c r="GD29" i="16"/>
  <c r="GD30" i="16"/>
  <c r="GD31" i="16"/>
  <c r="GD32" i="16"/>
  <c r="GD33" i="16"/>
  <c r="GD34" i="16"/>
  <c r="FM6" i="16"/>
  <c r="FM7" i="16"/>
  <c r="FM8" i="16"/>
  <c r="FM9" i="16"/>
  <c r="FM10" i="16"/>
  <c r="FM11" i="16"/>
  <c r="FM12" i="16"/>
  <c r="FM13" i="16"/>
  <c r="FM14" i="16"/>
  <c r="FM15" i="16"/>
  <c r="FM16" i="16"/>
  <c r="FM17" i="16"/>
  <c r="FM18" i="16"/>
  <c r="FM19" i="16"/>
  <c r="FM20" i="16"/>
  <c r="FM21" i="16"/>
  <c r="FM22" i="16"/>
  <c r="FM23" i="16"/>
  <c r="FM24" i="16"/>
  <c r="FM25" i="16"/>
  <c r="FM26" i="16"/>
  <c r="FM27" i="16"/>
  <c r="FM28" i="16"/>
  <c r="FM29" i="16"/>
  <c r="FM30" i="16"/>
  <c r="FM31" i="16"/>
  <c r="FM32" i="16"/>
  <c r="FM33" i="16"/>
  <c r="FM34" i="16"/>
  <c r="EW6" i="16"/>
  <c r="EW7" i="16"/>
  <c r="EW8" i="16"/>
  <c r="EW9" i="16"/>
  <c r="EW10" i="16"/>
  <c r="EW11" i="16"/>
  <c r="EW12" i="16"/>
  <c r="EW13" i="16"/>
  <c r="EW14" i="16"/>
  <c r="EW15" i="16"/>
  <c r="EW16" i="16"/>
  <c r="EW17" i="16"/>
  <c r="EW18" i="16"/>
  <c r="EW19" i="16"/>
  <c r="EW20" i="16"/>
  <c r="EW21" i="16"/>
  <c r="EW22" i="16"/>
  <c r="EW23" i="16"/>
  <c r="EW24" i="16"/>
  <c r="EW25" i="16"/>
  <c r="EW26" i="16"/>
  <c r="EW27" i="16"/>
  <c r="EW28" i="16"/>
  <c r="EW29" i="16"/>
  <c r="EW30" i="16"/>
  <c r="EW31" i="16"/>
  <c r="EW32" i="16"/>
  <c r="EW33" i="16"/>
  <c r="EW34" i="16"/>
  <c r="FB6" i="16"/>
  <c r="FB7" i="16"/>
  <c r="FB8" i="16"/>
  <c r="FB9" i="16"/>
  <c r="FB10" i="16"/>
  <c r="FB11" i="16"/>
  <c r="FB12" i="16"/>
  <c r="FB13" i="16"/>
  <c r="FB14" i="16"/>
  <c r="FB15" i="16"/>
  <c r="FB16" i="16"/>
  <c r="FB17" i="16"/>
  <c r="FB18" i="16"/>
  <c r="FB19" i="16"/>
  <c r="FB20" i="16"/>
  <c r="FB21" i="16"/>
  <c r="FB22" i="16"/>
  <c r="FB23" i="16"/>
  <c r="FB24" i="16"/>
  <c r="FB25" i="16"/>
  <c r="FB26" i="16"/>
  <c r="FB27" i="16"/>
  <c r="FB28" i="16"/>
  <c r="FB29" i="16"/>
  <c r="FB30" i="16"/>
  <c r="FB31" i="16"/>
  <c r="FB32" i="16"/>
  <c r="FB33" i="16"/>
  <c r="FB34" i="16"/>
  <c r="FC6" i="16"/>
  <c r="FC7" i="16"/>
  <c r="FC8" i="16"/>
  <c r="FC9" i="16"/>
  <c r="FC10" i="16"/>
  <c r="FC11" i="16"/>
  <c r="FC12" i="16"/>
  <c r="FC13" i="16"/>
  <c r="FC14" i="16"/>
  <c r="FC15" i="16"/>
  <c r="FC16" i="16"/>
  <c r="FC17" i="16"/>
  <c r="FC18" i="16"/>
  <c r="FC19" i="16"/>
  <c r="FC20" i="16"/>
  <c r="FC21" i="16"/>
  <c r="FC22" i="16"/>
  <c r="FC23" i="16"/>
  <c r="FC24" i="16"/>
  <c r="FC25" i="16"/>
  <c r="FC26" i="16"/>
  <c r="FC27" i="16"/>
  <c r="FC28" i="16"/>
  <c r="FC29" i="16"/>
  <c r="FC30" i="16"/>
  <c r="FC31" i="16"/>
  <c r="FC32" i="16"/>
  <c r="FC33" i="16"/>
  <c r="FC34" i="16"/>
  <c r="EV6" i="16"/>
  <c r="EV7" i="16"/>
  <c r="EV8" i="16"/>
  <c r="EV9" i="16"/>
  <c r="EV10" i="16"/>
  <c r="EV11" i="16"/>
  <c r="EV12" i="16"/>
  <c r="EV13" i="16"/>
  <c r="EV14" i="16"/>
  <c r="EV15" i="16"/>
  <c r="EV16" i="16"/>
  <c r="EV17" i="16"/>
  <c r="EV18" i="16"/>
  <c r="EV19" i="16"/>
  <c r="EV20" i="16"/>
  <c r="EV21" i="16"/>
  <c r="EV22" i="16"/>
  <c r="EV23" i="16"/>
  <c r="EV24" i="16"/>
  <c r="EV25" i="16"/>
  <c r="EV26" i="16"/>
  <c r="EV27" i="16"/>
  <c r="EV28" i="16"/>
  <c r="EV29" i="16"/>
  <c r="EV30" i="16"/>
  <c r="EV31" i="16"/>
  <c r="EV32" i="16"/>
  <c r="EV33" i="16"/>
  <c r="EV34" i="16"/>
  <c r="EU6" i="16"/>
  <c r="EU7" i="16"/>
  <c r="EU8" i="16"/>
  <c r="EU9" i="16"/>
  <c r="EU10" i="16"/>
  <c r="EU11" i="16"/>
  <c r="EU12" i="16"/>
  <c r="EU13" i="16"/>
  <c r="EU14" i="16"/>
  <c r="EU15" i="16"/>
  <c r="EU16" i="16"/>
  <c r="EU17" i="16"/>
  <c r="EU18" i="16"/>
  <c r="EU19" i="16"/>
  <c r="EU20" i="16"/>
  <c r="EU21" i="16"/>
  <c r="EU22" i="16"/>
  <c r="EU23" i="16"/>
  <c r="EU24" i="16"/>
  <c r="EU25" i="16"/>
  <c r="EU26" i="16"/>
  <c r="EU27" i="16"/>
  <c r="EU28" i="16"/>
  <c r="EU29" i="16"/>
  <c r="EU30" i="16"/>
  <c r="EU31" i="16"/>
  <c r="EU32" i="16"/>
  <c r="EU33" i="16"/>
  <c r="EU34" i="16"/>
  <c r="FL6" i="16"/>
  <c r="FL7" i="16"/>
  <c r="FL8" i="16"/>
  <c r="FL9" i="16"/>
  <c r="FL10" i="16"/>
  <c r="FL11" i="16"/>
  <c r="FL12" i="16"/>
  <c r="FL13" i="16"/>
  <c r="FL14" i="16"/>
  <c r="FL15" i="16"/>
  <c r="FL16" i="16"/>
  <c r="FL17" i="16"/>
  <c r="FL18" i="16"/>
  <c r="FL19" i="16"/>
  <c r="FL20" i="16"/>
  <c r="FL21" i="16"/>
  <c r="FL22" i="16"/>
  <c r="FL23" i="16"/>
  <c r="FL24" i="16"/>
  <c r="FL25" i="16"/>
  <c r="FL26" i="16"/>
  <c r="FL27" i="16"/>
  <c r="FL28" i="16"/>
  <c r="FL29" i="16"/>
  <c r="FL30" i="16"/>
  <c r="FL31" i="16"/>
  <c r="FL32" i="16"/>
  <c r="FL33" i="16"/>
  <c r="FL34" i="16"/>
  <c r="FP6" i="16"/>
  <c r="FP7" i="16"/>
  <c r="FP8" i="16"/>
  <c r="FP9" i="16"/>
  <c r="FP10" i="16"/>
  <c r="FP11" i="16"/>
  <c r="FP12" i="16"/>
  <c r="FP13" i="16"/>
  <c r="FP14" i="16"/>
  <c r="FP15" i="16"/>
  <c r="FP16" i="16"/>
  <c r="FP17" i="16"/>
  <c r="FP18" i="16"/>
  <c r="FP19" i="16"/>
  <c r="FP20" i="16"/>
  <c r="FP21" i="16"/>
  <c r="FP22" i="16"/>
  <c r="FP23" i="16"/>
  <c r="FP24" i="16"/>
  <c r="FP25" i="16"/>
  <c r="FP26" i="16"/>
  <c r="FP27" i="16"/>
  <c r="FP28" i="16"/>
  <c r="FP29" i="16"/>
  <c r="FP30" i="16"/>
  <c r="FP31" i="16"/>
  <c r="FP32" i="16"/>
  <c r="FP33" i="16"/>
  <c r="FP34" i="16"/>
  <c r="FY6" i="16"/>
  <c r="FY7" i="16"/>
  <c r="FY8" i="16"/>
  <c r="FY9" i="16"/>
  <c r="FY10" i="16"/>
  <c r="FY11" i="16"/>
  <c r="FY12" i="16"/>
  <c r="FY13" i="16"/>
  <c r="FY14" i="16"/>
  <c r="FY15" i="16"/>
  <c r="FY16" i="16"/>
  <c r="FY17" i="16"/>
  <c r="FY18" i="16"/>
  <c r="FY19" i="16"/>
  <c r="FY20" i="16"/>
  <c r="FY21" i="16"/>
  <c r="FY22" i="16"/>
  <c r="FY23" i="16"/>
  <c r="FY24" i="16"/>
  <c r="FY25" i="16"/>
  <c r="FY26" i="16"/>
  <c r="FY27" i="16"/>
  <c r="FY28" i="16"/>
  <c r="FY29" i="16"/>
  <c r="FY30" i="16"/>
  <c r="FY31" i="16"/>
  <c r="FY32" i="16"/>
  <c r="FY33" i="16"/>
  <c r="FY34" i="16"/>
  <c r="GE6" i="16"/>
  <c r="GE7" i="16"/>
  <c r="GE8" i="16"/>
  <c r="GE9" i="16"/>
  <c r="GE10" i="16"/>
  <c r="GE11" i="16"/>
  <c r="GE12" i="16"/>
  <c r="GE13" i="16"/>
  <c r="GE14" i="16"/>
  <c r="GE15" i="16"/>
  <c r="GE16" i="16"/>
  <c r="GE17" i="16"/>
  <c r="GE18" i="16"/>
  <c r="GE19" i="16"/>
  <c r="GE20" i="16"/>
  <c r="GE21" i="16"/>
  <c r="GE22" i="16"/>
  <c r="GE23" i="16"/>
  <c r="GE24" i="16"/>
  <c r="GE25" i="16"/>
  <c r="GE26" i="16"/>
  <c r="GE27" i="16"/>
  <c r="GE28" i="16"/>
  <c r="GE29" i="16"/>
  <c r="GE30" i="16"/>
  <c r="GE31" i="16"/>
  <c r="GE32" i="16"/>
  <c r="GE33" i="16"/>
  <c r="GE34" i="16"/>
  <c r="GF6" i="16"/>
  <c r="GF7" i="16"/>
  <c r="GF8" i="16"/>
  <c r="GF9" i="16"/>
  <c r="GF10" i="16"/>
  <c r="GF11" i="16"/>
  <c r="GF12" i="16"/>
  <c r="GF13" i="16"/>
  <c r="GF14" i="16"/>
  <c r="GF15" i="16"/>
  <c r="GF16" i="16"/>
  <c r="GF17" i="16"/>
  <c r="GF18" i="16"/>
  <c r="GF19" i="16"/>
  <c r="GF20" i="16"/>
  <c r="GF21" i="16"/>
  <c r="GF22" i="16"/>
  <c r="GF23" i="16"/>
  <c r="GF24" i="16"/>
  <c r="GF25" i="16"/>
  <c r="GF26" i="16"/>
  <c r="GF27" i="16"/>
  <c r="GF28" i="16"/>
  <c r="GF29" i="16"/>
  <c r="GF30" i="16"/>
  <c r="GF31" i="16"/>
  <c r="GF32" i="16"/>
  <c r="GF33" i="16"/>
  <c r="GF34" i="16"/>
  <c r="FX34" i="16"/>
  <c r="FX6" i="16"/>
  <c r="FX7" i="16"/>
  <c r="FX8" i="16"/>
  <c r="FX9" i="16"/>
  <c r="FX10" i="16"/>
  <c r="FX11" i="16"/>
  <c r="FX12" i="16"/>
  <c r="FX13" i="16"/>
  <c r="FX14" i="16"/>
  <c r="FX15" i="16"/>
  <c r="FX16" i="16"/>
  <c r="FX17" i="16"/>
  <c r="FX18" i="16"/>
  <c r="FX19" i="16"/>
  <c r="FX20" i="16"/>
  <c r="FX21" i="16"/>
  <c r="FX22" i="16"/>
  <c r="FX23" i="16"/>
  <c r="FX24" i="16"/>
  <c r="FX25" i="16"/>
  <c r="FX26" i="16"/>
  <c r="FX27" i="16"/>
  <c r="FX28" i="16"/>
  <c r="FX29" i="16"/>
  <c r="FX30" i="16"/>
  <c r="FX31" i="16"/>
  <c r="FX32" i="16"/>
  <c r="FX33" i="16"/>
  <c r="FR6" i="16"/>
  <c r="FR7" i="16"/>
  <c r="FR8" i="16"/>
  <c r="FR9" i="16"/>
  <c r="FR10" i="16"/>
  <c r="FR11" i="16"/>
  <c r="FR12" i="16"/>
  <c r="FR13" i="16"/>
  <c r="FR14" i="16"/>
  <c r="FR15" i="16"/>
  <c r="FR16" i="16"/>
  <c r="FR17" i="16"/>
  <c r="FR18" i="16"/>
  <c r="FR19" i="16"/>
  <c r="FR20" i="16"/>
  <c r="FR21" i="16"/>
  <c r="FR22" i="16"/>
  <c r="FR23" i="16"/>
  <c r="FR24" i="16"/>
  <c r="FR25" i="16"/>
  <c r="FR26" i="16"/>
  <c r="FR27" i="16"/>
  <c r="FR28" i="16"/>
  <c r="FR29" i="16"/>
  <c r="FR30" i="16"/>
  <c r="FR31" i="16"/>
  <c r="FR32" i="16"/>
  <c r="FR33" i="16"/>
  <c r="FR34" i="16"/>
  <c r="FK6" i="16"/>
  <c r="FK7" i="16"/>
  <c r="FK8" i="16"/>
  <c r="FK9" i="16"/>
  <c r="FK10" i="16"/>
  <c r="FK11" i="16"/>
  <c r="FK12" i="16"/>
  <c r="FK13" i="16"/>
  <c r="FK14" i="16"/>
  <c r="FK15" i="16"/>
  <c r="FK16" i="16"/>
  <c r="FK17" i="16"/>
  <c r="FK18" i="16"/>
  <c r="FK19" i="16"/>
  <c r="FK20" i="16"/>
  <c r="FK21" i="16"/>
  <c r="FK22" i="16"/>
  <c r="FK23" i="16"/>
  <c r="FK24" i="16"/>
  <c r="FK25" i="16"/>
  <c r="FK26" i="16"/>
  <c r="FK27" i="16"/>
  <c r="FK28" i="16"/>
  <c r="FK29" i="16"/>
  <c r="FK30" i="16"/>
  <c r="FK31" i="16"/>
  <c r="FK32" i="16"/>
  <c r="FK33" i="16"/>
  <c r="FK34"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ET6" i="16"/>
  <c r="ET7" i="16"/>
  <c r="ET8" i="16"/>
  <c r="ET9" i="16"/>
  <c r="ET10" i="16"/>
  <c r="ET11" i="16"/>
  <c r="ET12" i="16"/>
  <c r="ET13" i="16"/>
  <c r="ET14" i="16"/>
  <c r="ET15" i="16"/>
  <c r="ET16" i="16"/>
  <c r="ET17" i="16"/>
  <c r="ET18" i="16"/>
  <c r="ET19" i="16"/>
  <c r="ET20" i="16"/>
  <c r="ET21" i="16"/>
  <c r="ET22" i="16"/>
  <c r="ET23" i="16"/>
  <c r="ET24" i="16"/>
  <c r="ET25" i="16"/>
  <c r="ET26" i="16"/>
  <c r="ET27" i="16"/>
  <c r="ET28" i="16"/>
  <c r="ET29" i="16"/>
  <c r="ET30" i="16"/>
  <c r="ET31" i="16"/>
  <c r="ET32" i="16"/>
  <c r="ET33" i="16"/>
  <c r="ET34" i="16"/>
  <c r="ES6" i="16"/>
  <c r="ES7" i="16"/>
  <c r="ES8" i="16"/>
  <c r="ES9" i="16"/>
  <c r="ES10" i="16"/>
  <c r="ES11" i="16"/>
  <c r="ES12" i="16"/>
  <c r="ES13" i="16"/>
  <c r="ES14" i="16"/>
  <c r="ES15" i="16"/>
  <c r="ES16" i="16"/>
  <c r="ES17" i="16"/>
  <c r="ES18" i="16"/>
  <c r="ES19" i="16"/>
  <c r="ES20" i="16"/>
  <c r="ES21" i="16"/>
  <c r="ES22" i="16"/>
  <c r="ES23" i="16"/>
  <c r="ES24" i="16"/>
  <c r="ES25" i="16"/>
  <c r="ES26" i="16"/>
  <c r="ES27" i="16"/>
  <c r="ES28" i="16"/>
  <c r="ES29" i="16"/>
  <c r="ES30" i="16"/>
  <c r="ES31" i="16"/>
  <c r="ES32" i="16"/>
  <c r="ES33" i="16"/>
  <c r="ES34" i="16"/>
  <c r="FF6" i="16"/>
  <c r="FF7" i="16"/>
  <c r="FF8" i="16"/>
  <c r="FF9" i="16"/>
  <c r="FF11" i="16"/>
  <c r="FF12" i="16"/>
  <c r="FF13" i="16"/>
  <c r="FF14" i="16"/>
  <c r="FF15" i="16"/>
  <c r="FF16" i="16"/>
  <c r="FF17" i="16"/>
  <c r="FF18" i="16"/>
  <c r="FF19" i="16"/>
  <c r="FF20" i="16"/>
  <c r="FF21" i="16"/>
  <c r="FF22" i="16"/>
  <c r="FF23" i="16"/>
  <c r="FF24" i="16"/>
  <c r="FF25" i="16"/>
  <c r="FF26" i="16"/>
  <c r="FF27" i="16"/>
  <c r="FF28" i="16"/>
  <c r="FF29" i="16"/>
  <c r="FF30" i="16"/>
  <c r="FF31" i="16"/>
  <c r="FF32" i="16"/>
  <c r="FF33" i="16"/>
  <c r="FF34" i="16"/>
  <c r="FJ6" i="16"/>
  <c r="FJ7" i="16"/>
  <c r="FJ8" i="16"/>
  <c r="FJ9" i="16"/>
  <c r="FJ10" i="16"/>
  <c r="FJ11" i="16"/>
  <c r="FJ12" i="16"/>
  <c r="FJ13" i="16"/>
  <c r="FJ14" i="16"/>
  <c r="FJ15" i="16"/>
  <c r="FJ16" i="16"/>
  <c r="FJ17" i="16"/>
  <c r="FJ18" i="16"/>
  <c r="FJ19" i="16"/>
  <c r="FJ20" i="16"/>
  <c r="FJ21" i="16"/>
  <c r="FJ22" i="16"/>
  <c r="FJ23" i="16"/>
  <c r="FJ24" i="16"/>
  <c r="FJ25" i="16"/>
  <c r="FJ26" i="16"/>
  <c r="FJ27" i="16"/>
  <c r="FJ28" i="16"/>
  <c r="FJ29" i="16"/>
  <c r="FJ30" i="16"/>
  <c r="FJ31" i="16"/>
  <c r="FJ32" i="16"/>
  <c r="FJ33" i="16"/>
  <c r="FJ34" i="16"/>
  <c r="FS6" i="16"/>
  <c r="FS7" i="16"/>
  <c r="FS8" i="16"/>
  <c r="FS9" i="16"/>
  <c r="FS10" i="16"/>
  <c r="FS11" i="16"/>
  <c r="FS12" i="16"/>
  <c r="FS13" i="16"/>
  <c r="FS14" i="16"/>
  <c r="FS15" i="16"/>
  <c r="FS16" i="16"/>
  <c r="FS17" i="16"/>
  <c r="FS18" i="16"/>
  <c r="FS19" i="16"/>
  <c r="FS20" i="16"/>
  <c r="FS21" i="16"/>
  <c r="FS22" i="16"/>
  <c r="FS23" i="16"/>
  <c r="FS24" i="16"/>
  <c r="FS25" i="16"/>
  <c r="FS26" i="16"/>
  <c r="FS27" i="16"/>
  <c r="FS28" i="16"/>
  <c r="FS29" i="16"/>
  <c r="FS30" i="16"/>
  <c r="FS31" i="16"/>
  <c r="FS32" i="16"/>
  <c r="FS33" i="16"/>
  <c r="FS34" i="16"/>
  <c r="FW6" i="16"/>
  <c r="FW7" i="16"/>
  <c r="FW8" i="16"/>
  <c r="FW9" i="16"/>
  <c r="FW10" i="16"/>
  <c r="FW11" i="16"/>
  <c r="FW12" i="16"/>
  <c r="FW13" i="16"/>
  <c r="FW14" i="16"/>
  <c r="FW15" i="16"/>
  <c r="FW16" i="16"/>
  <c r="FW17" i="16"/>
  <c r="FW18" i="16"/>
  <c r="FW19" i="16"/>
  <c r="FW20" i="16"/>
  <c r="FW21" i="16"/>
  <c r="FW22" i="16"/>
  <c r="FW23" i="16"/>
  <c r="FW24" i="16"/>
  <c r="FW25" i="16"/>
  <c r="FW26" i="16"/>
  <c r="FW27" i="16"/>
  <c r="FW28" i="16"/>
  <c r="FW29" i="16"/>
  <c r="FW30" i="16"/>
  <c r="FW31" i="16"/>
  <c r="FW32" i="16"/>
  <c r="FW33" i="16"/>
  <c r="FW34" i="16"/>
  <c r="GG6" i="16"/>
  <c r="GG7" i="16"/>
  <c r="GG8" i="16"/>
  <c r="GG9" i="16"/>
  <c r="GG10" i="16"/>
  <c r="GG11" i="16"/>
  <c r="GG12" i="16"/>
  <c r="GG13" i="16"/>
  <c r="GG14" i="16"/>
  <c r="GG15" i="16"/>
  <c r="GG16" i="16"/>
  <c r="GG17" i="16"/>
  <c r="GG18" i="16"/>
  <c r="GG19" i="16"/>
  <c r="GG20" i="16"/>
  <c r="GG21" i="16"/>
  <c r="GG22" i="16"/>
  <c r="GG23" i="16"/>
  <c r="GG24" i="16"/>
  <c r="GG25" i="16"/>
  <c r="GG26" i="16"/>
  <c r="GG27" i="16"/>
  <c r="GG28" i="16"/>
  <c r="GG29" i="16"/>
  <c r="GG30" i="16"/>
  <c r="GG31" i="16"/>
  <c r="GG32" i="16"/>
  <c r="GG33" i="16"/>
  <c r="GG34" i="16"/>
  <c r="GH6" i="16"/>
  <c r="GH7" i="16"/>
  <c r="GH8" i="16"/>
  <c r="GH9" i="16"/>
  <c r="GH10" i="16"/>
  <c r="GH11" i="16"/>
  <c r="GH12" i="16"/>
  <c r="GH13" i="16"/>
  <c r="GH14" i="16"/>
  <c r="GH15" i="16"/>
  <c r="GH16" i="16"/>
  <c r="GH17" i="16"/>
  <c r="GH18" i="16"/>
  <c r="GH19" i="16"/>
  <c r="GH20" i="16"/>
  <c r="GH21" i="16"/>
  <c r="GH22" i="16"/>
  <c r="GH23" i="16"/>
  <c r="GH24" i="16"/>
  <c r="GH25" i="16"/>
  <c r="GH26" i="16"/>
  <c r="GH27" i="16"/>
  <c r="GH28" i="16"/>
  <c r="GH29" i="16"/>
  <c r="GH30" i="16"/>
  <c r="GH31" i="16"/>
  <c r="GH32" i="16"/>
  <c r="GH33" i="16"/>
  <c r="GH34" i="16"/>
  <c r="FV6" i="16"/>
  <c r="FV7" i="16"/>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T6" i="16"/>
  <c r="FT7" i="16"/>
  <c r="FT8" i="16"/>
  <c r="FT9" i="16"/>
  <c r="FT10" i="16"/>
  <c r="FT11" i="16"/>
  <c r="FT12" i="16"/>
  <c r="FT13" i="16"/>
  <c r="FT14" i="16"/>
  <c r="FT15" i="16"/>
  <c r="FT16" i="16"/>
  <c r="FT17" i="16"/>
  <c r="FT18" i="16"/>
  <c r="FT19" i="16"/>
  <c r="FT20" i="16"/>
  <c r="FT21" i="16"/>
  <c r="FT22" i="16"/>
  <c r="FT23" i="16"/>
  <c r="FT24" i="16"/>
  <c r="FT25" i="16"/>
  <c r="FT26" i="16"/>
  <c r="FT27" i="16"/>
  <c r="FT28" i="16"/>
  <c r="FT29" i="16"/>
  <c r="FT30" i="16"/>
  <c r="FT31" i="16"/>
  <c r="FT32" i="16"/>
  <c r="FT33" i="16"/>
  <c r="FT34" i="16"/>
  <c r="FI6" i="16"/>
  <c r="FI7" i="16"/>
  <c r="FI8" i="16"/>
  <c r="FI9" i="16"/>
  <c r="FI10" i="16"/>
  <c r="FI11" i="16"/>
  <c r="FI12" i="16"/>
  <c r="FI13" i="16"/>
  <c r="FI14" i="16"/>
  <c r="FI15" i="16"/>
  <c r="FI16" i="16"/>
  <c r="FI17" i="16"/>
  <c r="FI18" i="16"/>
  <c r="FI19" i="16"/>
  <c r="FI20" i="16"/>
  <c r="FI21" i="16"/>
  <c r="FI22" i="16"/>
  <c r="FI23" i="16"/>
  <c r="FI24" i="16"/>
  <c r="FI25" i="16"/>
  <c r="FI26" i="16"/>
  <c r="FI27" i="16"/>
  <c r="FI28" i="16"/>
  <c r="FI29" i="16"/>
  <c r="FI30" i="16"/>
  <c r="FI31" i="16"/>
  <c r="FI32" i="16"/>
  <c r="FI33" i="16"/>
  <c r="FI34" i="16"/>
  <c r="FG6" i="16"/>
  <c r="FG7" i="16"/>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ER6" i="16"/>
  <c r="ER7" i="16"/>
  <c r="ER8" i="16"/>
  <c r="ER9" i="16"/>
  <c r="ER10" i="16"/>
  <c r="ER11" i="16"/>
  <c r="ER12" i="16"/>
  <c r="ER13" i="16"/>
  <c r="ER14" i="16"/>
  <c r="ER15" i="16"/>
  <c r="ER16" i="16"/>
  <c r="ER17" i="16"/>
  <c r="ER18" i="16"/>
  <c r="ER19" i="16"/>
  <c r="ER20" i="16"/>
  <c r="ER21" i="16"/>
  <c r="ER22" i="16"/>
  <c r="ER23" i="16"/>
  <c r="ER24" i="16"/>
  <c r="ER25" i="16"/>
  <c r="ER26" i="16"/>
  <c r="ER27" i="16"/>
  <c r="ER28" i="16"/>
  <c r="ER29" i="16"/>
  <c r="ER30" i="16"/>
  <c r="ER31" i="16"/>
  <c r="ER32" i="16"/>
  <c r="ER33" i="16"/>
  <c r="ER34" i="16"/>
  <c r="GS6" i="16"/>
  <c r="GS7" i="16"/>
  <c r="GS8" i="16"/>
  <c r="GS9" i="16"/>
  <c r="GS10" i="16"/>
  <c r="GS11" i="16"/>
  <c r="GS12" i="16"/>
  <c r="GS13" i="16"/>
  <c r="GS14" i="16"/>
  <c r="GS15" i="16"/>
  <c r="GS16" i="16"/>
  <c r="GS17" i="16"/>
  <c r="GS18" i="16"/>
  <c r="GS19" i="16"/>
  <c r="GS20" i="16"/>
  <c r="GS21" i="16"/>
  <c r="GS22" i="16"/>
  <c r="GS23" i="16"/>
  <c r="GS24" i="16"/>
  <c r="GS25" i="16"/>
  <c r="GS26" i="16"/>
  <c r="GS27" i="16"/>
  <c r="GS28" i="16"/>
  <c r="GS29" i="16"/>
  <c r="GS30" i="16"/>
  <c r="GS31" i="16"/>
  <c r="GS32" i="16"/>
  <c r="GS33" i="16"/>
  <c r="GS34" i="16"/>
  <c r="GR6" i="16"/>
  <c r="GR7" i="16"/>
  <c r="GR8" i="16"/>
  <c r="GR9" i="16"/>
  <c r="GR11" i="16"/>
  <c r="GR12" i="16"/>
  <c r="GR13" i="16"/>
  <c r="GR14" i="16"/>
  <c r="GR15" i="16"/>
  <c r="GR16" i="16"/>
  <c r="GR17" i="16"/>
  <c r="GR18" i="16"/>
  <c r="GR19" i="16"/>
  <c r="GR20" i="16"/>
  <c r="GR21" i="16"/>
  <c r="GR22" i="16"/>
  <c r="GR23" i="16"/>
  <c r="GR24" i="16"/>
  <c r="GR25" i="16"/>
  <c r="GR26" i="16"/>
  <c r="GR27" i="16"/>
  <c r="GR28" i="16"/>
  <c r="GR29" i="16"/>
  <c r="GR30" i="16"/>
  <c r="GR31" i="16"/>
  <c r="GR32" i="16"/>
  <c r="GR33" i="16"/>
  <c r="GR34" i="16"/>
  <c r="GT6" i="16"/>
  <c r="GT7" i="16"/>
  <c r="GT8" i="16"/>
  <c r="GT9" i="16"/>
  <c r="GT10" i="16"/>
  <c r="GT11" i="16"/>
  <c r="GT12" i="16"/>
  <c r="GT13" i="16"/>
  <c r="GT14" i="16"/>
  <c r="GT15" i="16"/>
  <c r="GT16" i="16"/>
  <c r="GT17" i="16"/>
  <c r="GT18" i="16"/>
  <c r="GT19" i="16"/>
  <c r="GT20" i="16"/>
  <c r="GT21" i="16"/>
  <c r="GT22" i="16"/>
  <c r="GT23" i="16"/>
  <c r="GT24" i="16"/>
  <c r="GT25" i="16"/>
  <c r="GT26" i="16"/>
  <c r="GT27" i="16"/>
  <c r="GT28" i="16"/>
  <c r="GT29" i="16"/>
  <c r="GT30" i="16"/>
  <c r="GT31" i="16"/>
  <c r="GT32" i="16"/>
  <c r="GT33" i="16"/>
  <c r="GT34" i="16"/>
  <c r="HF6" i="16"/>
  <c r="HF7" i="16"/>
  <c r="HF8" i="16"/>
  <c r="HF9" i="16"/>
  <c r="HF10" i="16"/>
  <c r="HF11" i="16"/>
  <c r="HF12" i="16"/>
  <c r="HF13" i="16"/>
  <c r="HF14" i="16"/>
  <c r="HF15" i="16"/>
  <c r="HF16" i="16"/>
  <c r="HF17" i="16"/>
  <c r="HF18" i="16"/>
  <c r="HF19" i="16"/>
  <c r="HF20" i="16"/>
  <c r="HF21" i="16"/>
  <c r="HF22" i="16"/>
  <c r="HF23" i="16"/>
  <c r="HF24" i="16"/>
  <c r="HF25" i="16"/>
  <c r="HF26" i="16"/>
  <c r="HF27" i="16"/>
  <c r="HF28" i="16"/>
  <c r="HF29" i="16"/>
  <c r="HF30" i="16"/>
  <c r="HF31" i="16"/>
  <c r="HF32" i="16"/>
  <c r="HF33" i="16"/>
  <c r="HF34" i="16"/>
  <c r="HG6" i="16"/>
  <c r="HG7" i="16"/>
  <c r="HG8" i="16"/>
  <c r="HG9" i="16"/>
  <c r="HG10" i="16"/>
  <c r="HG11" i="16"/>
  <c r="HG12" i="16"/>
  <c r="HG13" i="16"/>
  <c r="HG14" i="16"/>
  <c r="HG15" i="16"/>
  <c r="HG16" i="16"/>
  <c r="HG17" i="16"/>
  <c r="HG18" i="16"/>
  <c r="HG19" i="16"/>
  <c r="HG20" i="16"/>
  <c r="HG21" i="16"/>
  <c r="HG22" i="16"/>
  <c r="HG23" i="16"/>
  <c r="HG24" i="16"/>
  <c r="HG25" i="16"/>
  <c r="HG26" i="16"/>
  <c r="HG27" i="16"/>
  <c r="HG28" i="16"/>
  <c r="HG29" i="16"/>
  <c r="HG30" i="16"/>
  <c r="HG31" i="16"/>
  <c r="HG32" i="16"/>
  <c r="HG33" i="16"/>
  <c r="HG34" i="16"/>
  <c r="HH6" i="16"/>
  <c r="HH7" i="16"/>
  <c r="HH8" i="16"/>
  <c r="HH9" i="16"/>
  <c r="HH10" i="16"/>
  <c r="HH11" i="16"/>
  <c r="HH12" i="16"/>
  <c r="HH13" i="16"/>
  <c r="HH14" i="16"/>
  <c r="HH15" i="16"/>
  <c r="HH16" i="16"/>
  <c r="HH17" i="16"/>
  <c r="HH18" i="16"/>
  <c r="HH19" i="16"/>
  <c r="HH20" i="16"/>
  <c r="HH21" i="16"/>
  <c r="HH22" i="16"/>
  <c r="HH23" i="16"/>
  <c r="HH24" i="16"/>
  <c r="HH25" i="16"/>
  <c r="HH26" i="16"/>
  <c r="HH27" i="16"/>
  <c r="HH28" i="16"/>
  <c r="HH29" i="16"/>
  <c r="HH30" i="16"/>
  <c r="HH31" i="16"/>
  <c r="HH32" i="16"/>
  <c r="HH33" i="16"/>
  <c r="HH34" i="16"/>
  <c r="HU6" i="16"/>
  <c r="HU7" i="16"/>
  <c r="HU8" i="16"/>
  <c r="HU9" i="16"/>
  <c r="HU10" i="16"/>
  <c r="HU11" i="16"/>
  <c r="HU12" i="16"/>
  <c r="HU13" i="16"/>
  <c r="HU14" i="16"/>
  <c r="HU15" i="16"/>
  <c r="HU16" i="16"/>
  <c r="HU17" i="16"/>
  <c r="HU18" i="16"/>
  <c r="HU19" i="16"/>
  <c r="HU20" i="16"/>
  <c r="HU21" i="16"/>
  <c r="HU22" i="16"/>
  <c r="HU23" i="16"/>
  <c r="HU24" i="16"/>
  <c r="HU25" i="16"/>
  <c r="HU26" i="16"/>
  <c r="HU27" i="16"/>
  <c r="HU28" i="16"/>
  <c r="HU29" i="16"/>
  <c r="HU30" i="16"/>
  <c r="HU31" i="16"/>
  <c r="HU32" i="16"/>
  <c r="HU33" i="16"/>
  <c r="HU34" i="16"/>
  <c r="HV6" i="16"/>
  <c r="HV7" i="16"/>
  <c r="HV8" i="16"/>
  <c r="HV9" i="16"/>
  <c r="HV10" i="16"/>
  <c r="HV11" i="16"/>
  <c r="HV12" i="16"/>
  <c r="HV13" i="16"/>
  <c r="HV14" i="16"/>
  <c r="HV15" i="16"/>
  <c r="HV16" i="16"/>
  <c r="HV17" i="16"/>
  <c r="HV18" i="16"/>
  <c r="HV19" i="16"/>
  <c r="HV20" i="16"/>
  <c r="HV21" i="16"/>
  <c r="HV22" i="16"/>
  <c r="HV23" i="16"/>
  <c r="HV24" i="16"/>
  <c r="HV25" i="16"/>
  <c r="HV26" i="16"/>
  <c r="HV27" i="16"/>
  <c r="HV28" i="16"/>
  <c r="HV29" i="16"/>
  <c r="HV30" i="16"/>
  <c r="HV31" i="16"/>
  <c r="HV32" i="16"/>
  <c r="HV33" i="16"/>
  <c r="HV34" i="16"/>
  <c r="HW6" i="16"/>
  <c r="HW7" i="16"/>
  <c r="HW8" i="16"/>
  <c r="HW9" i="16"/>
  <c r="HW10" i="16"/>
  <c r="HW11" i="16"/>
  <c r="HW12" i="16"/>
  <c r="HW13" i="16"/>
  <c r="HW14" i="16"/>
  <c r="HW15" i="16"/>
  <c r="HW16" i="16"/>
  <c r="HW17" i="16"/>
  <c r="HW18" i="16"/>
  <c r="HW19" i="16"/>
  <c r="HW20" i="16"/>
  <c r="HW21" i="16"/>
  <c r="HW22" i="16"/>
  <c r="HW23" i="16"/>
  <c r="HW24" i="16"/>
  <c r="HW25" i="16"/>
  <c r="HW26" i="16"/>
  <c r="HW27" i="16"/>
  <c r="HW28" i="16"/>
  <c r="HW29" i="16"/>
  <c r="HW30" i="16"/>
  <c r="HW31" i="16"/>
  <c r="HW32" i="16"/>
  <c r="HW33" i="16"/>
  <c r="HW34" i="16"/>
  <c r="HT6" i="16"/>
  <c r="HT7" i="16"/>
  <c r="HT8" i="16"/>
  <c r="HT9" i="16"/>
  <c r="HT10" i="16"/>
  <c r="HT11" i="16"/>
  <c r="HT12" i="16"/>
  <c r="HT13" i="16"/>
  <c r="HT14" i="16"/>
  <c r="HT15" i="16"/>
  <c r="HT16" i="16"/>
  <c r="HT17" i="16"/>
  <c r="HT18" i="16"/>
  <c r="HT19" i="16"/>
  <c r="HT20" i="16"/>
  <c r="HT21" i="16"/>
  <c r="HT22" i="16"/>
  <c r="HT23" i="16"/>
  <c r="HT24" i="16"/>
  <c r="HT25" i="16"/>
  <c r="HT26" i="16"/>
  <c r="HT27" i="16"/>
  <c r="HT28" i="16"/>
  <c r="HT29" i="16"/>
  <c r="HT30" i="16"/>
  <c r="HT31" i="16"/>
  <c r="HT32" i="16"/>
  <c r="HT33" i="16"/>
  <c r="HT34" i="16"/>
  <c r="HI6" i="16"/>
  <c r="HI7" i="16"/>
  <c r="HI8" i="16"/>
  <c r="HI9" i="16"/>
  <c r="HI10" i="16"/>
  <c r="HI11" i="16"/>
  <c r="HI12" i="16"/>
  <c r="HI13" i="16"/>
  <c r="HI14" i="16"/>
  <c r="HI15" i="16"/>
  <c r="HI16" i="16"/>
  <c r="HI17" i="16"/>
  <c r="HI18" i="16"/>
  <c r="HI19" i="16"/>
  <c r="HI20" i="16"/>
  <c r="HI21" i="16"/>
  <c r="HI22" i="16"/>
  <c r="HI23" i="16"/>
  <c r="HI24" i="16"/>
  <c r="HI25" i="16"/>
  <c r="HI26" i="16"/>
  <c r="HI27" i="16"/>
  <c r="HI28" i="16"/>
  <c r="HI29" i="16"/>
  <c r="HI30" i="16"/>
  <c r="HI31" i="16"/>
  <c r="HI32" i="16"/>
  <c r="HI33" i="16"/>
  <c r="HI34" i="16"/>
  <c r="HE6" i="16"/>
  <c r="HE7" i="16"/>
  <c r="HE8" i="16"/>
  <c r="HE9" i="16"/>
  <c r="HE10" i="16"/>
  <c r="HE11" i="16"/>
  <c r="HE12" i="16"/>
  <c r="HE13" i="16"/>
  <c r="HE14" i="16"/>
  <c r="HE15" i="16"/>
  <c r="HE16" i="16"/>
  <c r="HE17" i="16"/>
  <c r="HE18" i="16"/>
  <c r="HE19" i="16"/>
  <c r="HE20" i="16"/>
  <c r="HE21" i="16"/>
  <c r="HE22" i="16"/>
  <c r="HE23" i="16"/>
  <c r="HE24" i="16"/>
  <c r="HE25" i="16"/>
  <c r="HE26" i="16"/>
  <c r="HE27" i="16"/>
  <c r="HE28" i="16"/>
  <c r="HE29" i="16"/>
  <c r="HE30" i="16"/>
  <c r="HE31" i="16"/>
  <c r="HE32" i="16"/>
  <c r="HE33" i="16"/>
  <c r="HE34" i="16"/>
  <c r="GU6" i="16"/>
  <c r="GU7" i="16"/>
  <c r="GU8" i="16"/>
  <c r="GU9" i="16"/>
  <c r="GU10" i="16"/>
  <c r="GU11" i="16"/>
  <c r="GU12" i="16"/>
  <c r="GU13" i="16"/>
  <c r="GU14" i="16"/>
  <c r="GU15" i="16"/>
  <c r="GU16" i="16"/>
  <c r="GU17" i="16"/>
  <c r="GU18" i="16"/>
  <c r="GU19" i="16"/>
  <c r="GU20" i="16"/>
  <c r="GU21" i="16"/>
  <c r="GU22" i="16"/>
  <c r="GU23" i="16"/>
  <c r="GU24" i="16"/>
  <c r="GU25" i="16"/>
  <c r="GU26" i="16"/>
  <c r="GU27" i="16"/>
  <c r="GU28" i="16"/>
  <c r="GU29" i="16"/>
  <c r="GU30" i="16"/>
  <c r="GU31" i="16"/>
  <c r="GU32" i="16"/>
  <c r="GU33" i="16"/>
  <c r="GU34" i="16"/>
  <c r="GQ6" i="16"/>
  <c r="GQ7" i="16"/>
  <c r="GQ8" i="16"/>
  <c r="GQ9" i="16"/>
  <c r="GQ10" i="16"/>
  <c r="GQ11" i="16"/>
  <c r="GQ12" i="16"/>
  <c r="GQ13" i="16"/>
  <c r="GQ14" i="16"/>
  <c r="GQ15" i="16"/>
  <c r="GQ16" i="16"/>
  <c r="GQ17" i="16"/>
  <c r="GQ18" i="16"/>
  <c r="GQ19" i="16"/>
  <c r="GQ20" i="16"/>
  <c r="GQ21" i="16"/>
  <c r="GQ22" i="16"/>
  <c r="GQ23" i="16"/>
  <c r="GQ24" i="16"/>
  <c r="GQ25" i="16"/>
  <c r="GQ26" i="16"/>
  <c r="GQ27" i="16"/>
  <c r="GQ28" i="16"/>
  <c r="GQ29" i="16"/>
  <c r="GQ30" i="16"/>
  <c r="GQ31" i="16"/>
  <c r="GQ32" i="16"/>
  <c r="GQ33" i="16"/>
  <c r="GQ34" i="16"/>
  <c r="GV6" i="16"/>
  <c r="GV7" i="16"/>
  <c r="GV8" i="16"/>
  <c r="GV9" i="16"/>
  <c r="GV10" i="16"/>
  <c r="GV11" i="16"/>
  <c r="GV12" i="16"/>
  <c r="GV13" i="16"/>
  <c r="GV14" i="16"/>
  <c r="GV15" i="16"/>
  <c r="GV16" i="16"/>
  <c r="GV17" i="16"/>
  <c r="GV18" i="16"/>
  <c r="GV19" i="16"/>
  <c r="GV20" i="16"/>
  <c r="GV21" i="16"/>
  <c r="GV22" i="16"/>
  <c r="GV23" i="16"/>
  <c r="GV24" i="16"/>
  <c r="GV25" i="16"/>
  <c r="GV26" i="16"/>
  <c r="GV27" i="16"/>
  <c r="GV28" i="16"/>
  <c r="GV29" i="16"/>
  <c r="GV30" i="16"/>
  <c r="GV31" i="16"/>
  <c r="GV32" i="16"/>
  <c r="GV33" i="16"/>
  <c r="GV34" i="16"/>
  <c r="HD6" i="16"/>
  <c r="HD7" i="16"/>
  <c r="HD8" i="16"/>
  <c r="HD9" i="16"/>
  <c r="HD10" i="16"/>
  <c r="HD11" i="16"/>
  <c r="HD12" i="16"/>
  <c r="HD13" i="16"/>
  <c r="HD14" i="16"/>
  <c r="HD15" i="16"/>
  <c r="HD16" i="16"/>
  <c r="HD17" i="16"/>
  <c r="HD18" i="16"/>
  <c r="HD19" i="16"/>
  <c r="HD20" i="16"/>
  <c r="HD21" i="16"/>
  <c r="HD22" i="16"/>
  <c r="HD23" i="16"/>
  <c r="HD24" i="16"/>
  <c r="HD25" i="16"/>
  <c r="HD26" i="16"/>
  <c r="HD27" i="16"/>
  <c r="HD28" i="16"/>
  <c r="HD29" i="16"/>
  <c r="HD30" i="16"/>
  <c r="HD31" i="16"/>
  <c r="HD32" i="16"/>
  <c r="HD33" i="16"/>
  <c r="HD34" i="16"/>
  <c r="HJ6" i="16"/>
  <c r="HJ7" i="16"/>
  <c r="HJ8" i="16"/>
  <c r="HJ9" i="16"/>
  <c r="HJ10" i="16"/>
  <c r="HJ11" i="16"/>
  <c r="HJ12" i="16"/>
  <c r="HJ13" i="16"/>
  <c r="HJ14" i="16"/>
  <c r="HJ15" i="16"/>
  <c r="HJ16" i="16"/>
  <c r="HJ17" i="16"/>
  <c r="HJ18" i="16"/>
  <c r="HJ19" i="16"/>
  <c r="HJ20" i="16"/>
  <c r="HJ21" i="16"/>
  <c r="HJ22" i="16"/>
  <c r="HJ23" i="16"/>
  <c r="HJ24" i="16"/>
  <c r="HJ25" i="16"/>
  <c r="HJ26" i="16"/>
  <c r="HJ27" i="16"/>
  <c r="HJ28" i="16"/>
  <c r="HJ29" i="16"/>
  <c r="HJ30" i="16"/>
  <c r="HJ31" i="16"/>
  <c r="HJ32" i="16"/>
  <c r="HJ33" i="16"/>
  <c r="HJ34" i="16"/>
  <c r="HS6" i="16"/>
  <c r="HS7" i="16"/>
  <c r="HS8" i="16"/>
  <c r="HS9" i="16"/>
  <c r="HS10" i="16"/>
  <c r="HS11" i="16"/>
  <c r="HS12" i="16"/>
  <c r="HS13" i="16"/>
  <c r="HS14" i="16"/>
  <c r="HS15" i="16"/>
  <c r="HS16" i="16"/>
  <c r="HS17" i="16"/>
  <c r="HS18" i="16"/>
  <c r="HS19" i="16"/>
  <c r="HS20" i="16"/>
  <c r="HS21" i="16"/>
  <c r="HS22" i="16"/>
  <c r="HS23" i="16"/>
  <c r="HS24" i="16"/>
  <c r="HS25" i="16"/>
  <c r="HS26" i="16"/>
  <c r="HS27" i="16"/>
  <c r="HS28" i="16"/>
  <c r="HS29" i="16"/>
  <c r="HS30" i="16"/>
  <c r="HS31" i="16"/>
  <c r="HS32" i="16"/>
  <c r="HS33" i="16"/>
  <c r="HS34" i="16"/>
  <c r="HX6" i="16"/>
  <c r="HX7" i="16"/>
  <c r="HX8" i="16"/>
  <c r="HX9" i="16"/>
  <c r="HX10" i="16"/>
  <c r="HX11" i="16"/>
  <c r="HX12" i="16"/>
  <c r="HX13" i="16"/>
  <c r="HX14" i="16"/>
  <c r="HX15" i="16"/>
  <c r="HX16" i="16"/>
  <c r="HX17" i="16"/>
  <c r="HX18" i="16"/>
  <c r="HX19" i="16"/>
  <c r="HX20" i="16"/>
  <c r="HX21" i="16"/>
  <c r="HX22" i="16"/>
  <c r="HX23" i="16"/>
  <c r="HX24" i="16"/>
  <c r="HX25" i="16"/>
  <c r="HX26" i="16"/>
  <c r="HX27" i="16"/>
  <c r="HX28" i="16"/>
  <c r="HX29" i="16"/>
  <c r="HX30" i="16"/>
  <c r="HX31" i="16"/>
  <c r="HX32" i="16"/>
  <c r="HX33" i="16"/>
  <c r="HX34" i="16"/>
  <c r="HR6" i="16"/>
  <c r="HR7" i="16"/>
  <c r="HR8" i="16"/>
  <c r="HR9" i="16"/>
  <c r="HR10" i="16"/>
  <c r="HR11" i="16"/>
  <c r="HR12" i="16"/>
  <c r="HR13" i="16"/>
  <c r="HR14" i="16"/>
  <c r="HR15" i="16"/>
  <c r="HR16" i="16"/>
  <c r="HR17" i="16"/>
  <c r="HR18" i="16"/>
  <c r="HR19" i="16"/>
  <c r="HR20" i="16"/>
  <c r="HR21" i="16"/>
  <c r="HR22" i="16"/>
  <c r="HR23" i="16"/>
  <c r="HR24" i="16"/>
  <c r="HR25" i="16"/>
  <c r="HR26" i="16"/>
  <c r="HR27" i="16"/>
  <c r="HR28" i="16"/>
  <c r="HR29" i="16"/>
  <c r="HR30" i="16"/>
  <c r="HR31" i="16"/>
  <c r="HR32" i="16"/>
  <c r="HR33" i="16"/>
  <c r="HR34" i="16"/>
  <c r="HK6" i="16"/>
  <c r="HK7" i="16"/>
  <c r="HK8" i="16"/>
  <c r="HK9" i="16"/>
  <c r="HK10" i="16"/>
  <c r="HK11" i="16"/>
  <c r="HK12" i="16"/>
  <c r="HK13" i="16"/>
  <c r="HK14" i="16"/>
  <c r="HK15" i="16"/>
  <c r="HK16" i="16"/>
  <c r="HK17" i="16"/>
  <c r="HK18" i="16"/>
  <c r="HK19" i="16"/>
  <c r="HK20" i="16"/>
  <c r="HK21" i="16"/>
  <c r="HK22" i="16"/>
  <c r="HK23" i="16"/>
  <c r="HK24" i="16"/>
  <c r="HK25" i="16"/>
  <c r="HK26" i="16"/>
  <c r="HK27" i="16"/>
  <c r="HK28" i="16"/>
  <c r="HK29" i="16"/>
  <c r="HK30" i="16"/>
  <c r="HK31" i="16"/>
  <c r="HK32" i="16"/>
  <c r="HK33" i="16"/>
  <c r="HK34" i="16"/>
  <c r="HB6" i="16"/>
  <c r="HB7" i="16"/>
  <c r="HB8" i="16"/>
  <c r="HB9" i="16"/>
  <c r="HB10" i="16"/>
  <c r="HB11" i="16"/>
  <c r="HB12" i="16"/>
  <c r="HB13" i="16"/>
  <c r="HB14" i="16"/>
  <c r="HB15" i="16"/>
  <c r="HB16" i="16"/>
  <c r="HB17" i="16"/>
  <c r="HB18" i="16"/>
  <c r="HB19" i="16"/>
  <c r="HB20" i="16"/>
  <c r="HB21" i="16"/>
  <c r="HB22" i="16"/>
  <c r="HB23" i="16"/>
  <c r="HB24" i="16"/>
  <c r="HB25" i="16"/>
  <c r="HB26" i="16"/>
  <c r="HB27" i="16"/>
  <c r="HB28" i="16"/>
  <c r="HB29" i="16"/>
  <c r="HB30" i="16"/>
  <c r="HB31" i="16"/>
  <c r="HB32" i="16"/>
  <c r="HB33" i="16"/>
  <c r="HB34" i="16"/>
  <c r="GO6" i="16"/>
  <c r="GO7" i="16"/>
  <c r="GO8" i="16"/>
  <c r="GO9" i="16"/>
  <c r="GO10" i="16"/>
  <c r="GO11" i="16"/>
  <c r="GO12" i="16"/>
  <c r="GO13" i="16"/>
  <c r="GO14" i="16"/>
  <c r="GO15" i="16"/>
  <c r="GO16" i="16"/>
  <c r="GO17" i="16"/>
  <c r="GO18" i="16"/>
  <c r="GO19" i="16"/>
  <c r="GO20" i="16"/>
  <c r="GO21" i="16"/>
  <c r="GO22" i="16"/>
  <c r="GO23" i="16"/>
  <c r="GO24" i="16"/>
  <c r="GO25" i="16"/>
  <c r="GO26" i="16"/>
  <c r="GO27" i="16"/>
  <c r="GO28" i="16"/>
  <c r="GO29" i="16"/>
  <c r="GO30" i="16"/>
  <c r="GO31" i="16"/>
  <c r="GO32" i="16"/>
  <c r="GO33" i="16"/>
  <c r="GO34" i="16"/>
  <c r="GI6" i="16"/>
  <c r="GI7" i="16"/>
  <c r="GI8" i="16"/>
  <c r="GI9" i="16"/>
  <c r="GI10" i="16"/>
  <c r="GI11" i="16"/>
  <c r="GI12" i="16"/>
  <c r="GI13" i="16"/>
  <c r="GI14" i="16"/>
  <c r="GI15" i="16"/>
  <c r="GI16" i="16"/>
  <c r="GI17" i="16"/>
  <c r="GI18" i="16"/>
  <c r="GI19" i="16"/>
  <c r="GI20" i="16"/>
  <c r="GI21" i="16"/>
  <c r="GI22" i="16"/>
  <c r="GI23" i="16"/>
  <c r="GI24" i="16"/>
  <c r="GI25" i="16"/>
  <c r="GI26" i="16"/>
  <c r="GI27" i="16"/>
  <c r="GI28" i="16"/>
  <c r="GI29" i="16"/>
  <c r="GI30" i="16"/>
  <c r="GI31" i="16"/>
  <c r="GI32" i="16"/>
  <c r="GI33" i="16"/>
  <c r="GI34" i="16"/>
  <c r="GN6" i="16"/>
  <c r="GN7" i="16"/>
  <c r="GN8" i="16"/>
  <c r="GN9" i="16"/>
  <c r="GN10" i="16"/>
  <c r="GN11" i="16"/>
  <c r="GN12" i="16"/>
  <c r="GN13" i="16"/>
  <c r="GN14" i="16"/>
  <c r="GN15" i="16"/>
  <c r="GN16" i="16"/>
  <c r="GN17" i="16"/>
  <c r="GN18" i="16"/>
  <c r="GN19" i="16"/>
  <c r="GN20" i="16"/>
  <c r="GN21" i="16"/>
  <c r="GN22" i="16"/>
  <c r="GN23" i="16"/>
  <c r="GN24" i="16"/>
  <c r="GN25" i="16"/>
  <c r="GN26" i="16"/>
  <c r="GN27" i="16"/>
  <c r="GN28" i="16"/>
  <c r="GN29" i="16"/>
  <c r="GN30" i="16"/>
  <c r="GN31" i="16"/>
  <c r="GN32" i="16"/>
  <c r="GN33" i="16"/>
  <c r="GN34" i="16"/>
  <c r="HA6" i="16"/>
  <c r="HA7" i="16"/>
  <c r="HA8" i="16"/>
  <c r="HA9" i="16"/>
  <c r="HA10" i="16"/>
  <c r="HA11" i="16"/>
  <c r="HA12" i="16"/>
  <c r="HA13" i="16"/>
  <c r="HA14" i="16"/>
  <c r="HA15" i="16"/>
  <c r="HA16" i="16"/>
  <c r="HA17" i="16"/>
  <c r="HA18" i="16"/>
  <c r="HA19" i="16"/>
  <c r="HA20" i="16"/>
  <c r="HA21" i="16"/>
  <c r="HA22" i="16"/>
  <c r="HA23" i="16"/>
  <c r="HA24" i="16"/>
  <c r="HA25" i="16"/>
  <c r="HA26" i="16"/>
  <c r="HA27" i="16"/>
  <c r="HA28" i="16"/>
  <c r="HA29" i="16"/>
  <c r="HA30" i="16"/>
  <c r="HA31" i="16"/>
  <c r="HA32" i="16"/>
  <c r="HA33" i="16"/>
  <c r="HA34" i="16"/>
  <c r="HL6" i="16"/>
  <c r="HL7" i="16"/>
  <c r="HL8" i="16"/>
  <c r="HL9" i="16"/>
  <c r="HL10" i="16"/>
  <c r="HL11" i="16"/>
  <c r="HL12" i="16"/>
  <c r="HL13" i="16"/>
  <c r="HL14" i="16"/>
  <c r="HL15" i="16"/>
  <c r="HL16" i="16"/>
  <c r="HL17" i="16"/>
  <c r="HL18" i="16"/>
  <c r="HL19" i="16"/>
  <c r="HL20" i="16"/>
  <c r="HL21" i="16"/>
  <c r="HL22" i="16"/>
  <c r="HL23" i="16"/>
  <c r="HL24" i="16"/>
  <c r="HL25" i="16"/>
  <c r="HL26" i="16"/>
  <c r="HL27" i="16"/>
  <c r="HL28" i="16"/>
  <c r="HL29" i="16"/>
  <c r="HL30" i="16"/>
  <c r="HL31" i="16"/>
  <c r="HL32" i="16"/>
  <c r="HL33" i="16"/>
  <c r="HL34" i="16"/>
  <c r="HY6" i="16"/>
  <c r="HY7" i="16"/>
  <c r="HY8" i="16"/>
  <c r="HY9" i="16"/>
  <c r="HY10" i="16"/>
  <c r="HY11" i="16"/>
  <c r="HY12" i="16"/>
  <c r="HY13" i="16"/>
  <c r="HY14" i="16"/>
  <c r="HY15" i="16"/>
  <c r="HY16" i="16"/>
  <c r="HY17" i="16"/>
  <c r="HY18" i="16"/>
  <c r="HY19" i="16"/>
  <c r="HY20" i="16"/>
  <c r="HY21" i="16"/>
  <c r="HY22" i="16"/>
  <c r="HY23" i="16"/>
  <c r="HY24" i="16"/>
  <c r="HY25" i="16"/>
  <c r="HY26" i="16"/>
  <c r="HY27" i="16"/>
  <c r="HY28" i="16"/>
  <c r="HY29" i="16"/>
  <c r="HY30" i="16"/>
  <c r="HY31" i="16"/>
  <c r="HY32" i="16"/>
  <c r="HY33" i="16"/>
  <c r="HY34" i="16"/>
  <c r="HM6" i="16"/>
  <c r="HM7" i="16"/>
  <c r="HM8" i="16"/>
  <c r="HM9" i="16"/>
  <c r="HM10" i="16"/>
  <c r="HM11" i="16"/>
  <c r="HM12" i="16"/>
  <c r="HM13" i="16"/>
  <c r="HM14" i="16"/>
  <c r="HM15" i="16"/>
  <c r="HM16" i="16"/>
  <c r="HM17" i="16"/>
  <c r="HM18" i="16"/>
  <c r="HM19" i="16"/>
  <c r="HM20" i="16"/>
  <c r="HM21" i="16"/>
  <c r="HM22" i="16"/>
  <c r="HM23" i="16"/>
  <c r="HM24" i="16"/>
  <c r="HM25" i="16"/>
  <c r="HM26" i="16"/>
  <c r="HM27" i="16"/>
  <c r="HM28" i="16"/>
  <c r="HM29" i="16"/>
  <c r="HM30" i="16"/>
  <c r="HM31" i="16"/>
  <c r="HM32" i="16"/>
  <c r="HM33" i="16"/>
  <c r="HM34" i="16"/>
  <c r="GW6" i="16"/>
  <c r="GW7" i="16"/>
  <c r="GW8" i="16"/>
  <c r="GW9" i="16"/>
  <c r="GW10" i="16"/>
  <c r="GW11" i="16"/>
  <c r="GW12" i="16"/>
  <c r="GW13" i="16"/>
  <c r="GW14" i="16"/>
  <c r="GW15" i="16"/>
  <c r="GW16" i="16"/>
  <c r="GW17" i="16"/>
  <c r="GW18" i="16"/>
  <c r="GW19" i="16"/>
  <c r="GW20" i="16"/>
  <c r="GW21" i="16"/>
  <c r="GW22" i="16"/>
  <c r="GW23" i="16"/>
  <c r="GW24" i="16"/>
  <c r="GW25" i="16"/>
  <c r="GW26" i="16"/>
  <c r="GW27" i="16"/>
  <c r="GW28" i="16"/>
  <c r="GW29" i="16"/>
  <c r="GW30" i="16"/>
  <c r="GW31" i="16"/>
  <c r="GW32" i="16"/>
  <c r="GW33" i="16"/>
  <c r="GW34" i="16"/>
  <c r="GJ6" i="16"/>
  <c r="GJ7" i="16"/>
  <c r="GJ8" i="16"/>
  <c r="GJ9" i="16"/>
  <c r="GJ10" i="16"/>
  <c r="GJ11" i="16"/>
  <c r="GJ12" i="16"/>
  <c r="GJ13" i="16"/>
  <c r="GJ14" i="16"/>
  <c r="GJ15" i="16"/>
  <c r="GJ16" i="16"/>
  <c r="GJ17" i="16"/>
  <c r="GJ18" i="16"/>
  <c r="GJ19" i="16"/>
  <c r="GJ20" i="16"/>
  <c r="GJ21" i="16"/>
  <c r="GJ22" i="16"/>
  <c r="GJ23" i="16"/>
  <c r="GJ24" i="16"/>
  <c r="GJ25" i="16"/>
  <c r="GJ26" i="16"/>
  <c r="GJ27" i="16"/>
  <c r="GJ28" i="16"/>
  <c r="GJ29" i="16"/>
  <c r="GJ30" i="16"/>
  <c r="GJ31" i="16"/>
  <c r="GJ32" i="16"/>
  <c r="GJ33" i="16"/>
  <c r="GJ34" i="16"/>
  <c r="GM6" i="16"/>
  <c r="GM7" i="16"/>
  <c r="GM8" i="16"/>
  <c r="GM9" i="16"/>
  <c r="GM10" i="16"/>
  <c r="GM11" i="16"/>
  <c r="GM12" i="16"/>
  <c r="GM13" i="16"/>
  <c r="GM14" i="16"/>
  <c r="GM15" i="16"/>
  <c r="GM16" i="16"/>
  <c r="GM17" i="16"/>
  <c r="GM18" i="16"/>
  <c r="GM19" i="16"/>
  <c r="GM20" i="16"/>
  <c r="GM21" i="16"/>
  <c r="GM22" i="16"/>
  <c r="GM23" i="16"/>
  <c r="GM24" i="16"/>
  <c r="GM25" i="16"/>
  <c r="GM26" i="16"/>
  <c r="GM27" i="16"/>
  <c r="GM28" i="16"/>
  <c r="GM29" i="16"/>
  <c r="GM30" i="16"/>
  <c r="GM31" i="16"/>
  <c r="GM32" i="16"/>
  <c r="GM33" i="16"/>
  <c r="GM34" i="16"/>
  <c r="GZ6" i="16"/>
  <c r="GZ7" i="16"/>
  <c r="GZ9" i="16"/>
  <c r="GZ10" i="16"/>
  <c r="GZ11" i="16"/>
  <c r="GZ12" i="16"/>
  <c r="GZ13" i="16"/>
  <c r="GZ14" i="16"/>
  <c r="GZ15" i="16"/>
  <c r="GZ16" i="16"/>
  <c r="GZ17" i="16"/>
  <c r="GZ18" i="16"/>
  <c r="GZ19" i="16"/>
  <c r="GZ20" i="16"/>
  <c r="GZ21" i="16"/>
  <c r="GZ22" i="16"/>
  <c r="GZ23" i="16"/>
  <c r="GZ24" i="16"/>
  <c r="GZ25" i="16"/>
  <c r="GZ26" i="16"/>
  <c r="GZ27" i="16"/>
  <c r="GZ28" i="16"/>
  <c r="GZ29" i="16"/>
  <c r="GZ30" i="16"/>
  <c r="GZ31" i="16"/>
  <c r="GZ32" i="16"/>
  <c r="GZ33" i="16"/>
  <c r="GZ34" i="16"/>
  <c r="HN6" i="16"/>
  <c r="HN7" i="16"/>
  <c r="HN8" i="16"/>
  <c r="HN9" i="16"/>
  <c r="HN10" i="16"/>
  <c r="HN11" i="16"/>
  <c r="HN12" i="16"/>
  <c r="HN13" i="16"/>
  <c r="HN14" i="16"/>
  <c r="HN15" i="16"/>
  <c r="HN16" i="16"/>
  <c r="HN17" i="16"/>
  <c r="HN18" i="16"/>
  <c r="HN19" i="16"/>
  <c r="HN20" i="16"/>
  <c r="HN21" i="16"/>
  <c r="HN22" i="16"/>
  <c r="HN23" i="16"/>
  <c r="HN24" i="16"/>
  <c r="HN25" i="16"/>
  <c r="HN26" i="16"/>
  <c r="HN27" i="16"/>
  <c r="HN28" i="16"/>
  <c r="HN29" i="16"/>
  <c r="HN30" i="16"/>
  <c r="HN31" i="16"/>
  <c r="HN32" i="16"/>
  <c r="HN33" i="16"/>
  <c r="HN34" i="16"/>
  <c r="HZ6" i="16"/>
  <c r="HZ7" i="16"/>
  <c r="HZ8" i="16"/>
  <c r="HZ9" i="16"/>
  <c r="HZ10" i="16"/>
  <c r="HZ11" i="16"/>
  <c r="HZ12" i="16"/>
  <c r="HZ13" i="16"/>
  <c r="HZ14" i="16"/>
  <c r="HZ15" i="16"/>
  <c r="HZ16" i="16"/>
  <c r="HZ17" i="16"/>
  <c r="HZ18" i="16"/>
  <c r="HZ19" i="16"/>
  <c r="HZ20" i="16"/>
  <c r="HZ21" i="16"/>
  <c r="HZ22" i="16"/>
  <c r="HZ23" i="16"/>
  <c r="HZ24" i="16"/>
  <c r="HZ25" i="16"/>
  <c r="HZ26" i="16"/>
  <c r="HZ27" i="16"/>
  <c r="HZ28" i="16"/>
  <c r="HZ29" i="16"/>
  <c r="HZ30" i="16"/>
  <c r="HZ31" i="16"/>
  <c r="HZ32" i="16"/>
  <c r="HZ33" i="16"/>
  <c r="HZ34" i="16"/>
  <c r="IA6" i="16"/>
  <c r="IA7" i="16"/>
  <c r="IA8" i="16"/>
  <c r="IA9" i="16"/>
  <c r="IA10" i="16"/>
  <c r="IA11" i="16"/>
  <c r="IA12" i="16"/>
  <c r="IA13" i="16"/>
  <c r="IA14" i="16"/>
  <c r="IA15" i="16"/>
  <c r="IA16" i="16"/>
  <c r="IA17" i="16"/>
  <c r="IA18" i="16"/>
  <c r="IA19" i="16"/>
  <c r="IA20" i="16"/>
  <c r="IA21" i="16"/>
  <c r="IA22" i="16"/>
  <c r="IA23" i="16"/>
  <c r="IA24" i="16"/>
  <c r="IA25" i="16"/>
  <c r="IA26" i="16"/>
  <c r="IA27" i="16"/>
  <c r="IA28" i="16"/>
  <c r="IA29" i="16"/>
  <c r="IA30" i="16"/>
  <c r="IA31" i="16"/>
  <c r="IA32" i="16"/>
  <c r="IA33" i="16"/>
  <c r="IA34" i="16"/>
  <c r="GL6" i="16"/>
  <c r="GL7" i="16"/>
  <c r="GL8" i="16"/>
  <c r="GL9" i="16"/>
  <c r="GL10" i="16"/>
  <c r="GL11" i="16"/>
  <c r="GL12" i="16"/>
  <c r="GL13" i="16"/>
  <c r="GL14" i="16"/>
  <c r="GL15" i="16"/>
  <c r="GL16" i="16"/>
  <c r="GL17" i="16"/>
  <c r="GL18" i="16"/>
  <c r="GL19" i="16"/>
  <c r="GL20" i="16"/>
  <c r="GL21" i="16"/>
  <c r="GL22" i="16"/>
  <c r="GL23" i="16"/>
  <c r="GL24" i="16"/>
  <c r="GL25" i="16"/>
  <c r="GL26" i="16"/>
  <c r="GL27" i="16"/>
  <c r="GL28" i="16"/>
  <c r="GL29" i="16"/>
  <c r="GL30" i="16"/>
  <c r="GL31" i="16"/>
  <c r="GL32" i="16"/>
  <c r="GL33" i="16"/>
  <c r="GL34" i="16"/>
  <c r="GY6" i="16"/>
  <c r="GY8" i="16"/>
  <c r="GY9" i="16"/>
  <c r="GY10" i="16"/>
  <c r="GY11" i="16"/>
  <c r="GY12" i="16"/>
  <c r="GY13" i="16"/>
  <c r="GY14" i="16"/>
  <c r="GY15" i="16"/>
  <c r="GY16" i="16"/>
  <c r="GY17" i="16"/>
  <c r="GY18" i="16"/>
  <c r="GY19" i="16"/>
  <c r="GY20" i="16"/>
  <c r="GY21" i="16"/>
  <c r="GY22" i="16"/>
  <c r="GY23" i="16"/>
  <c r="GY24" i="16"/>
  <c r="GY25" i="16"/>
  <c r="GY26" i="16"/>
  <c r="GY27" i="16"/>
  <c r="GY28" i="16"/>
  <c r="GY29" i="16"/>
  <c r="GY30" i="16"/>
  <c r="GY31" i="16"/>
  <c r="GY32" i="16"/>
  <c r="GY33" i="16"/>
  <c r="GY34" i="16"/>
  <c r="HQ6" i="16"/>
  <c r="HQ7" i="16"/>
  <c r="HQ8" i="16"/>
  <c r="HQ9" i="16"/>
  <c r="HQ10" i="16"/>
  <c r="HQ11" i="16"/>
  <c r="HQ12" i="16"/>
  <c r="HQ13" i="16"/>
  <c r="HQ14" i="16"/>
  <c r="HQ15" i="16"/>
  <c r="HQ16" i="16"/>
  <c r="HQ17" i="16"/>
  <c r="HQ18" i="16"/>
  <c r="HQ19" i="16"/>
  <c r="HQ20" i="16"/>
  <c r="HQ21" i="16"/>
  <c r="HQ22" i="16"/>
  <c r="HQ23" i="16"/>
  <c r="HQ24" i="16"/>
  <c r="HQ25" i="16"/>
  <c r="HQ26" i="16"/>
  <c r="HQ27" i="16"/>
  <c r="HQ28" i="16"/>
  <c r="HQ29" i="16"/>
  <c r="HQ30" i="16"/>
  <c r="HQ31" i="16"/>
  <c r="HQ32" i="16"/>
  <c r="HQ33" i="16"/>
  <c r="HQ34" i="16"/>
  <c r="IB6" i="16"/>
  <c r="IB7" i="16"/>
  <c r="IB8" i="16"/>
  <c r="IB9" i="16"/>
  <c r="IB10" i="16"/>
  <c r="IB11" i="16"/>
  <c r="IB12" i="16"/>
  <c r="IB13" i="16"/>
  <c r="IB14" i="16"/>
  <c r="IB15" i="16"/>
  <c r="IB16" i="16"/>
  <c r="IB17" i="16"/>
  <c r="IB18" i="16"/>
  <c r="IB19" i="16"/>
  <c r="IB20" i="16"/>
  <c r="IB21" i="16"/>
  <c r="IB22" i="16"/>
  <c r="IB23" i="16"/>
  <c r="IB24" i="16"/>
  <c r="IB25" i="16"/>
  <c r="IB26" i="16"/>
  <c r="IB27" i="16"/>
  <c r="IB28" i="16"/>
  <c r="IB29" i="16"/>
  <c r="IB30" i="16"/>
  <c r="IB31" i="16"/>
  <c r="IB32" i="16"/>
  <c r="IB33" i="16"/>
  <c r="IB34" i="16"/>
  <c r="IB5" i="16"/>
  <c r="IA5" i="16"/>
  <c r="HZ5" i="16"/>
  <c r="HY5" i="16"/>
  <c r="HX5" i="16"/>
  <c r="HW5" i="16"/>
  <c r="HV5" i="16"/>
  <c r="HU5" i="16"/>
  <c r="HT5" i="16"/>
  <c r="HS5" i="16"/>
  <c r="HR5" i="16"/>
  <c r="HQ5" i="16"/>
  <c r="HO6" i="16"/>
  <c r="HO7" i="16"/>
  <c r="HO8" i="16"/>
  <c r="HO9" i="16"/>
  <c r="HO10" i="16"/>
  <c r="HO11" i="16"/>
  <c r="HO12" i="16"/>
  <c r="HO13" i="16"/>
  <c r="HO14" i="16"/>
  <c r="HO15" i="16"/>
  <c r="HO16" i="16"/>
  <c r="HO17" i="16"/>
  <c r="HO18" i="16"/>
  <c r="HO19" i="16"/>
  <c r="HO20" i="16"/>
  <c r="HO21" i="16"/>
  <c r="HO22" i="16"/>
  <c r="HO23" i="16"/>
  <c r="HO24" i="16"/>
  <c r="HO25" i="16"/>
  <c r="HO26" i="16"/>
  <c r="HO27" i="16"/>
  <c r="HO28" i="16"/>
  <c r="HO29" i="16"/>
  <c r="HO30" i="16"/>
  <c r="HO31" i="16"/>
  <c r="HO32" i="16"/>
  <c r="HO33" i="16"/>
  <c r="HO34" i="16"/>
  <c r="HO5" i="16"/>
  <c r="HN5" i="16"/>
  <c r="HM5" i="16"/>
  <c r="HL5" i="16"/>
  <c r="HK5" i="16"/>
  <c r="HJ5" i="16"/>
  <c r="HI5" i="16"/>
  <c r="HH5" i="16"/>
  <c r="HG5" i="16"/>
  <c r="HF5" i="16"/>
  <c r="HE5" i="16"/>
  <c r="HD5" i="16"/>
  <c r="HB5" i="16"/>
  <c r="HA5" i="16"/>
  <c r="GZ5" i="16"/>
  <c r="GY5" i="16"/>
  <c r="GX6" i="16"/>
  <c r="GX7" i="16"/>
  <c r="GX8" i="16"/>
  <c r="GX9" i="16"/>
  <c r="GX10" i="16"/>
  <c r="GX11" i="16"/>
  <c r="GX12" i="16"/>
  <c r="GX13" i="16"/>
  <c r="GX14" i="16"/>
  <c r="GX15" i="16"/>
  <c r="GX16" i="16"/>
  <c r="GX17" i="16"/>
  <c r="GX18" i="16"/>
  <c r="GX19" i="16"/>
  <c r="GX20" i="16"/>
  <c r="GX21" i="16"/>
  <c r="GX22" i="16"/>
  <c r="GX23" i="16"/>
  <c r="GX24" i="16"/>
  <c r="GX25" i="16"/>
  <c r="GX26" i="16"/>
  <c r="GX27" i="16"/>
  <c r="GX28" i="16"/>
  <c r="GX29" i="16"/>
  <c r="GX30" i="16"/>
  <c r="GX31" i="16"/>
  <c r="GX32" i="16"/>
  <c r="GX33" i="16"/>
  <c r="GX34" i="16"/>
  <c r="GX5" i="16"/>
  <c r="GW5" i="16"/>
  <c r="GV5" i="16"/>
  <c r="GU5" i="16"/>
  <c r="GT5" i="16"/>
  <c r="GS5" i="16"/>
  <c r="GR5" i="16"/>
  <c r="GQ5" i="16"/>
  <c r="GO5" i="16"/>
  <c r="GN5" i="16"/>
  <c r="GM5" i="16"/>
  <c r="GL5" i="16"/>
  <c r="GK6" i="16"/>
  <c r="GK7" i="16"/>
  <c r="GK8" i="16"/>
  <c r="GK9" i="16"/>
  <c r="GK10" i="16"/>
  <c r="GK11" i="16"/>
  <c r="GK12" i="16"/>
  <c r="GK13" i="16"/>
  <c r="GK14" i="16"/>
  <c r="GK15" i="16"/>
  <c r="GK16" i="16"/>
  <c r="GK17" i="16"/>
  <c r="GK18" i="16"/>
  <c r="GK19" i="16"/>
  <c r="GK20" i="16"/>
  <c r="GK21" i="16"/>
  <c r="GK22" i="16"/>
  <c r="GK23" i="16"/>
  <c r="GK24" i="16"/>
  <c r="GK25" i="16"/>
  <c r="GK26" i="16"/>
  <c r="GK27" i="16"/>
  <c r="GK28" i="16"/>
  <c r="GK29" i="16"/>
  <c r="GK30" i="16"/>
  <c r="GK31" i="16"/>
  <c r="GK32" i="16"/>
  <c r="GK33" i="16"/>
  <c r="GK34" i="16"/>
  <c r="GK5" i="16"/>
  <c r="GJ5" i="16"/>
  <c r="GI5" i="16"/>
  <c r="GH5" i="16"/>
  <c r="GG5" i="16"/>
  <c r="GF5" i="16"/>
  <c r="GE5" i="16"/>
  <c r="GD5" i="16"/>
  <c r="GC5" i="16"/>
  <c r="GB5" i="16"/>
  <c r="GA5" i="16"/>
  <c r="FZ5" i="16"/>
  <c r="FY5" i="16"/>
  <c r="FX5" i="16"/>
  <c r="FW5" i="16"/>
  <c r="FV5" i="16"/>
  <c r="FU6" i="16"/>
  <c r="FU7" i="16"/>
  <c r="FU8" i="16"/>
  <c r="FU9" i="16"/>
  <c r="FU10" i="16"/>
  <c r="FU11" i="16"/>
  <c r="FU12" i="16"/>
  <c r="FU13" i="16"/>
  <c r="FU14" i="16"/>
  <c r="FU15" i="16"/>
  <c r="FU16" i="16"/>
  <c r="FU17" i="16"/>
  <c r="FU18" i="16"/>
  <c r="FU19" i="16"/>
  <c r="FU20" i="16"/>
  <c r="FU21" i="16"/>
  <c r="FU22" i="16"/>
  <c r="FU23" i="16"/>
  <c r="FU24" i="16"/>
  <c r="FU25" i="16"/>
  <c r="FU26" i="16"/>
  <c r="FU27" i="16"/>
  <c r="FU28" i="16"/>
  <c r="FU29" i="16"/>
  <c r="FU30" i="16"/>
  <c r="FU31" i="16"/>
  <c r="FU32" i="16"/>
  <c r="FU33" i="16"/>
  <c r="FU34" i="16"/>
  <c r="FU5" i="16"/>
  <c r="FT5" i="16"/>
  <c r="FS5" i="16"/>
  <c r="FR5" i="16"/>
  <c r="FP5" i="16"/>
  <c r="FO5" i="16"/>
  <c r="FN5" i="16"/>
  <c r="FM5" i="16"/>
  <c r="FL5" i="16"/>
  <c r="FK5" i="16"/>
  <c r="FI5" i="16"/>
  <c r="FH6" i="16"/>
  <c r="FH7" i="16"/>
  <c r="FH8" i="16"/>
  <c r="FH9" i="16"/>
  <c r="FH10" i="16"/>
  <c r="FH11" i="16"/>
  <c r="FH12" i="16"/>
  <c r="FH13" i="16"/>
  <c r="FH14" i="16"/>
  <c r="FH15" i="16"/>
  <c r="FH16" i="16"/>
  <c r="FH17" i="16"/>
  <c r="FH18" i="16"/>
  <c r="FH19" i="16"/>
  <c r="FH20" i="16"/>
  <c r="FH21" i="16"/>
  <c r="FH22" i="16"/>
  <c r="FH23" i="16"/>
  <c r="FH24" i="16"/>
  <c r="FH25" i="16"/>
  <c r="FH26" i="16"/>
  <c r="FH27" i="16"/>
  <c r="FH28" i="16"/>
  <c r="FH29" i="16"/>
  <c r="FH30" i="16"/>
  <c r="FH31" i="16"/>
  <c r="FH32" i="16"/>
  <c r="FH33" i="16"/>
  <c r="FH34" i="16"/>
  <c r="FH5" i="16"/>
  <c r="FG5" i="16"/>
  <c r="FE5" i="16"/>
  <c r="FC5" i="16"/>
  <c r="FB5" i="16"/>
  <c r="FA5" i="16"/>
  <c r="EZ5" i="16"/>
  <c r="EY5" i="16"/>
  <c r="EX5" i="16"/>
  <c r="EW5" i="16"/>
  <c r="EV5" i="16"/>
  <c r="EU5" i="16"/>
  <c r="ET5" i="16"/>
  <c r="ES5" i="16"/>
  <c r="ER5" i="16"/>
  <c r="DQ6" i="16"/>
  <c r="DQ7" i="16"/>
  <c r="DQ8" i="16"/>
  <c r="DQ9" i="16"/>
  <c r="DQ10" i="16"/>
  <c r="DQ11" i="16"/>
  <c r="DQ12" i="16"/>
  <c r="DQ13" i="16"/>
  <c r="DQ14" i="16"/>
  <c r="DQ15" i="16"/>
  <c r="DQ16" i="16"/>
  <c r="DQ17" i="16"/>
  <c r="DQ18" i="16"/>
  <c r="DQ19" i="16"/>
  <c r="DQ20" i="16"/>
  <c r="DQ21" i="16"/>
  <c r="DQ22" i="16"/>
  <c r="DQ23" i="16"/>
  <c r="DQ24" i="16"/>
  <c r="DQ25" i="16"/>
  <c r="DQ26" i="16"/>
  <c r="DQ27" i="16"/>
  <c r="DQ28" i="16"/>
  <c r="DQ29" i="16"/>
  <c r="DQ30" i="16"/>
  <c r="DQ31" i="16"/>
  <c r="DQ32" i="16"/>
  <c r="DQ33" i="16"/>
  <c r="DQ34" i="16"/>
  <c r="DP7" i="16"/>
  <c r="DP8" i="16"/>
  <c r="DP9" i="16"/>
  <c r="DP10" i="16"/>
  <c r="DP11" i="16"/>
  <c r="DP12" i="16"/>
  <c r="DP13" i="16"/>
  <c r="DP14" i="16"/>
  <c r="DP15" i="16"/>
  <c r="DP16" i="16"/>
  <c r="DP17" i="16"/>
  <c r="DP18" i="16"/>
  <c r="DP19" i="16"/>
  <c r="DP20" i="16"/>
  <c r="DP21" i="16"/>
  <c r="DP22" i="16"/>
  <c r="DP23" i="16"/>
  <c r="DP24" i="16"/>
  <c r="DP25" i="16"/>
  <c r="DP26" i="16"/>
  <c r="DP27" i="16"/>
  <c r="DP28" i="16"/>
  <c r="DP29" i="16"/>
  <c r="DP30" i="16"/>
  <c r="DP31" i="16"/>
  <c r="DP32" i="16"/>
  <c r="DP33" i="16"/>
  <c r="DP34" i="16"/>
  <c r="DQ5" i="16"/>
  <c r="FQ30" i="16" l="1"/>
  <c r="FQ7" i="16"/>
  <c r="FQ29" i="16"/>
  <c r="FD24" i="16"/>
  <c r="FQ25" i="16"/>
  <c r="GP17" i="16"/>
  <c r="FQ26" i="16"/>
  <c r="IC13" i="16"/>
  <c r="FQ21" i="16"/>
  <c r="IC34" i="16"/>
  <c r="IC12" i="16"/>
  <c r="IC9" i="16"/>
  <c r="FQ19" i="16"/>
  <c r="FQ18" i="16"/>
  <c r="IC31" i="16"/>
  <c r="IC32" i="16"/>
  <c r="GP34" i="16"/>
  <c r="EQ22" i="16"/>
  <c r="DT22" i="16" s="1"/>
  <c r="IC14" i="16"/>
  <c r="HC33" i="16"/>
  <c r="HC11" i="16"/>
  <c r="EQ21" i="16"/>
  <c r="DT21" i="16" s="1"/>
  <c r="HC32" i="16"/>
  <c r="EQ20" i="16"/>
  <c r="DT20" i="16" s="1"/>
  <c r="EQ23" i="16"/>
  <c r="DT23" i="16" s="1"/>
  <c r="HP31" i="16"/>
  <c r="HP9" i="16"/>
  <c r="HC23" i="16"/>
  <c r="FD33" i="16"/>
  <c r="FD11" i="16"/>
  <c r="FQ13" i="16"/>
  <c r="HP13" i="16"/>
  <c r="HC24" i="16"/>
  <c r="FD34" i="16"/>
  <c r="FD12" i="16"/>
  <c r="FQ14" i="16"/>
  <c r="EQ13" i="16"/>
  <c r="DT13" i="16" s="1"/>
  <c r="HP30" i="16"/>
  <c r="HC22" i="16"/>
  <c r="FD32" i="16"/>
  <c r="FD20" i="16"/>
  <c r="FQ34" i="16"/>
  <c r="FQ12" i="16"/>
  <c r="GP26" i="16"/>
  <c r="EQ18" i="16"/>
  <c r="DT18" i="16" s="1"/>
  <c r="EQ17" i="16"/>
  <c r="DT17" i="16" s="1"/>
  <c r="FQ20" i="16"/>
  <c r="GP11" i="16"/>
  <c r="FD14" i="16"/>
  <c r="HP32" i="16"/>
  <c r="HC19" i="16"/>
  <c r="HP26" i="16"/>
  <c r="HP22" i="16"/>
  <c r="HP29" i="16"/>
  <c r="HP7" i="16"/>
  <c r="HC14" i="16"/>
  <c r="HC21" i="16"/>
  <c r="IC27" i="16"/>
  <c r="FD31" i="16"/>
  <c r="FD9" i="16"/>
  <c r="FQ23" i="16"/>
  <c r="GP30" i="16"/>
  <c r="GP14" i="16"/>
  <c r="FD19" i="16"/>
  <c r="FQ33" i="16"/>
  <c r="FQ11" i="16"/>
  <c r="GP25" i="16"/>
  <c r="HC9" i="16"/>
  <c r="IC11" i="16"/>
  <c r="HC30" i="16"/>
  <c r="HC27" i="16"/>
  <c r="GP27" i="16"/>
  <c r="IC7" i="16"/>
  <c r="HP11" i="16"/>
  <c r="IC23" i="16"/>
  <c r="HC20" i="16"/>
  <c r="IC22" i="16"/>
  <c r="HP27" i="16"/>
  <c r="IC25" i="16"/>
  <c r="IC24" i="16"/>
  <c r="FD29" i="16"/>
  <c r="FD7" i="16"/>
  <c r="GP28" i="16"/>
  <c r="FQ31" i="16"/>
  <c r="FQ9" i="16"/>
  <c r="GP23" i="16"/>
  <c r="HC31" i="16"/>
  <c r="IC33" i="16"/>
  <c r="HC29" i="16"/>
  <c r="GP33" i="16"/>
  <c r="HC28" i="16"/>
  <c r="HC26" i="16"/>
  <c r="HC25" i="16"/>
  <c r="FD13" i="16"/>
  <c r="FQ15" i="16"/>
  <c r="FD30" i="16"/>
  <c r="EQ14" i="16"/>
  <c r="DT14" i="16" s="1"/>
  <c r="GP13" i="16"/>
  <c r="GP24" i="16"/>
  <c r="FQ22" i="16"/>
  <c r="IC21" i="16"/>
  <c r="FD28" i="16"/>
  <c r="FD23" i="16"/>
  <c r="FQ8" i="16"/>
  <c r="GP22" i="16"/>
  <c r="EQ34" i="16"/>
  <c r="DT34" i="16" s="1"/>
  <c r="HP17" i="16"/>
  <c r="HP33" i="16"/>
  <c r="IC28" i="16"/>
  <c r="GP7" i="16"/>
  <c r="IC20" i="16"/>
  <c r="HC15" i="16"/>
  <c r="HP25" i="16"/>
  <c r="HC17" i="16"/>
  <c r="HP21" i="16"/>
  <c r="HC13" i="16"/>
  <c r="FD27" i="16"/>
  <c r="GP32" i="16"/>
  <c r="FQ24" i="16"/>
  <c r="FD22" i="16"/>
  <c r="GP21" i="16"/>
  <c r="EQ33" i="16"/>
  <c r="DT33" i="16" s="1"/>
  <c r="EQ11" i="16"/>
  <c r="DT11" i="16" s="1"/>
  <c r="FD18" i="16"/>
  <c r="HP14" i="16"/>
  <c r="HP34" i="16"/>
  <c r="HP28" i="16"/>
  <c r="IC26" i="16"/>
  <c r="GP29" i="16"/>
  <c r="FQ32" i="16"/>
  <c r="IC19" i="16"/>
  <c r="HP24" i="16"/>
  <c r="HP20" i="16"/>
  <c r="HC34" i="16"/>
  <c r="HC12" i="16"/>
  <c r="FD26" i="16"/>
  <c r="GP31" i="16"/>
  <c r="FQ28" i="16"/>
  <c r="GP20" i="16"/>
  <c r="EQ32" i="16"/>
  <c r="DT32" i="16" s="1"/>
  <c r="FD17" i="16"/>
  <c r="EQ19" i="16"/>
  <c r="DT19" i="16" s="1"/>
  <c r="FQ17" i="16"/>
  <c r="IC29" i="16"/>
  <c r="HP12" i="16"/>
  <c r="IC18" i="16"/>
  <c r="HP23" i="16"/>
  <c r="HP19" i="16"/>
  <c r="HC18" i="16"/>
  <c r="FD25" i="16"/>
  <c r="FQ27" i="16"/>
  <c r="GP19" i="16"/>
  <c r="IC17" i="16"/>
  <c r="IC30" i="16"/>
  <c r="HP18" i="16"/>
  <c r="EQ24" i="16"/>
  <c r="DT24" i="16" s="1"/>
  <c r="GP18" i="16"/>
  <c r="DU15" i="82"/>
  <c r="DA15" i="82" s="1"/>
  <c r="GG14" i="82"/>
  <c r="FD15" i="16"/>
  <c r="GP15" i="16"/>
  <c r="HP15" i="16"/>
  <c r="IC15" i="16"/>
  <c r="GT14" i="82"/>
  <c r="HT14" i="82"/>
  <c r="EV14" i="82"/>
  <c r="DV14" i="82"/>
  <c r="CX14" i="82" s="1"/>
  <c r="EI14" i="82"/>
  <c r="HG14" i="82"/>
  <c r="HP16" i="16"/>
  <c r="FQ16" i="16"/>
  <c r="HC16" i="16"/>
  <c r="IC16" i="16"/>
  <c r="FD16" i="16"/>
  <c r="DU13" i="82"/>
  <c r="DA13" i="82" s="1"/>
  <c r="GP16" i="16"/>
  <c r="EQ5" i="16"/>
  <c r="IC10" i="16"/>
  <c r="GP10" i="16"/>
  <c r="HP10" i="16"/>
  <c r="FD10" i="16"/>
  <c r="IC8" i="16"/>
  <c r="HP8" i="16"/>
  <c r="GP8" i="16"/>
  <c r="FD8" i="16"/>
  <c r="EQ16" i="16"/>
  <c r="DT16" i="16" s="1"/>
  <c r="EQ15" i="16"/>
  <c r="DT15" i="16" s="1"/>
  <c r="FD21" i="16"/>
  <c r="EQ31" i="16"/>
  <c r="DT31" i="16" s="1"/>
  <c r="EQ30" i="16"/>
  <c r="DT30" i="16" s="1"/>
  <c r="EQ29" i="16"/>
  <c r="DT29" i="16" s="1"/>
  <c r="EQ28" i="16"/>
  <c r="DT28" i="16" s="1"/>
  <c r="EQ27" i="16"/>
  <c r="DT27" i="16" s="1"/>
  <c r="AZ35" i="16"/>
  <c r="EQ26" i="16"/>
  <c r="DT26" i="16" s="1"/>
  <c r="EQ25" i="16"/>
  <c r="DT25" i="16" s="1"/>
  <c r="IC6" i="16"/>
  <c r="FQ6" i="16"/>
  <c r="GP6" i="16"/>
  <c r="FD6" i="16"/>
  <c r="HC6" i="16"/>
  <c r="HP6" i="16"/>
  <c r="EQ6" i="16"/>
  <c r="DT6" i="16" s="1"/>
  <c r="FD5" i="16"/>
  <c r="GP5" i="16"/>
  <c r="HC5" i="16"/>
  <c r="FQ5" i="16"/>
  <c r="IC5" i="16"/>
  <c r="HP5" i="16"/>
  <c r="EN6" i="16"/>
  <c r="EN7" i="16"/>
  <c r="EN8" i="16"/>
  <c r="EN9" i="16"/>
  <c r="EN10" i="16"/>
  <c r="EN11" i="16"/>
  <c r="EN12" i="16"/>
  <c r="EN13" i="16"/>
  <c r="EN14" i="16"/>
  <c r="EN15" i="16"/>
  <c r="EN16" i="16"/>
  <c r="EN17" i="16"/>
  <c r="EN18" i="16"/>
  <c r="EN19" i="16"/>
  <c r="EN20" i="16"/>
  <c r="EN21" i="16"/>
  <c r="EN22" i="16"/>
  <c r="EN23" i="16"/>
  <c r="EN24" i="16"/>
  <c r="EN25" i="16"/>
  <c r="EN26" i="16"/>
  <c r="EN27" i="16"/>
  <c r="EN28" i="16"/>
  <c r="EN29" i="16"/>
  <c r="EN30" i="16"/>
  <c r="EN31" i="16"/>
  <c r="EN32" i="16"/>
  <c r="EN33" i="16"/>
  <c r="EN34" i="16"/>
  <c r="EM6" i="16"/>
  <c r="EM7" i="16"/>
  <c r="EM8" i="16"/>
  <c r="EM9" i="16"/>
  <c r="EM10" i="16"/>
  <c r="EM11" i="16"/>
  <c r="EM12" i="16"/>
  <c r="EM13" i="16"/>
  <c r="EM14" i="16"/>
  <c r="EM15" i="16"/>
  <c r="EM16" i="16"/>
  <c r="EM17" i="16"/>
  <c r="EM18" i="16"/>
  <c r="EM19" i="16"/>
  <c r="EM20" i="16"/>
  <c r="EM21" i="16"/>
  <c r="EM22" i="16"/>
  <c r="EM23" i="16"/>
  <c r="EM24" i="16"/>
  <c r="EM25" i="16"/>
  <c r="EM26" i="16"/>
  <c r="EM27" i="16"/>
  <c r="EM28" i="16"/>
  <c r="EM29" i="16"/>
  <c r="EM30" i="16"/>
  <c r="EM31" i="16"/>
  <c r="EM32" i="16"/>
  <c r="EM33" i="16"/>
  <c r="EM34" i="16"/>
  <c r="EL6" i="16"/>
  <c r="EL7" i="16"/>
  <c r="EL8" i="16"/>
  <c r="EL9" i="16"/>
  <c r="EL10" i="16"/>
  <c r="EL11" i="16"/>
  <c r="EL12" i="16"/>
  <c r="EL13" i="16"/>
  <c r="EL14" i="16"/>
  <c r="EL15" i="16"/>
  <c r="EL16" i="16"/>
  <c r="EL17" i="16"/>
  <c r="EL18" i="16"/>
  <c r="EL19" i="16"/>
  <c r="EL20" i="16"/>
  <c r="EL21" i="16"/>
  <c r="EL22" i="16"/>
  <c r="EL23" i="16"/>
  <c r="EL24" i="16"/>
  <c r="EL25" i="16"/>
  <c r="EL26" i="16"/>
  <c r="EL27" i="16"/>
  <c r="EL28" i="16"/>
  <c r="EL29" i="16"/>
  <c r="EL30" i="16"/>
  <c r="EL31" i="16"/>
  <c r="EL32" i="16"/>
  <c r="EL33" i="16"/>
  <c r="EL34" i="16"/>
  <c r="EK6" i="16"/>
  <c r="EK7" i="16"/>
  <c r="EK8" i="16"/>
  <c r="EK9" i="16"/>
  <c r="EK10" i="16"/>
  <c r="EK11" i="16"/>
  <c r="EK12" i="16"/>
  <c r="EK13" i="16"/>
  <c r="EK14" i="16"/>
  <c r="EK15" i="16"/>
  <c r="EK16" i="16"/>
  <c r="EK17" i="16"/>
  <c r="EK18" i="16"/>
  <c r="EK19" i="16"/>
  <c r="EK20" i="16"/>
  <c r="EK21" i="16"/>
  <c r="EK22" i="16"/>
  <c r="EK23" i="16"/>
  <c r="EK24" i="16"/>
  <c r="EK25" i="16"/>
  <c r="EK26" i="16"/>
  <c r="EK27" i="16"/>
  <c r="EK28" i="16"/>
  <c r="EK29" i="16"/>
  <c r="EK30" i="16"/>
  <c r="EK31" i="16"/>
  <c r="EK32" i="16"/>
  <c r="EK33" i="16"/>
  <c r="EK34" i="16"/>
  <c r="EN5" i="16"/>
  <c r="EM5" i="16"/>
  <c r="EL5" i="16"/>
  <c r="EK5" i="16"/>
  <c r="EJ6" i="16"/>
  <c r="EJ7" i="16"/>
  <c r="EJ8" i="16"/>
  <c r="EJ9" i="16"/>
  <c r="EJ10" i="16"/>
  <c r="EJ11" i="16"/>
  <c r="EJ12" i="16"/>
  <c r="EJ13" i="16"/>
  <c r="EJ14" i="16"/>
  <c r="EJ15" i="16"/>
  <c r="EJ16" i="16"/>
  <c r="EJ17" i="16"/>
  <c r="EJ18" i="16"/>
  <c r="EJ19" i="16"/>
  <c r="EJ20" i="16"/>
  <c r="EJ21" i="16"/>
  <c r="EJ22" i="16"/>
  <c r="EJ23" i="16"/>
  <c r="EJ24" i="16"/>
  <c r="EJ25" i="16"/>
  <c r="EJ26" i="16"/>
  <c r="EJ27" i="16"/>
  <c r="EJ28" i="16"/>
  <c r="EJ29" i="16"/>
  <c r="EJ30" i="16"/>
  <c r="EJ31" i="16"/>
  <c r="EJ32" i="16"/>
  <c r="EJ33" i="16"/>
  <c r="EJ34" i="16"/>
  <c r="EJ5" i="16"/>
  <c r="EI6" i="16"/>
  <c r="EI7" i="16"/>
  <c r="EI8" i="16"/>
  <c r="EI9" i="16"/>
  <c r="EI10" i="16"/>
  <c r="EI11" i="16"/>
  <c r="EI12" i="16"/>
  <c r="EI13" i="16"/>
  <c r="EI14" i="16"/>
  <c r="EI15" i="16"/>
  <c r="EI16" i="16"/>
  <c r="EI17" i="16"/>
  <c r="EI18" i="16"/>
  <c r="EI19" i="16"/>
  <c r="EI20" i="16"/>
  <c r="EI21" i="16"/>
  <c r="EI22" i="16"/>
  <c r="EI23" i="16"/>
  <c r="EI24" i="16"/>
  <c r="EI25" i="16"/>
  <c r="EI26" i="16"/>
  <c r="EI27" i="16"/>
  <c r="EI28" i="16"/>
  <c r="EI29" i="16"/>
  <c r="EI30" i="16"/>
  <c r="EI31" i="16"/>
  <c r="EI32" i="16"/>
  <c r="EI33" i="16"/>
  <c r="EI34" i="16"/>
  <c r="EI5" i="16"/>
  <c r="EF6" i="16"/>
  <c r="EF7" i="16"/>
  <c r="EF8" i="16"/>
  <c r="EF9" i="16"/>
  <c r="EF10" i="16"/>
  <c r="EF11" i="16"/>
  <c r="EF12" i="16"/>
  <c r="EF13" i="16"/>
  <c r="EF14" i="16"/>
  <c r="EF15" i="16"/>
  <c r="EF16" i="16"/>
  <c r="EF17" i="16"/>
  <c r="EF18" i="16"/>
  <c r="EF19" i="16"/>
  <c r="EF20" i="16"/>
  <c r="EF21" i="16"/>
  <c r="EF22" i="16"/>
  <c r="EF23" i="16"/>
  <c r="EF24" i="16"/>
  <c r="EF25" i="16"/>
  <c r="EF26" i="16"/>
  <c r="EF27" i="16"/>
  <c r="EF28" i="16"/>
  <c r="EF29" i="16"/>
  <c r="EF30" i="16"/>
  <c r="EF31" i="16"/>
  <c r="EF32" i="16"/>
  <c r="EF33" i="16"/>
  <c r="EF34" i="16"/>
  <c r="EE6" i="16"/>
  <c r="EE7" i="16"/>
  <c r="EE8" i="16"/>
  <c r="EE9" i="16"/>
  <c r="EE10" i="16"/>
  <c r="EE11" i="16"/>
  <c r="EE12" i="16"/>
  <c r="EE13" i="16"/>
  <c r="EE14" i="16"/>
  <c r="EE15" i="16"/>
  <c r="EE16" i="16"/>
  <c r="EE17" i="16"/>
  <c r="EE18" i="16"/>
  <c r="EE19" i="16"/>
  <c r="EE20" i="16"/>
  <c r="EE21" i="16"/>
  <c r="EE22" i="16"/>
  <c r="EE23" i="16"/>
  <c r="EE24" i="16"/>
  <c r="EE25" i="16"/>
  <c r="EE26" i="16"/>
  <c r="EE27" i="16"/>
  <c r="EE28" i="16"/>
  <c r="EE29" i="16"/>
  <c r="EE30" i="16"/>
  <c r="EE31" i="16"/>
  <c r="EE32" i="16"/>
  <c r="EE33" i="16"/>
  <c r="EE34" i="16"/>
  <c r="ED6" i="16"/>
  <c r="ED7" i="16"/>
  <c r="ED8" i="16"/>
  <c r="ED9" i="16"/>
  <c r="ED10" i="16"/>
  <c r="ED11" i="16"/>
  <c r="ED12" i="16"/>
  <c r="ED13" i="16"/>
  <c r="ED14" i="16"/>
  <c r="ED15" i="16"/>
  <c r="ED16" i="16"/>
  <c r="ED17" i="16"/>
  <c r="ED18" i="16"/>
  <c r="ED19" i="16"/>
  <c r="ED20" i="16"/>
  <c r="ED21" i="16"/>
  <c r="ED22" i="16"/>
  <c r="ED23" i="16"/>
  <c r="ED24" i="16"/>
  <c r="ED25" i="16"/>
  <c r="ED26" i="16"/>
  <c r="ED27" i="16"/>
  <c r="ED28" i="16"/>
  <c r="ED29" i="16"/>
  <c r="ED30" i="16"/>
  <c r="ED31" i="16"/>
  <c r="ED32" i="16"/>
  <c r="ED33" i="16"/>
  <c r="ED34" i="16"/>
  <c r="EC6" i="16"/>
  <c r="EC7" i="16"/>
  <c r="EC8" i="16"/>
  <c r="EC9" i="16"/>
  <c r="EC10" i="16"/>
  <c r="EC11" i="16"/>
  <c r="EC12" i="16"/>
  <c r="EC13" i="16"/>
  <c r="EC14" i="16"/>
  <c r="EC15" i="16"/>
  <c r="EC16" i="16"/>
  <c r="EC17" i="16"/>
  <c r="EC18" i="16"/>
  <c r="EC19" i="16"/>
  <c r="EC20" i="16"/>
  <c r="EC21" i="16"/>
  <c r="EC22" i="16"/>
  <c r="EC23" i="16"/>
  <c r="EC24" i="16"/>
  <c r="EC25" i="16"/>
  <c r="EC26" i="16"/>
  <c r="EC27" i="16"/>
  <c r="EC28" i="16"/>
  <c r="EC29" i="16"/>
  <c r="EC30" i="16"/>
  <c r="EC31" i="16"/>
  <c r="EC32" i="16"/>
  <c r="EC33" i="16"/>
  <c r="EC34" i="16"/>
  <c r="EB6" i="16"/>
  <c r="EB7" i="16"/>
  <c r="EB8" i="16"/>
  <c r="EB9" i="16"/>
  <c r="EB10" i="16"/>
  <c r="EB11" i="16"/>
  <c r="EB12" i="16"/>
  <c r="EB13" i="16"/>
  <c r="EB14" i="16"/>
  <c r="EB15" i="16"/>
  <c r="EB16" i="16"/>
  <c r="EB17" i="16"/>
  <c r="EB18" i="16"/>
  <c r="EB19" i="16"/>
  <c r="EB20" i="16"/>
  <c r="EB21" i="16"/>
  <c r="EB22" i="16"/>
  <c r="EB23" i="16"/>
  <c r="EB24" i="16"/>
  <c r="EB25" i="16"/>
  <c r="EB26" i="16"/>
  <c r="EB27" i="16"/>
  <c r="EB28" i="16"/>
  <c r="EB29" i="16"/>
  <c r="EB30" i="16"/>
  <c r="EB31" i="16"/>
  <c r="EB32" i="16"/>
  <c r="EB33" i="16"/>
  <c r="EB34" i="16"/>
  <c r="EF5" i="16"/>
  <c r="EE5" i="16"/>
  <c r="ED5" i="16"/>
  <c r="EC5" i="16"/>
  <c r="EB5" i="16"/>
  <c r="EA6" i="16"/>
  <c r="EA7" i="16"/>
  <c r="EA8" i="16"/>
  <c r="EA9" i="16"/>
  <c r="EA10" i="16"/>
  <c r="EA11" i="16"/>
  <c r="EA12" i="16"/>
  <c r="EA13" i="16"/>
  <c r="EA14" i="16"/>
  <c r="EA15" i="16"/>
  <c r="EA16" i="16"/>
  <c r="EA17" i="16"/>
  <c r="EA18" i="16"/>
  <c r="EA19" i="16"/>
  <c r="EA20" i="16"/>
  <c r="EA21" i="16"/>
  <c r="EA22" i="16"/>
  <c r="EA23" i="16"/>
  <c r="EA24" i="16"/>
  <c r="EA25" i="16"/>
  <c r="EA26" i="16"/>
  <c r="EA27" i="16"/>
  <c r="EA28" i="16"/>
  <c r="EA29" i="16"/>
  <c r="EA30" i="16"/>
  <c r="EA31" i="16"/>
  <c r="EA32" i="16"/>
  <c r="EA33" i="16"/>
  <c r="EA34" i="16"/>
  <c r="EA5" i="16"/>
  <c r="DU62" i="16"/>
  <c r="DU61" i="16"/>
  <c r="DU63" i="16" s="1"/>
  <c r="DZ5" i="16" l="1"/>
  <c r="DL5" i="16" s="1"/>
  <c r="DN5" i="16" s="1"/>
  <c r="DZ7" i="16"/>
  <c r="IJ7" i="16" s="1"/>
  <c r="DU14" i="82"/>
  <c r="DA14" i="82" s="1"/>
  <c r="II7" i="16"/>
  <c r="DZ29" i="16"/>
  <c r="IF29" i="16" s="1"/>
  <c r="EH31" i="16"/>
  <c r="IU31" i="16" s="1"/>
  <c r="EH30" i="16"/>
  <c r="JC30" i="16" s="1"/>
  <c r="EH8" i="16"/>
  <c r="DM8" i="16" s="1"/>
  <c r="DO8" i="16" s="1"/>
  <c r="EH29" i="16"/>
  <c r="IT29" i="16" s="1"/>
  <c r="EH7" i="16"/>
  <c r="IT7" i="16" s="1"/>
  <c r="EH28" i="16"/>
  <c r="DZ28" i="16"/>
  <c r="DL28" i="16" s="1"/>
  <c r="DN28" i="16" s="1"/>
  <c r="DZ6" i="16"/>
  <c r="II6" i="16" s="1"/>
  <c r="EH6" i="16"/>
  <c r="DM6" i="16" s="1"/>
  <c r="DO6" i="16" s="1"/>
  <c r="DM7" i="16"/>
  <c r="DO7" i="16" s="1"/>
  <c r="JB7" i="16"/>
  <c r="JE7" i="16"/>
  <c r="IZ7" i="16"/>
  <c r="IU7" i="16"/>
  <c r="IX7" i="16"/>
  <c r="JA7" i="16"/>
  <c r="JD7" i="16"/>
  <c r="DM31" i="16"/>
  <c r="DO31" i="16" s="1"/>
  <c r="IV31" i="16"/>
  <c r="IY31" i="16"/>
  <c r="JB31" i="16"/>
  <c r="JE31" i="16"/>
  <c r="JC31" i="16"/>
  <c r="IT31" i="16"/>
  <c r="JA31" i="16"/>
  <c r="JD31" i="16"/>
  <c r="IW31" i="16"/>
  <c r="DM30" i="16"/>
  <c r="DO30" i="16" s="1"/>
  <c r="IY30" i="16"/>
  <c r="JB30" i="16"/>
  <c r="JE30" i="16"/>
  <c r="JA30" i="16"/>
  <c r="JD30" i="16"/>
  <c r="IT30" i="16"/>
  <c r="IV30" i="16"/>
  <c r="IZ30" i="16"/>
  <c r="DM28" i="16"/>
  <c r="DO28" i="16" s="1"/>
  <c r="JE28" i="16"/>
  <c r="IY28" i="16"/>
  <c r="JB28" i="16"/>
  <c r="IU28" i="16"/>
  <c r="IX28" i="16"/>
  <c r="JA28" i="16"/>
  <c r="JC28" i="16"/>
  <c r="JD28" i="16"/>
  <c r="IT28" i="16"/>
  <c r="IV28" i="16"/>
  <c r="IW28" i="16"/>
  <c r="IZ28" i="16"/>
  <c r="JD8" i="16"/>
  <c r="DM29" i="16"/>
  <c r="DO29" i="16" s="1"/>
  <c r="JB29" i="16"/>
  <c r="JE29" i="16"/>
  <c r="IU29" i="16"/>
  <c r="IX29" i="16"/>
  <c r="JA29" i="16"/>
  <c r="IZ29" i="16"/>
  <c r="JD29" i="16"/>
  <c r="IV29" i="16"/>
  <c r="IM28" i="16"/>
  <c r="IK28" i="16"/>
  <c r="IQ28" i="16"/>
  <c r="II28" i="16"/>
  <c r="IN28" i="16"/>
  <c r="IG28" i="16"/>
  <c r="IJ28" i="16"/>
  <c r="IP28" i="16"/>
  <c r="DL29" i="16"/>
  <c r="DN29" i="16" s="1"/>
  <c r="IL29" i="16"/>
  <c r="IO29" i="16"/>
  <c r="IN29" i="16"/>
  <c r="IJ29" i="16"/>
  <c r="IH29" i="16"/>
  <c r="II29" i="16"/>
  <c r="IK29" i="16"/>
  <c r="IQ29" i="16"/>
  <c r="IG29" i="16"/>
  <c r="IM29" i="16"/>
  <c r="EH10" i="16"/>
  <c r="IM7" i="16"/>
  <c r="IG7" i="16"/>
  <c r="IQ7" i="16"/>
  <c r="EH9" i="16"/>
  <c r="IK7" i="16"/>
  <c r="DZ34" i="16"/>
  <c r="DZ33" i="16"/>
  <c r="DZ32" i="16"/>
  <c r="EH12" i="16"/>
  <c r="DZ31" i="16"/>
  <c r="DZ30" i="16"/>
  <c r="EH34" i="16"/>
  <c r="EH33" i="16"/>
  <c r="IO7" i="16"/>
  <c r="EH32" i="16"/>
  <c r="IL7" i="16"/>
  <c r="EH13" i="16"/>
  <c r="EH16" i="16"/>
  <c r="EH15" i="16"/>
  <c r="EH14" i="16"/>
  <c r="EH11" i="16"/>
  <c r="EH19" i="16"/>
  <c r="EH18" i="16"/>
  <c r="EH17" i="16"/>
  <c r="EH27" i="16"/>
  <c r="EH26" i="16"/>
  <c r="EH25" i="16"/>
  <c r="EH24" i="16"/>
  <c r="EH23" i="16"/>
  <c r="EH22" i="16"/>
  <c r="EH21" i="16"/>
  <c r="EH20" i="16"/>
  <c r="DZ13" i="16"/>
  <c r="DZ12" i="16"/>
  <c r="DZ10" i="16"/>
  <c r="DZ9" i="16"/>
  <c r="DZ8" i="16"/>
  <c r="DZ19" i="16"/>
  <c r="DZ18" i="16"/>
  <c r="DZ17" i="16"/>
  <c r="DZ16" i="16"/>
  <c r="DZ15" i="16"/>
  <c r="DZ14" i="16"/>
  <c r="DZ11" i="16"/>
  <c r="DZ26" i="16"/>
  <c r="DZ25" i="16"/>
  <c r="DZ24" i="16"/>
  <c r="DZ23" i="16"/>
  <c r="DZ22" i="16"/>
  <c r="DZ21" i="16"/>
  <c r="DZ27" i="16"/>
  <c r="DZ20" i="16"/>
  <c r="JA8" i="16" l="1"/>
  <c r="IX8" i="16"/>
  <c r="DL7" i="16"/>
  <c r="DN7" i="16" s="1"/>
  <c r="IU8" i="16"/>
  <c r="JC8" i="16"/>
  <c r="IF7" i="16"/>
  <c r="IP7" i="16"/>
  <c r="IH7" i="16"/>
  <c r="IY7" i="16"/>
  <c r="IP6" i="16"/>
  <c r="IJ6" i="16"/>
  <c r="IG6" i="16"/>
  <c r="IM6" i="16"/>
  <c r="IQ6" i="16"/>
  <c r="IH6" i="16"/>
  <c r="IN6" i="16"/>
  <c r="IZ8" i="16"/>
  <c r="IW6" i="16"/>
  <c r="IT6" i="16"/>
  <c r="IZ6" i="16"/>
  <c r="IT8" i="16"/>
  <c r="IV8" i="16"/>
  <c r="IV7" i="16"/>
  <c r="JB6" i="16"/>
  <c r="DL6" i="16"/>
  <c r="DN6" i="16" s="1"/>
  <c r="IL6" i="16"/>
  <c r="IH28" i="16"/>
  <c r="JD6" i="16"/>
  <c r="JA6" i="16"/>
  <c r="IF28" i="16"/>
  <c r="IX6" i="16"/>
  <c r="IO6" i="16"/>
  <c r="IL28" i="16"/>
  <c r="IE28" i="16" s="1"/>
  <c r="DR28" i="16" s="1"/>
  <c r="DU28" i="16" s="1"/>
  <c r="JE6" i="16"/>
  <c r="JC29" i="16"/>
  <c r="JE8" i="16"/>
  <c r="IW30" i="16"/>
  <c r="IY8" i="16"/>
  <c r="IF6" i="16"/>
  <c r="JC6" i="16"/>
  <c r="IU6" i="16"/>
  <c r="IO28" i="16"/>
  <c r="IV6" i="16"/>
  <c r="IW8" i="16"/>
  <c r="IY29" i="16"/>
  <c r="JB8" i="16"/>
  <c r="IX30" i="16"/>
  <c r="IZ31" i="16"/>
  <c r="JC7" i="16"/>
  <c r="IP29" i="16"/>
  <c r="IW29" i="16"/>
  <c r="IS29" i="16" s="1"/>
  <c r="DS29" i="16" s="1"/>
  <c r="DV29" i="16" s="1"/>
  <c r="IU30" i="16"/>
  <c r="IS30" i="16" s="1"/>
  <c r="DS30" i="16" s="1"/>
  <c r="DV30" i="16" s="1"/>
  <c r="IX31" i="16"/>
  <c r="IS31" i="16" s="1"/>
  <c r="DS31" i="16" s="1"/>
  <c r="DV31" i="16" s="1"/>
  <c r="IW7" i="16"/>
  <c r="DL8" i="16"/>
  <c r="DN8" i="16" s="1"/>
  <c r="II8" i="16"/>
  <c r="IL8" i="16"/>
  <c r="IK8" i="16"/>
  <c r="IP8" i="16"/>
  <c r="IF8" i="16"/>
  <c r="IG8" i="16"/>
  <c r="IM8" i="16"/>
  <c r="IH8" i="16"/>
  <c r="IN8" i="16"/>
  <c r="IQ8" i="16"/>
  <c r="IJ8" i="16"/>
  <c r="DM20" i="16"/>
  <c r="DO20" i="16" s="1"/>
  <c r="IT20" i="16"/>
  <c r="IU20" i="16"/>
  <c r="IW20" i="16"/>
  <c r="IZ20" i="16"/>
  <c r="JC20" i="16"/>
  <c r="IX20" i="16"/>
  <c r="JD20" i="16"/>
  <c r="JA20" i="16"/>
  <c r="IV20" i="16"/>
  <c r="IY20" i="16"/>
  <c r="JB20" i="16"/>
  <c r="JE20" i="16"/>
  <c r="DL12" i="16"/>
  <c r="DN12" i="16" s="1"/>
  <c r="IG12" i="16"/>
  <c r="II12" i="16"/>
  <c r="IL12" i="16"/>
  <c r="IQ12" i="16"/>
  <c r="IO12" i="16"/>
  <c r="IJ12" i="16"/>
  <c r="IP12" i="16"/>
  <c r="IF12" i="16"/>
  <c r="IM12" i="16"/>
  <c r="IH12" i="16"/>
  <c r="IK12" i="16"/>
  <c r="IN12" i="16"/>
  <c r="DL13" i="16"/>
  <c r="DN13" i="16" s="1"/>
  <c r="IP13" i="16"/>
  <c r="IG13" i="16"/>
  <c r="II13" i="16"/>
  <c r="IN13" i="16"/>
  <c r="IJ13" i="16"/>
  <c r="IL13" i="16"/>
  <c r="IO13" i="16"/>
  <c r="IM13" i="16"/>
  <c r="IH13" i="16"/>
  <c r="IK13" i="16"/>
  <c r="IQ13" i="16"/>
  <c r="IF13" i="16"/>
  <c r="DM10" i="16"/>
  <c r="DO10" i="16" s="1"/>
  <c r="IV10" i="16"/>
  <c r="IY10" i="16"/>
  <c r="IW10" i="16"/>
  <c r="JB10" i="16"/>
  <c r="JE10" i="16"/>
  <c r="IU10" i="16"/>
  <c r="IZ10" i="16"/>
  <c r="IX10" i="16"/>
  <c r="JA10" i="16"/>
  <c r="JD10" i="16"/>
  <c r="IT10" i="16"/>
  <c r="JC10" i="16"/>
  <c r="DL31" i="16"/>
  <c r="DN31" i="16" s="1"/>
  <c r="IM31" i="16"/>
  <c r="IP31" i="16"/>
  <c r="II31" i="16"/>
  <c r="IH31" i="16"/>
  <c r="IL31" i="16"/>
  <c r="IO31" i="16"/>
  <c r="IJ31" i="16"/>
  <c r="IK31" i="16"/>
  <c r="IN31" i="16"/>
  <c r="IQ31" i="16"/>
  <c r="IF31" i="16"/>
  <c r="IG31" i="16"/>
  <c r="DL9" i="16"/>
  <c r="DN9" i="16" s="1"/>
  <c r="IK9" i="16"/>
  <c r="II9" i="16"/>
  <c r="IL9" i="16"/>
  <c r="IF9" i="16"/>
  <c r="IM9" i="16"/>
  <c r="IO9" i="16"/>
  <c r="IJ9" i="16"/>
  <c r="IH9" i="16"/>
  <c r="IP9" i="16"/>
  <c r="IN9" i="16"/>
  <c r="IQ9" i="16"/>
  <c r="IG9" i="16"/>
  <c r="DM33" i="16"/>
  <c r="DO33" i="16" s="1"/>
  <c r="IW33" i="16"/>
  <c r="IV33" i="16"/>
  <c r="IY33" i="16"/>
  <c r="JB33" i="16"/>
  <c r="JE33" i="16"/>
  <c r="IT33" i="16"/>
  <c r="IZ33" i="16"/>
  <c r="JC33" i="16"/>
  <c r="IU33" i="16"/>
  <c r="IX33" i="16"/>
  <c r="JA33" i="16"/>
  <c r="JD33" i="16"/>
  <c r="DM22" i="16"/>
  <c r="DO22" i="16" s="1"/>
  <c r="JA22" i="16"/>
  <c r="JE22" i="16"/>
  <c r="JD22" i="16"/>
  <c r="IX22" i="16"/>
  <c r="IY22" i="16"/>
  <c r="IT22" i="16"/>
  <c r="IW22" i="16"/>
  <c r="IZ22" i="16"/>
  <c r="IU22" i="16"/>
  <c r="JC22" i="16"/>
  <c r="IV22" i="16"/>
  <c r="JB22" i="16"/>
  <c r="DM25" i="16"/>
  <c r="DO25" i="16" s="1"/>
  <c r="IU25" i="16"/>
  <c r="IX25" i="16"/>
  <c r="JA25" i="16"/>
  <c r="JD25" i="16"/>
  <c r="IT25" i="16"/>
  <c r="IV25" i="16"/>
  <c r="IY25" i="16"/>
  <c r="JB25" i="16"/>
  <c r="IW25" i="16"/>
  <c r="IZ25" i="16"/>
  <c r="JC25" i="16"/>
  <c r="JE25" i="16"/>
  <c r="DL24" i="16"/>
  <c r="DN24" i="16" s="1"/>
  <c r="IH24" i="16"/>
  <c r="IK24" i="16"/>
  <c r="IG24" i="16"/>
  <c r="IJ24" i="16"/>
  <c r="IN24" i="16"/>
  <c r="IQ24" i="16"/>
  <c r="IF24" i="16"/>
  <c r="IO24" i="16"/>
  <c r="II24" i="16"/>
  <c r="IL24" i="16"/>
  <c r="IM24" i="16"/>
  <c r="IP24" i="16"/>
  <c r="DL25" i="16"/>
  <c r="DN25" i="16" s="1"/>
  <c r="IG25" i="16"/>
  <c r="IH25" i="16"/>
  <c r="II25" i="16"/>
  <c r="IK25" i="16"/>
  <c r="IN25" i="16"/>
  <c r="IQ25" i="16"/>
  <c r="IF25" i="16"/>
  <c r="IO25" i="16"/>
  <c r="IL25" i="16"/>
  <c r="IJ25" i="16"/>
  <c r="IM25" i="16"/>
  <c r="IP25" i="16"/>
  <c r="IS28" i="16"/>
  <c r="DS28" i="16" s="1"/>
  <c r="DV28" i="16" s="1"/>
  <c r="DL26" i="16"/>
  <c r="DN26" i="16" s="1"/>
  <c r="IH26" i="16"/>
  <c r="IL26" i="16"/>
  <c r="IK26" i="16"/>
  <c r="IN26" i="16"/>
  <c r="IQ26" i="16"/>
  <c r="IF26" i="16"/>
  <c r="IG26" i="16"/>
  <c r="II26" i="16"/>
  <c r="IJ26" i="16"/>
  <c r="IM26" i="16"/>
  <c r="IP26" i="16"/>
  <c r="IO26" i="16"/>
  <c r="DM19" i="16"/>
  <c r="DO19" i="16" s="1"/>
  <c r="IT19" i="16"/>
  <c r="IW19" i="16"/>
  <c r="IZ19" i="16"/>
  <c r="JC19" i="16"/>
  <c r="IX19" i="16"/>
  <c r="JD19" i="16"/>
  <c r="IV19" i="16"/>
  <c r="IY19" i="16"/>
  <c r="IU19" i="16"/>
  <c r="JB19" i="16"/>
  <c r="JA19" i="16"/>
  <c r="JE19" i="16"/>
  <c r="DM21" i="16"/>
  <c r="DO21" i="16" s="1"/>
  <c r="JD21" i="16"/>
  <c r="IX21" i="16"/>
  <c r="IT21" i="16"/>
  <c r="IW21" i="16"/>
  <c r="IZ21" i="16"/>
  <c r="JC21" i="16"/>
  <c r="JB21" i="16"/>
  <c r="JA21" i="16"/>
  <c r="IU21" i="16"/>
  <c r="IV21" i="16"/>
  <c r="IY21" i="16"/>
  <c r="JE21" i="16"/>
  <c r="DL21" i="16"/>
  <c r="DN21" i="16" s="1"/>
  <c r="IN21" i="16"/>
  <c r="IQ21" i="16"/>
  <c r="IF21" i="16"/>
  <c r="IK21" i="16"/>
  <c r="IG21" i="16"/>
  <c r="IJ21" i="16"/>
  <c r="IM21" i="16"/>
  <c r="IL21" i="16"/>
  <c r="IP21" i="16"/>
  <c r="IH21" i="16"/>
  <c r="II21" i="16"/>
  <c r="IO21" i="16"/>
  <c r="IE29" i="16"/>
  <c r="DR29" i="16" s="1"/>
  <c r="DU29" i="16" s="1"/>
  <c r="DL23" i="16"/>
  <c r="DN23" i="16" s="1"/>
  <c r="IH23" i="16"/>
  <c r="IK23" i="16"/>
  <c r="IM23" i="16"/>
  <c r="IN23" i="16"/>
  <c r="IJ23" i="16"/>
  <c r="IQ23" i="16"/>
  <c r="IF23" i="16"/>
  <c r="IL23" i="16"/>
  <c r="IG23" i="16"/>
  <c r="IO23" i="16"/>
  <c r="IP23" i="16"/>
  <c r="II23" i="16"/>
  <c r="DM11" i="16"/>
  <c r="DO11" i="16" s="1"/>
  <c r="JC11" i="16"/>
  <c r="IV11" i="16"/>
  <c r="IY11" i="16"/>
  <c r="JB11" i="16"/>
  <c r="JE11" i="16"/>
  <c r="IZ11" i="16"/>
  <c r="IT11" i="16"/>
  <c r="IU11" i="16"/>
  <c r="IX11" i="16"/>
  <c r="JA11" i="16"/>
  <c r="JD11" i="16"/>
  <c r="IW11" i="16"/>
  <c r="DL10" i="16"/>
  <c r="DN10" i="16" s="1"/>
  <c r="IG10" i="16"/>
  <c r="II10" i="16"/>
  <c r="IL10" i="16"/>
  <c r="IH10" i="16"/>
  <c r="IM10" i="16"/>
  <c r="IO10" i="16"/>
  <c r="IP10" i="16"/>
  <c r="IK10" i="16"/>
  <c r="IN10" i="16"/>
  <c r="IQ10" i="16"/>
  <c r="IF10" i="16"/>
  <c r="IJ10" i="16"/>
  <c r="DM32" i="16"/>
  <c r="DO32" i="16" s="1"/>
  <c r="IV32" i="16"/>
  <c r="IY32" i="16"/>
  <c r="JB32" i="16"/>
  <c r="JE32" i="16"/>
  <c r="IU32" i="16"/>
  <c r="IX32" i="16"/>
  <c r="JA32" i="16"/>
  <c r="IZ32" i="16"/>
  <c r="JC32" i="16"/>
  <c r="JD32" i="16"/>
  <c r="IT32" i="16"/>
  <c r="IW32" i="16"/>
  <c r="IN5" i="16"/>
  <c r="IM5" i="16"/>
  <c r="IO5" i="16"/>
  <c r="IL5" i="16"/>
  <c r="IJ5" i="16"/>
  <c r="II5" i="16"/>
  <c r="IH5" i="16"/>
  <c r="IG5" i="16"/>
  <c r="IQ5" i="16"/>
  <c r="IF5" i="16"/>
  <c r="IP5" i="16"/>
  <c r="DL27" i="16"/>
  <c r="DN27" i="16" s="1"/>
  <c r="IH27" i="16"/>
  <c r="IG27" i="16"/>
  <c r="IK27" i="16"/>
  <c r="IP27" i="16"/>
  <c r="IN27" i="16"/>
  <c r="IQ27" i="16"/>
  <c r="IF27" i="16"/>
  <c r="IL27" i="16"/>
  <c r="IO27" i="16"/>
  <c r="II27" i="16"/>
  <c r="IJ27" i="16"/>
  <c r="IM27" i="16"/>
  <c r="DM23" i="16"/>
  <c r="DO23" i="16" s="1"/>
  <c r="IX23" i="16"/>
  <c r="JA23" i="16"/>
  <c r="IU23" i="16"/>
  <c r="JD23" i="16"/>
  <c r="JB23" i="16"/>
  <c r="IT23" i="16"/>
  <c r="IW23" i="16"/>
  <c r="IV23" i="16"/>
  <c r="JE23" i="16"/>
  <c r="IZ23" i="16"/>
  <c r="JC23" i="16"/>
  <c r="IY23" i="16"/>
  <c r="DM24" i="16"/>
  <c r="DO24" i="16" s="1"/>
  <c r="IU24" i="16"/>
  <c r="JE24" i="16"/>
  <c r="IX24" i="16"/>
  <c r="JA24" i="16"/>
  <c r="JD24" i="16"/>
  <c r="IT24" i="16"/>
  <c r="IW24" i="16"/>
  <c r="IZ24" i="16"/>
  <c r="JB24" i="16"/>
  <c r="JC24" i="16"/>
  <c r="IY24" i="16"/>
  <c r="IV24" i="16"/>
  <c r="DM12" i="16"/>
  <c r="DO12" i="16" s="1"/>
  <c r="IT12" i="16"/>
  <c r="IV12" i="16"/>
  <c r="IY12" i="16"/>
  <c r="JB12" i="16"/>
  <c r="JE12" i="16"/>
  <c r="IU12" i="16"/>
  <c r="IZ12" i="16"/>
  <c r="IX12" i="16"/>
  <c r="IW12" i="16"/>
  <c r="JA12" i="16"/>
  <c r="JD12" i="16"/>
  <c r="JC12" i="16"/>
  <c r="DM26" i="16"/>
  <c r="DO26" i="16" s="1"/>
  <c r="IU26" i="16"/>
  <c r="IX26" i="16"/>
  <c r="JA26" i="16"/>
  <c r="IY26" i="16"/>
  <c r="JD26" i="16"/>
  <c r="JB26" i="16"/>
  <c r="IV26" i="16"/>
  <c r="IT26" i="16"/>
  <c r="IW26" i="16"/>
  <c r="IZ26" i="16"/>
  <c r="JC26" i="16"/>
  <c r="JE26" i="16"/>
  <c r="DM27" i="16"/>
  <c r="DO27" i="16" s="1"/>
  <c r="IV27" i="16"/>
  <c r="IU27" i="16"/>
  <c r="IX27" i="16"/>
  <c r="JA27" i="16"/>
  <c r="JD27" i="16"/>
  <c r="JB27" i="16"/>
  <c r="IY27" i="16"/>
  <c r="JE27" i="16"/>
  <c r="IT27" i="16"/>
  <c r="IW27" i="16"/>
  <c r="IZ27" i="16"/>
  <c r="JC27" i="16"/>
  <c r="DM18" i="16"/>
  <c r="DO18" i="16" s="1"/>
  <c r="IT18" i="16"/>
  <c r="JA18" i="16"/>
  <c r="IW18" i="16"/>
  <c r="IZ18" i="16"/>
  <c r="IX18" i="16"/>
  <c r="JC18" i="16"/>
  <c r="IU18" i="16"/>
  <c r="JD18" i="16"/>
  <c r="IV18" i="16"/>
  <c r="IY18" i="16"/>
  <c r="JB18" i="16"/>
  <c r="JE18" i="16"/>
  <c r="DL33" i="16"/>
  <c r="DN33" i="16" s="1"/>
  <c r="IP33" i="16"/>
  <c r="IM33" i="16"/>
  <c r="II33" i="16"/>
  <c r="IH33" i="16"/>
  <c r="IL33" i="16"/>
  <c r="IO33" i="16"/>
  <c r="IJ33" i="16"/>
  <c r="IG33" i="16"/>
  <c r="IK33" i="16"/>
  <c r="IN33" i="16"/>
  <c r="IQ33" i="16"/>
  <c r="IF33" i="16"/>
  <c r="DL11" i="16"/>
  <c r="DN11" i="16" s="1"/>
  <c r="IG11" i="16"/>
  <c r="IM11" i="16"/>
  <c r="IH11" i="16"/>
  <c r="II11" i="16"/>
  <c r="IL11" i="16"/>
  <c r="IO11" i="16"/>
  <c r="IP11" i="16"/>
  <c r="IK11" i="16"/>
  <c r="IN11" i="16"/>
  <c r="IQ11" i="16"/>
  <c r="IF11" i="16"/>
  <c r="DL16" i="16"/>
  <c r="DN16" i="16" s="1"/>
  <c r="IG16" i="16"/>
  <c r="IJ16" i="16"/>
  <c r="IM16" i="16"/>
  <c r="IP16" i="16"/>
  <c r="IN16" i="16"/>
  <c r="IF16" i="16"/>
  <c r="II16" i="16"/>
  <c r="IK16" i="16"/>
  <c r="IL16" i="16"/>
  <c r="IO16" i="16"/>
  <c r="IH16" i="16"/>
  <c r="IQ16" i="16"/>
  <c r="DM9" i="16"/>
  <c r="DO9" i="16" s="1"/>
  <c r="IV9" i="16"/>
  <c r="IY9" i="16"/>
  <c r="JB9" i="16"/>
  <c r="JC9" i="16"/>
  <c r="JE9" i="16"/>
  <c r="IU9" i="16"/>
  <c r="IT9" i="16"/>
  <c r="IX9" i="16"/>
  <c r="JA9" i="16"/>
  <c r="JD9" i="16"/>
  <c r="IZ9" i="16"/>
  <c r="IW9" i="16"/>
  <c r="DM34" i="16"/>
  <c r="DO34" i="16" s="1"/>
  <c r="IT34" i="16"/>
  <c r="IV34" i="16"/>
  <c r="IY34" i="16"/>
  <c r="JB34" i="16"/>
  <c r="JC34" i="16"/>
  <c r="JE34" i="16"/>
  <c r="IW34" i="16"/>
  <c r="IU34" i="16"/>
  <c r="IX34" i="16"/>
  <c r="JA34" i="16"/>
  <c r="JD34" i="16"/>
  <c r="IZ34" i="16"/>
  <c r="DL30" i="16"/>
  <c r="DN30" i="16" s="1"/>
  <c r="II30" i="16"/>
  <c r="IL30" i="16"/>
  <c r="IM30" i="16"/>
  <c r="IO30" i="16"/>
  <c r="IK30" i="16"/>
  <c r="IG30" i="16"/>
  <c r="IH30" i="16"/>
  <c r="IN30" i="16"/>
  <c r="IQ30" i="16"/>
  <c r="IF30" i="16"/>
  <c r="IP30" i="16"/>
  <c r="IJ30" i="16"/>
  <c r="DL14" i="16"/>
  <c r="DN14" i="16" s="1"/>
  <c r="IM14" i="16"/>
  <c r="IK14" i="16"/>
  <c r="IP14" i="16"/>
  <c r="IO14" i="16"/>
  <c r="IG14" i="16"/>
  <c r="IF14" i="16"/>
  <c r="IQ14" i="16"/>
  <c r="IJ14" i="16"/>
  <c r="II14" i="16"/>
  <c r="IH14" i="16"/>
  <c r="IN14" i="16"/>
  <c r="DM14" i="16"/>
  <c r="DO14" i="16" s="1"/>
  <c r="JC14" i="16"/>
  <c r="IZ14" i="16"/>
  <c r="IW14" i="16"/>
  <c r="IV14" i="16"/>
  <c r="IY14" i="16"/>
  <c r="JB14" i="16"/>
  <c r="JA14" i="16"/>
  <c r="JE14" i="16"/>
  <c r="IU14" i="16"/>
  <c r="IX14" i="16"/>
  <c r="IT14" i="16"/>
  <c r="JD14" i="16"/>
  <c r="DL20" i="16"/>
  <c r="DN20" i="16" s="1"/>
  <c r="IQ20" i="16"/>
  <c r="IF20" i="16"/>
  <c r="IG20" i="16"/>
  <c r="IJ20" i="16"/>
  <c r="IM20" i="16"/>
  <c r="IP20" i="16"/>
  <c r="IO20" i="16"/>
  <c r="IK20" i="16"/>
  <c r="II20" i="16"/>
  <c r="IL20" i="16"/>
  <c r="IH20" i="16"/>
  <c r="IN20" i="16"/>
  <c r="DL22" i="16"/>
  <c r="DN22" i="16" s="1"/>
  <c r="IK22" i="16"/>
  <c r="IM22" i="16"/>
  <c r="IH22" i="16"/>
  <c r="IN22" i="16"/>
  <c r="IQ22" i="16"/>
  <c r="IF22" i="16"/>
  <c r="II22" i="16"/>
  <c r="IG22" i="16"/>
  <c r="IJ22" i="16"/>
  <c r="IO22" i="16"/>
  <c r="IP22" i="16"/>
  <c r="IL22" i="16"/>
  <c r="DL32" i="16"/>
  <c r="DN32" i="16" s="1"/>
  <c r="IG32" i="16"/>
  <c r="II32" i="16"/>
  <c r="IH32" i="16"/>
  <c r="IL32" i="16"/>
  <c r="IO32" i="16"/>
  <c r="IJ32" i="16"/>
  <c r="IM32" i="16"/>
  <c r="IK32" i="16"/>
  <c r="IN32" i="16"/>
  <c r="IQ32" i="16"/>
  <c r="IF32" i="16"/>
  <c r="IP32" i="16"/>
  <c r="DM17" i="16"/>
  <c r="DO17" i="16" s="1"/>
  <c r="IT17" i="16"/>
  <c r="IW17" i="16"/>
  <c r="IZ17" i="16"/>
  <c r="JC17" i="16"/>
  <c r="JD17" i="16"/>
  <c r="IV17" i="16"/>
  <c r="IY17" i="16"/>
  <c r="JB17" i="16"/>
  <c r="JE17" i="16"/>
  <c r="IX17" i="16"/>
  <c r="IU17" i="16"/>
  <c r="JA17" i="16"/>
  <c r="DL34" i="16"/>
  <c r="DN34" i="16" s="1"/>
  <c r="IJ34" i="16"/>
  <c r="II34" i="16"/>
  <c r="IG34" i="16"/>
  <c r="IL34" i="16"/>
  <c r="IF34" i="16"/>
  <c r="IO34" i="16"/>
  <c r="IQ34" i="16"/>
  <c r="IP34" i="16"/>
  <c r="IH34" i="16"/>
  <c r="IK34" i="16"/>
  <c r="IM34" i="16"/>
  <c r="IN34" i="16"/>
  <c r="DL15" i="16"/>
  <c r="DN15" i="16" s="1"/>
  <c r="IJ15" i="16"/>
  <c r="IM15" i="16"/>
  <c r="IP15" i="16"/>
  <c r="IL15" i="16"/>
  <c r="IN15" i="16"/>
  <c r="IF15" i="16"/>
  <c r="II15" i="16"/>
  <c r="IH15" i="16"/>
  <c r="IQ15" i="16"/>
  <c r="IO15" i="16"/>
  <c r="IG15" i="16"/>
  <c r="IK15" i="16"/>
  <c r="DM15" i="16"/>
  <c r="DO15" i="16" s="1"/>
  <c r="IZ15" i="16"/>
  <c r="JC15" i="16"/>
  <c r="IT15" i="16"/>
  <c r="IW15" i="16"/>
  <c r="IV15" i="16"/>
  <c r="IY15" i="16"/>
  <c r="IX15" i="16"/>
  <c r="JD15" i="16"/>
  <c r="JB15" i="16"/>
  <c r="JE15" i="16"/>
  <c r="IU15" i="16"/>
  <c r="JA15" i="16"/>
  <c r="DL17" i="16"/>
  <c r="DN17" i="16" s="1"/>
  <c r="IG17" i="16"/>
  <c r="IN17" i="16"/>
  <c r="IJ17" i="16"/>
  <c r="IM17" i="16"/>
  <c r="IP17" i="16"/>
  <c r="II17" i="16"/>
  <c r="IQ17" i="16"/>
  <c r="IH17" i="16"/>
  <c r="IL17" i="16"/>
  <c r="IF17" i="16"/>
  <c r="IO17" i="16"/>
  <c r="IK17" i="16"/>
  <c r="DM16" i="16"/>
  <c r="DO16" i="16" s="1"/>
  <c r="IW16" i="16"/>
  <c r="JD16" i="16"/>
  <c r="IT16" i="16"/>
  <c r="IZ16" i="16"/>
  <c r="JA16" i="16"/>
  <c r="JC16" i="16"/>
  <c r="IU16" i="16"/>
  <c r="IV16" i="16"/>
  <c r="IY16" i="16"/>
  <c r="JB16" i="16"/>
  <c r="JE16" i="16"/>
  <c r="IX16" i="16"/>
  <c r="DL18" i="16"/>
  <c r="DN18" i="16" s="1"/>
  <c r="IG18" i="16"/>
  <c r="IJ18" i="16"/>
  <c r="IH18" i="16"/>
  <c r="IM18" i="16"/>
  <c r="IN18" i="16"/>
  <c r="IP18" i="16"/>
  <c r="IQ18" i="16"/>
  <c r="II18" i="16"/>
  <c r="IL18" i="16"/>
  <c r="IO18" i="16"/>
  <c r="IF18" i="16"/>
  <c r="IK18" i="16"/>
  <c r="DM13" i="16"/>
  <c r="DO13" i="16" s="1"/>
  <c r="IT13" i="16"/>
  <c r="IW13" i="16"/>
  <c r="IZ13" i="16"/>
  <c r="IV13" i="16"/>
  <c r="IY13" i="16"/>
  <c r="JB13" i="16"/>
  <c r="JE13" i="16"/>
  <c r="JD13" i="16"/>
  <c r="JC13" i="16"/>
  <c r="IU13" i="16"/>
  <c r="IX13" i="16"/>
  <c r="DL19" i="16"/>
  <c r="DN19" i="16" s="1"/>
  <c r="IG19" i="16"/>
  <c r="IN19" i="16"/>
  <c r="IJ19" i="16"/>
  <c r="IQ19" i="16"/>
  <c r="IM19" i="16"/>
  <c r="IK19" i="16"/>
  <c r="IP19" i="16"/>
  <c r="IF19" i="16"/>
  <c r="II19" i="16"/>
  <c r="IL19" i="16"/>
  <c r="IO19" i="16"/>
  <c r="IH19" i="16"/>
  <c r="EH5" i="16"/>
  <c r="O5" i="16"/>
  <c r="IS7" i="16" l="1"/>
  <c r="DS7" i="16" s="1"/>
  <c r="DV7" i="16" s="1"/>
  <c r="IE9" i="16"/>
  <c r="DR9" i="16" s="1"/>
  <c r="IS8" i="16"/>
  <c r="DS8" i="16" s="1"/>
  <c r="DV8" i="16" s="1"/>
  <c r="IE25" i="16"/>
  <c r="DR25" i="16" s="1"/>
  <c r="DU9" i="16"/>
  <c r="DV32" i="16"/>
  <c r="DU34" i="16"/>
  <c r="DU23" i="16"/>
  <c r="DU32" i="16"/>
  <c r="DU25" i="16"/>
  <c r="DV11" i="16"/>
  <c r="DV14" i="16"/>
  <c r="DU26" i="16"/>
  <c r="DV33" i="16"/>
  <c r="DU33" i="16"/>
  <c r="DU30" i="16"/>
  <c r="DV18" i="16"/>
  <c r="DU15" i="16"/>
  <c r="DV34" i="16"/>
  <c r="DU27" i="16"/>
  <c r="DV27" i="16"/>
  <c r="DV17" i="16"/>
  <c r="DV23" i="16"/>
  <c r="DU21" i="16"/>
  <c r="DU22" i="16"/>
  <c r="IS25" i="16"/>
  <c r="DS25" i="16" s="1"/>
  <c r="DV25" i="16" s="1"/>
  <c r="IE12" i="16"/>
  <c r="DR12" i="16" s="1"/>
  <c r="DU12" i="16" s="1"/>
  <c r="IS9" i="16"/>
  <c r="DS9" i="16" s="1"/>
  <c r="DV9" i="16" s="1"/>
  <c r="IS11" i="16"/>
  <c r="DS11" i="16" s="1"/>
  <c r="IS21" i="16"/>
  <c r="DS21" i="16" s="1"/>
  <c r="DV21" i="16" s="1"/>
  <c r="IE31" i="16"/>
  <c r="DR31" i="16" s="1"/>
  <c r="DU31" i="16" s="1"/>
  <c r="IE22" i="16"/>
  <c r="DR22" i="16" s="1"/>
  <c r="IS23" i="16"/>
  <c r="DS23" i="16" s="1"/>
  <c r="IE26" i="16"/>
  <c r="DR26" i="16" s="1"/>
  <c r="IS33" i="16"/>
  <c r="DS33" i="16" s="1"/>
  <c r="IE13" i="16"/>
  <c r="DR13" i="16" s="1"/>
  <c r="DU13" i="16" s="1"/>
  <c r="IS15" i="16"/>
  <c r="DS15" i="16" s="1"/>
  <c r="DV15" i="16" s="1"/>
  <c r="IE15" i="16"/>
  <c r="DR15" i="16" s="1"/>
  <c r="IE20" i="16"/>
  <c r="DR20" i="16" s="1"/>
  <c r="DU20" i="16" s="1"/>
  <c r="IE17" i="16"/>
  <c r="DR17" i="16" s="1"/>
  <c r="DU17" i="16" s="1"/>
  <c r="IS18" i="16"/>
  <c r="DS18" i="16" s="1"/>
  <c r="IS26" i="16"/>
  <c r="DS26" i="16" s="1"/>
  <c r="DV26" i="16" s="1"/>
  <c r="IE34" i="16"/>
  <c r="DR34" i="16" s="1"/>
  <c r="IS34" i="16"/>
  <c r="DS34" i="16" s="1"/>
  <c r="IS16" i="16"/>
  <c r="DS16" i="16" s="1"/>
  <c r="DV16" i="16" s="1"/>
  <c r="IE18" i="16"/>
  <c r="DR18" i="16" s="1"/>
  <c r="DU18" i="16" s="1"/>
  <c r="IE21" i="16"/>
  <c r="DR21" i="16" s="1"/>
  <c r="IS17" i="16"/>
  <c r="DS17" i="16" s="1"/>
  <c r="IE24" i="16"/>
  <c r="DR24" i="16" s="1"/>
  <c r="DU24" i="16" s="1"/>
  <c r="IS24" i="16"/>
  <c r="DS24" i="16" s="1"/>
  <c r="DV24" i="16" s="1"/>
  <c r="IS22" i="16"/>
  <c r="DS22" i="16" s="1"/>
  <c r="DV22" i="16" s="1"/>
  <c r="IS20" i="16"/>
  <c r="DS20" i="16" s="1"/>
  <c r="DV20" i="16" s="1"/>
  <c r="IS12" i="16"/>
  <c r="DS12" i="16" s="1"/>
  <c r="DV12" i="16" s="1"/>
  <c r="IS14" i="16"/>
  <c r="DS14" i="16" s="1"/>
  <c r="IE10" i="16"/>
  <c r="DR10" i="16" s="1"/>
  <c r="DU10" i="16" s="1"/>
  <c r="IE33" i="16"/>
  <c r="DR33" i="16" s="1"/>
  <c r="IE30" i="16"/>
  <c r="DR30" i="16" s="1"/>
  <c r="IE32" i="16"/>
  <c r="DR32" i="16" s="1"/>
  <c r="IE16" i="16"/>
  <c r="DR16" i="16" s="1"/>
  <c r="DU16" i="16" s="1"/>
  <c r="IS27" i="16"/>
  <c r="DS27" i="16" s="1"/>
  <c r="IE23" i="16"/>
  <c r="DR23" i="16" s="1"/>
  <c r="IS19" i="16"/>
  <c r="DS19" i="16" s="1"/>
  <c r="DV19" i="16" s="1"/>
  <c r="JA5" i="16"/>
  <c r="IZ5" i="16"/>
  <c r="IY5" i="16"/>
  <c r="JD5" i="16"/>
  <c r="IX5" i="16"/>
  <c r="JB5" i="16"/>
  <c r="IW5" i="16"/>
  <c r="IV5" i="16"/>
  <c r="JE5" i="16"/>
  <c r="IU5" i="16"/>
  <c r="IT5" i="16"/>
  <c r="JC5" i="16"/>
  <c r="IE19" i="16"/>
  <c r="DR19" i="16" s="1"/>
  <c r="DU19" i="16" s="1"/>
  <c r="IE27" i="16"/>
  <c r="DR27" i="16" s="1"/>
  <c r="IS32" i="16"/>
  <c r="DS32" i="16" s="1"/>
  <c r="IS10" i="16"/>
  <c r="DS10" i="16" s="1"/>
  <c r="DV10" i="16" s="1"/>
  <c r="DM5" i="16"/>
  <c r="DO5" i="16" s="1"/>
  <c r="DT5" i="16"/>
  <c r="DO62" i="16" l="1"/>
  <c r="DO61" i="16"/>
  <c r="DO63" i="16" s="1"/>
  <c r="DO58" i="16"/>
  <c r="DN58" i="16"/>
  <c r="JA13" i="16" s="1"/>
  <c r="IS13" i="16" s="1"/>
  <c r="DS13" i="16" s="1"/>
  <c r="DV13" i="16" s="1"/>
  <c r="DO57" i="16"/>
  <c r="DN57" i="16"/>
  <c r="IL14" i="16" s="1"/>
  <c r="IE14" i="16" s="1"/>
  <c r="DR14" i="16" s="1"/>
  <c r="DU14" i="16" s="1"/>
  <c r="DO56" i="16"/>
  <c r="IO8" i="16" s="1"/>
  <c r="IE8" i="16" s="1"/>
  <c r="DR8" i="16" s="1"/>
  <c r="DU8" i="16" s="1"/>
  <c r="DN56" i="16"/>
  <c r="DO55" i="16"/>
  <c r="IN7" i="16" s="1"/>
  <c r="IE7" i="16" s="1"/>
  <c r="DR7" i="16" s="1"/>
  <c r="DU7" i="16" s="1"/>
  <c r="DN55" i="16"/>
  <c r="IJ11" i="16" s="1"/>
  <c r="IE11" i="16" s="1"/>
  <c r="DR11" i="16" s="1"/>
  <c r="DU11" i="16" s="1"/>
  <c r="DU44" i="16"/>
  <c r="DS44" i="16"/>
  <c r="DR44" i="16"/>
  <c r="DP44" i="16"/>
  <c r="DO44" i="16"/>
  <c r="DM44" i="16"/>
  <c r="DU43" i="16"/>
  <c r="DS43" i="16"/>
  <c r="DR43" i="16"/>
  <c r="DP43" i="16"/>
  <c r="DO43" i="16"/>
  <c r="DM43" i="16"/>
  <c r="DU42" i="16"/>
  <c r="DS42" i="16"/>
  <c r="DR42" i="16"/>
  <c r="GZ8" i="16" s="1"/>
  <c r="DP42" i="16"/>
  <c r="DO42" i="16"/>
  <c r="DM42" i="16"/>
  <c r="DU41" i="16"/>
  <c r="DS41" i="16"/>
  <c r="DR41" i="16"/>
  <c r="GY7" i="16" s="1"/>
  <c r="DP41" i="16"/>
  <c r="DO41" i="16"/>
  <c r="DM41" i="16"/>
  <c r="FF10" i="16" l="1"/>
  <c r="GR10" i="16"/>
  <c r="HC10" i="16" s="1"/>
  <c r="FQ10" i="16"/>
  <c r="HC8" i="16"/>
  <c r="EQ8" i="16"/>
  <c r="DT8" i="16" s="1"/>
  <c r="GD9" i="16"/>
  <c r="GD12" i="16"/>
  <c r="HC7" i="16"/>
  <c r="EQ7" i="16"/>
  <c r="DT7" i="16" s="1"/>
  <c r="IY6" i="16"/>
  <c r="IS6" i="16" s="1"/>
  <c r="DS6" i="16" s="1"/>
  <c r="DV6" i="16" s="1"/>
  <c r="IK6" i="16"/>
  <c r="IE6" i="16" s="1"/>
  <c r="DR6" i="16" s="1"/>
  <c r="DU6" i="16" s="1"/>
  <c r="IK5" i="16"/>
  <c r="IS5" i="16"/>
  <c r="DS5" i="16" s="1"/>
  <c r="DV5" i="16" s="1"/>
  <c r="BS6" i="16"/>
  <c r="BS7" i="16"/>
  <c r="BS8" i="16"/>
  <c r="BS9" i="16"/>
  <c r="BS10" i="16"/>
  <c r="BS11"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5" i="16"/>
  <c r="H6" i="16"/>
  <c r="Q13" i="66" s="1"/>
  <c r="S7" i="102" s="1"/>
  <c r="BI7" i="16"/>
  <c r="BI8" i="16"/>
  <c r="BI9" i="16"/>
  <c r="BI11" i="16"/>
  <c r="BI13" i="16"/>
  <c r="BI14" i="16"/>
  <c r="BI15" i="16"/>
  <c r="BI16" i="16"/>
  <c r="BI17" i="16"/>
  <c r="BI18" i="16"/>
  <c r="BI19" i="16"/>
  <c r="BI20" i="16"/>
  <c r="BI21" i="16"/>
  <c r="BI22" i="16"/>
  <c r="BI23" i="16"/>
  <c r="BI24" i="16"/>
  <c r="BI25" i="16"/>
  <c r="BI26" i="16"/>
  <c r="BI27" i="16"/>
  <c r="BI28" i="16"/>
  <c r="BI29" i="16"/>
  <c r="BI30" i="16"/>
  <c r="BI31" i="16"/>
  <c r="BI32" i="16"/>
  <c r="BI33" i="16"/>
  <c r="BI34" i="16"/>
  <c r="BT5" i="16"/>
  <c r="AE5" i="62"/>
  <c r="AF5" i="62"/>
  <c r="AG5" i="62"/>
  <c r="AH5" i="62"/>
  <c r="AI5" i="62"/>
  <c r="AJ5" i="62"/>
  <c r="AK5" i="62"/>
  <c r="AL5" i="62"/>
  <c r="AM5" i="62"/>
  <c r="AN5" i="62"/>
  <c r="AO5" i="62"/>
  <c r="AP5" i="62"/>
  <c r="AQ5" i="62"/>
  <c r="AR5" i="62"/>
  <c r="AS5" i="62"/>
  <c r="AT5" i="62"/>
  <c r="AU5" i="62"/>
  <c r="AV5" i="62"/>
  <c r="AW5" i="62"/>
  <c r="AX5" i="62"/>
  <c r="AY5" i="62"/>
  <c r="AZ5" i="62"/>
  <c r="BA5" i="62"/>
  <c r="BB5" i="62"/>
  <c r="BC5" i="62"/>
  <c r="BD5" i="62"/>
  <c r="BE5" i="62"/>
  <c r="BF5" i="62"/>
  <c r="BG5" i="62"/>
  <c r="BH5" i="62"/>
  <c r="BI5" i="62"/>
  <c r="BJ5" i="62"/>
  <c r="BK5" i="62"/>
  <c r="BL5" i="62"/>
  <c r="BM5" i="62"/>
  <c r="BN5" i="62"/>
  <c r="BO5" i="62"/>
  <c r="BP5" i="62"/>
  <c r="BQ5" i="62"/>
  <c r="BR5" i="62"/>
  <c r="BS5" i="62"/>
  <c r="BT5" i="62"/>
  <c r="BU5" i="62"/>
  <c r="BV5" i="62"/>
  <c r="BW5" i="62"/>
  <c r="BX5" i="62"/>
  <c r="BY5" i="62"/>
  <c r="BZ5" i="62"/>
  <c r="BT7" i="16"/>
  <c r="BT8" i="16"/>
  <c r="BT9" i="16"/>
  <c r="BT10" i="16"/>
  <c r="BT11" i="16"/>
  <c r="BT13" i="16"/>
  <c r="BT14" i="16"/>
  <c r="BT15" i="16"/>
  <c r="BT16" i="16"/>
  <c r="BT17" i="16"/>
  <c r="BT18" i="16"/>
  <c r="BT19" i="16"/>
  <c r="BT20" i="16"/>
  <c r="BT21" i="16"/>
  <c r="BT22" i="16"/>
  <c r="BT23" i="16"/>
  <c r="BT24" i="16"/>
  <c r="BT25" i="16"/>
  <c r="BT26" i="16"/>
  <c r="BT27" i="16"/>
  <c r="BT28" i="16"/>
  <c r="BT29" i="16"/>
  <c r="BT30" i="16"/>
  <c r="BT31" i="16"/>
  <c r="BT32" i="16"/>
  <c r="BT33" i="16"/>
  <c r="BT34" i="16"/>
  <c r="BA6" i="16"/>
  <c r="BB6" i="16"/>
  <c r="H5" i="16"/>
  <c r="BE6" i="16"/>
  <c r="BF6" i="16"/>
  <c r="BG6" i="16"/>
  <c r="BJ6" i="16"/>
  <c r="AX5" i="16"/>
  <c r="AM5" i="18"/>
  <c r="AM8" i="18" s="1"/>
  <c r="AM13" i="18" s="1"/>
  <c r="BR68" i="16" s="1"/>
  <c r="AV5" i="16"/>
  <c r="AI5" i="18"/>
  <c r="AU5" i="16"/>
  <c r="AT5" i="16"/>
  <c r="AG5" i="18"/>
  <c r="AR5" i="16"/>
  <c r="AS5" i="16"/>
  <c r="AQ5" i="16"/>
  <c r="AE5" i="18"/>
  <c r="AP5" i="16"/>
  <c r="AE3" i="18" s="1"/>
  <c r="BR6" i="16"/>
  <c r="BR7" i="16"/>
  <c r="BR8" i="16"/>
  <c r="BR9" i="16"/>
  <c r="BR10" i="16"/>
  <c r="BR11" i="16"/>
  <c r="BR12" i="16"/>
  <c r="BR13" i="16"/>
  <c r="BR14" i="16"/>
  <c r="BR15" i="16"/>
  <c r="BR16" i="16"/>
  <c r="BR17" i="16"/>
  <c r="BR18" i="16"/>
  <c r="BR19" i="16"/>
  <c r="BR20" i="16"/>
  <c r="BR21" i="16"/>
  <c r="BR22" i="16"/>
  <c r="BR23" i="16"/>
  <c r="BR24" i="16"/>
  <c r="BR25" i="16"/>
  <c r="BR26" i="16"/>
  <c r="BR27" i="16"/>
  <c r="BR28" i="16"/>
  <c r="BR29" i="16"/>
  <c r="BR30" i="16"/>
  <c r="BR31" i="16"/>
  <c r="BR32" i="16"/>
  <c r="BR33" i="16"/>
  <c r="BR34" i="16"/>
  <c r="BQ5" i="16"/>
  <c r="BQ6" i="16"/>
  <c r="BQ7" i="16"/>
  <c r="BQ8" i="16"/>
  <c r="BQ9" i="16"/>
  <c r="BQ10" i="16"/>
  <c r="BQ12" i="16"/>
  <c r="BQ13" i="16"/>
  <c r="BQ14" i="16"/>
  <c r="BQ15" i="16"/>
  <c r="BQ16" i="16"/>
  <c r="BQ17" i="16"/>
  <c r="BQ18" i="16"/>
  <c r="BQ19" i="16"/>
  <c r="BQ20" i="16"/>
  <c r="BQ21" i="16"/>
  <c r="BQ22" i="16"/>
  <c r="BQ23" i="16"/>
  <c r="BQ24" i="16"/>
  <c r="BQ25" i="16"/>
  <c r="BQ26" i="16"/>
  <c r="BQ27" i="16"/>
  <c r="BQ28" i="16"/>
  <c r="BQ29" i="16"/>
  <c r="BQ30" i="16"/>
  <c r="BQ31" i="16"/>
  <c r="BQ32" i="16"/>
  <c r="BQ33" i="16"/>
  <c r="BQ34" i="16"/>
  <c r="AE4" i="62"/>
  <c r="AF4" i="62"/>
  <c r="AG4" i="62"/>
  <c r="AH4" i="62"/>
  <c r="AI4" i="62"/>
  <c r="AJ4" i="62"/>
  <c r="AK4" i="62"/>
  <c r="AL4" i="62"/>
  <c r="AM4" i="62"/>
  <c r="AN4" i="62"/>
  <c r="AO4" i="62"/>
  <c r="AP4" i="62"/>
  <c r="AQ4" i="62"/>
  <c r="AR4" i="62"/>
  <c r="AS4" i="62"/>
  <c r="AT4" i="62"/>
  <c r="AU4" i="62"/>
  <c r="AV4" i="62"/>
  <c r="AW4" i="62"/>
  <c r="AX4" i="62"/>
  <c r="AY4" i="62"/>
  <c r="AZ4" i="62"/>
  <c r="BA4" i="62"/>
  <c r="BB4" i="62"/>
  <c r="BC4" i="62"/>
  <c r="BD4" i="62"/>
  <c r="BE4" i="62"/>
  <c r="BF4" i="62"/>
  <c r="BG4" i="62"/>
  <c r="BH4" i="62"/>
  <c r="BI4" i="62"/>
  <c r="BJ4" i="62"/>
  <c r="BK4" i="62"/>
  <c r="BL4" i="62"/>
  <c r="BM4" i="62"/>
  <c r="BN4" i="62"/>
  <c r="BO4" i="62"/>
  <c r="BP4" i="62"/>
  <c r="BQ4" i="62"/>
  <c r="BR4" i="62"/>
  <c r="BS4" i="62"/>
  <c r="BT4" i="62"/>
  <c r="BU4" i="62"/>
  <c r="BV4" i="62"/>
  <c r="BW4" i="62"/>
  <c r="BX4" i="62"/>
  <c r="BY4" i="62"/>
  <c r="BZ4" i="62"/>
  <c r="BP6" i="16"/>
  <c r="T6" i="62"/>
  <c r="U6" i="62"/>
  <c r="V6" i="62"/>
  <c r="W6" i="62"/>
  <c r="X6" i="62"/>
  <c r="AE6" i="62"/>
  <c r="AF6" i="62"/>
  <c r="AG6" i="62"/>
  <c r="AH6" i="62"/>
  <c r="AI6" i="62"/>
  <c r="AJ6" i="62"/>
  <c r="AK6" i="62"/>
  <c r="AL6" i="62"/>
  <c r="AM6" i="62"/>
  <c r="AN6" i="62"/>
  <c r="AO6" i="62"/>
  <c r="AP6" i="62"/>
  <c r="AQ6" i="62"/>
  <c r="AR6" i="62"/>
  <c r="AS6" i="62"/>
  <c r="AT6" i="62"/>
  <c r="AU6" i="62"/>
  <c r="AV6" i="62"/>
  <c r="AW6" i="62"/>
  <c r="AX6" i="62"/>
  <c r="AY6" i="62"/>
  <c r="AZ6" i="62"/>
  <c r="BA6" i="62"/>
  <c r="BB6" i="62"/>
  <c r="BC6" i="62"/>
  <c r="BD6" i="62"/>
  <c r="BE6" i="62"/>
  <c r="BF6" i="62"/>
  <c r="BG6" i="62"/>
  <c r="BH6" i="62"/>
  <c r="BI6" i="62"/>
  <c r="BJ6" i="62"/>
  <c r="BK6" i="62"/>
  <c r="BL6" i="62"/>
  <c r="BM6" i="62"/>
  <c r="BN6" i="62"/>
  <c r="BO6" i="62"/>
  <c r="BP6" i="62"/>
  <c r="BQ6" i="62"/>
  <c r="BR6" i="62"/>
  <c r="BS6" i="62"/>
  <c r="BT6" i="62"/>
  <c r="BU6" i="62"/>
  <c r="BV6" i="62"/>
  <c r="BW6" i="62"/>
  <c r="BX6" i="62"/>
  <c r="BY6" i="62"/>
  <c r="BZ6" i="62"/>
  <c r="AE7" i="62"/>
  <c r="AF7" i="62"/>
  <c r="AG7" i="62"/>
  <c r="AH7" i="62"/>
  <c r="AI7" i="62"/>
  <c r="AJ7" i="62"/>
  <c r="AK7" i="62"/>
  <c r="AL7" i="62"/>
  <c r="AM7" i="62"/>
  <c r="AN7" i="62"/>
  <c r="AO7" i="62"/>
  <c r="AP7" i="62"/>
  <c r="AQ7" i="62"/>
  <c r="AR7" i="62"/>
  <c r="AS7" i="62"/>
  <c r="AT7" i="62"/>
  <c r="AU7" i="62"/>
  <c r="AV7" i="62"/>
  <c r="AW7" i="62"/>
  <c r="AX7" i="62"/>
  <c r="AY7" i="62"/>
  <c r="AZ7" i="62"/>
  <c r="BA7" i="62"/>
  <c r="BB7" i="62"/>
  <c r="BC7" i="62"/>
  <c r="BD7" i="62"/>
  <c r="BE7" i="62"/>
  <c r="BF7" i="62"/>
  <c r="BG7" i="62"/>
  <c r="BH7" i="62"/>
  <c r="BI7" i="62"/>
  <c r="BJ7" i="62"/>
  <c r="BK7" i="62"/>
  <c r="BL7" i="62"/>
  <c r="BM7" i="62"/>
  <c r="BN7" i="62"/>
  <c r="BO7" i="62"/>
  <c r="BP7" i="62"/>
  <c r="BQ7" i="62"/>
  <c r="BR7" i="62"/>
  <c r="BS7" i="62"/>
  <c r="BT7" i="62"/>
  <c r="BU7" i="62"/>
  <c r="BV7" i="62"/>
  <c r="BW7" i="62"/>
  <c r="BX7" i="62"/>
  <c r="BY7" i="62"/>
  <c r="BZ7" i="62"/>
  <c r="BP9" i="16"/>
  <c r="BP12" i="16"/>
  <c r="BP13" i="16"/>
  <c r="BP14" i="16"/>
  <c r="BP15" i="16"/>
  <c r="BP17" i="16"/>
  <c r="BP18" i="16"/>
  <c r="BP19" i="16"/>
  <c r="BP20" i="16"/>
  <c r="BP21" i="16"/>
  <c r="BP22" i="16"/>
  <c r="BP23" i="16"/>
  <c r="BP24" i="16"/>
  <c r="BP25" i="16"/>
  <c r="BP26" i="16"/>
  <c r="BP27" i="16"/>
  <c r="BP28" i="16"/>
  <c r="BP29" i="16"/>
  <c r="BP30" i="16"/>
  <c r="BP31" i="16"/>
  <c r="BP32" i="16"/>
  <c r="BP33" i="16"/>
  <c r="BP34" i="16"/>
  <c r="BO6" i="16"/>
  <c r="BO7" i="16"/>
  <c r="BO8" i="16"/>
  <c r="W8" i="62"/>
  <c r="AE8" i="62"/>
  <c r="AF8" i="62"/>
  <c r="AG8" i="62"/>
  <c r="AH8" i="62"/>
  <c r="AI8" i="62"/>
  <c r="AJ8" i="62"/>
  <c r="AK8" i="62"/>
  <c r="AL8" i="62"/>
  <c r="AM8" i="62"/>
  <c r="AN8" i="62"/>
  <c r="AO8" i="62"/>
  <c r="AP8" i="62"/>
  <c r="AQ8" i="62"/>
  <c r="AR8" i="62"/>
  <c r="AS8" i="62"/>
  <c r="AT8" i="62"/>
  <c r="AU8" i="62"/>
  <c r="AV8" i="62"/>
  <c r="AW8" i="62"/>
  <c r="AX8" i="62"/>
  <c r="AY8" i="62"/>
  <c r="AZ8" i="62"/>
  <c r="BA8" i="62"/>
  <c r="BB8" i="62"/>
  <c r="BC8" i="62"/>
  <c r="BD8" i="62"/>
  <c r="BE8" i="62"/>
  <c r="BF8" i="62"/>
  <c r="BG8" i="62"/>
  <c r="BH8" i="62"/>
  <c r="BI8" i="62"/>
  <c r="BJ8" i="62"/>
  <c r="BK8" i="62"/>
  <c r="BL8" i="62"/>
  <c r="BM8" i="62"/>
  <c r="BN8" i="62"/>
  <c r="BO8" i="62"/>
  <c r="BP8" i="62"/>
  <c r="BQ8" i="62"/>
  <c r="BR8" i="62"/>
  <c r="BS8" i="62"/>
  <c r="BT8" i="62"/>
  <c r="BU8" i="62"/>
  <c r="BV8" i="62"/>
  <c r="BW8" i="62"/>
  <c r="BX8" i="62"/>
  <c r="BY8" i="62"/>
  <c r="BZ8" i="62"/>
  <c r="BO10" i="16"/>
  <c r="AE10" i="62"/>
  <c r="AF10" i="62"/>
  <c r="AG10" i="62"/>
  <c r="AH10" i="62"/>
  <c r="AI10" i="62"/>
  <c r="AJ10" i="62"/>
  <c r="AK10" i="62"/>
  <c r="AL10" i="62"/>
  <c r="AM10" i="62"/>
  <c r="AN10" i="62"/>
  <c r="AO10" i="62"/>
  <c r="AP10" i="62"/>
  <c r="AQ10" i="62"/>
  <c r="AR10" i="62"/>
  <c r="AS10" i="62"/>
  <c r="AT10" i="62"/>
  <c r="AU10" i="62"/>
  <c r="AV10" i="62"/>
  <c r="AW10" i="62"/>
  <c r="AX10" i="62"/>
  <c r="AY10" i="62"/>
  <c r="AZ10" i="62"/>
  <c r="BA10" i="62"/>
  <c r="BB10" i="62"/>
  <c r="BC10" i="62"/>
  <c r="BD10" i="62"/>
  <c r="BE10" i="62"/>
  <c r="BF10" i="62"/>
  <c r="BG10" i="62"/>
  <c r="BH10" i="62"/>
  <c r="BI10" i="62"/>
  <c r="BJ10" i="62"/>
  <c r="BK10" i="62"/>
  <c r="BL10" i="62"/>
  <c r="BM10" i="62"/>
  <c r="BN10" i="62"/>
  <c r="BO10" i="62"/>
  <c r="BP10" i="62"/>
  <c r="BQ10" i="62"/>
  <c r="BR10" i="62"/>
  <c r="BS10" i="62"/>
  <c r="BT10" i="62"/>
  <c r="BU10" i="62"/>
  <c r="BV10" i="62"/>
  <c r="BW10" i="62"/>
  <c r="BX10" i="62"/>
  <c r="BY10" i="62"/>
  <c r="BZ10" i="62"/>
  <c r="AE11" i="62"/>
  <c r="AF11" i="62"/>
  <c r="AG11" i="62"/>
  <c r="AH11" i="62"/>
  <c r="AI11" i="62"/>
  <c r="AJ11" i="62"/>
  <c r="AK11" i="62"/>
  <c r="AL11" i="62"/>
  <c r="AM11" i="62"/>
  <c r="AN11" i="62"/>
  <c r="AO11" i="62"/>
  <c r="AP11" i="62"/>
  <c r="AQ11" i="62"/>
  <c r="AR11" i="62"/>
  <c r="AS11" i="62"/>
  <c r="AT11" i="62"/>
  <c r="AU11" i="62"/>
  <c r="AV11" i="62"/>
  <c r="AW11" i="62"/>
  <c r="AX11" i="62"/>
  <c r="AY11" i="62"/>
  <c r="AZ11" i="62"/>
  <c r="BA11" i="62"/>
  <c r="BB11" i="62"/>
  <c r="BC11" i="62"/>
  <c r="BD11" i="62"/>
  <c r="BE11" i="62"/>
  <c r="BF11" i="62"/>
  <c r="BG11" i="62"/>
  <c r="BH11" i="62"/>
  <c r="BI11" i="62"/>
  <c r="BJ11" i="62"/>
  <c r="BK11" i="62"/>
  <c r="BL11" i="62"/>
  <c r="BM11" i="62"/>
  <c r="BN11" i="62"/>
  <c r="BO11" i="62"/>
  <c r="BP11" i="62"/>
  <c r="BQ11" i="62"/>
  <c r="BR11" i="62"/>
  <c r="BS11" i="62"/>
  <c r="BT11" i="62"/>
  <c r="BU11" i="62"/>
  <c r="BV11" i="62"/>
  <c r="BW11" i="62"/>
  <c r="BX11" i="62"/>
  <c r="BY11" i="62"/>
  <c r="BZ11" i="62"/>
  <c r="BO13" i="16"/>
  <c r="AE13" i="62"/>
  <c r="AF13" i="62"/>
  <c r="AG13" i="62"/>
  <c r="AH13" i="62"/>
  <c r="AI13" i="62"/>
  <c r="AJ13" i="62"/>
  <c r="AK13" i="62"/>
  <c r="AL13" i="62"/>
  <c r="AM13" i="62"/>
  <c r="AN13" i="62"/>
  <c r="AO13" i="62"/>
  <c r="AP13" i="62"/>
  <c r="AQ13" i="62"/>
  <c r="AR13" i="62"/>
  <c r="AS13" i="62"/>
  <c r="AT13" i="62"/>
  <c r="AU13" i="62"/>
  <c r="AV13" i="62"/>
  <c r="AW13" i="62"/>
  <c r="AX13" i="62"/>
  <c r="AY13" i="62"/>
  <c r="AZ13" i="62"/>
  <c r="BA13" i="62"/>
  <c r="BB13" i="62"/>
  <c r="BC13" i="62"/>
  <c r="BD13" i="62"/>
  <c r="BE13" i="62"/>
  <c r="BF13" i="62"/>
  <c r="BG13" i="62"/>
  <c r="BH13" i="62"/>
  <c r="BI13" i="62"/>
  <c r="BJ13" i="62"/>
  <c r="BK13" i="62"/>
  <c r="BL13" i="62"/>
  <c r="BM13" i="62"/>
  <c r="BN13" i="62"/>
  <c r="BO13" i="62"/>
  <c r="BP13" i="62"/>
  <c r="BQ13" i="62"/>
  <c r="BR13" i="62"/>
  <c r="BS13" i="62"/>
  <c r="BT13" i="62"/>
  <c r="BU13" i="62"/>
  <c r="BV13" i="62"/>
  <c r="BW13" i="62"/>
  <c r="BX13" i="62"/>
  <c r="BY13" i="62"/>
  <c r="BZ13" i="62"/>
  <c r="BO15" i="16"/>
  <c r="BO16" i="16"/>
  <c r="BO17" i="16"/>
  <c r="BO18" i="16"/>
  <c r="BO19" i="16"/>
  <c r="BO20" i="16"/>
  <c r="BO21" i="16"/>
  <c r="BO22" i="16"/>
  <c r="BO23" i="16"/>
  <c r="BO24" i="16"/>
  <c r="BO25" i="16"/>
  <c r="BO26" i="16"/>
  <c r="BO27" i="16"/>
  <c r="BO28" i="16"/>
  <c r="BO29" i="16"/>
  <c r="BO30" i="16"/>
  <c r="BO31" i="16"/>
  <c r="BO32" i="16"/>
  <c r="BO33" i="16"/>
  <c r="BO34" i="16"/>
  <c r="BM6" i="16"/>
  <c r="BM7" i="16"/>
  <c r="BM8" i="16"/>
  <c r="BM9" i="16"/>
  <c r="AE9" i="62"/>
  <c r="AF9" i="62"/>
  <c r="AG9" i="62"/>
  <c r="AH9" i="62"/>
  <c r="AI9" i="62"/>
  <c r="AJ9" i="62"/>
  <c r="AK9" i="62"/>
  <c r="AL9" i="62"/>
  <c r="AM9" i="62"/>
  <c r="AN9" i="62"/>
  <c r="AO9" i="62"/>
  <c r="AP9" i="62"/>
  <c r="AQ9" i="62"/>
  <c r="AR9" i="62"/>
  <c r="AS9" i="62"/>
  <c r="AT9" i="62"/>
  <c r="AU9" i="62"/>
  <c r="AV9" i="62"/>
  <c r="AW9" i="62"/>
  <c r="AX9" i="62"/>
  <c r="AY9" i="62"/>
  <c r="AZ9" i="62"/>
  <c r="BA9" i="62"/>
  <c r="BB9" i="62"/>
  <c r="BC9" i="62"/>
  <c r="BD9" i="62"/>
  <c r="BE9" i="62"/>
  <c r="BF9" i="62"/>
  <c r="BG9" i="62"/>
  <c r="BH9" i="62"/>
  <c r="BI9" i="62"/>
  <c r="BJ9" i="62"/>
  <c r="BK9" i="62"/>
  <c r="BL9" i="62"/>
  <c r="BM9" i="62"/>
  <c r="BN9" i="62"/>
  <c r="BO9" i="62"/>
  <c r="BP9" i="62"/>
  <c r="BQ9" i="62"/>
  <c r="BR9" i="62"/>
  <c r="BS9" i="62"/>
  <c r="BT9" i="62"/>
  <c r="BU9" i="62"/>
  <c r="BV9" i="62"/>
  <c r="BW9" i="62"/>
  <c r="BX9" i="62"/>
  <c r="BY9" i="62"/>
  <c r="BZ9" i="62"/>
  <c r="BM11" i="16"/>
  <c r="BM12" i="16"/>
  <c r="AE12" i="62"/>
  <c r="AF12" i="62"/>
  <c r="AG12" i="62"/>
  <c r="AH12" i="62"/>
  <c r="AI12" i="62"/>
  <c r="AJ12" i="62"/>
  <c r="AK12" i="62"/>
  <c r="AL12" i="62"/>
  <c r="AM12" i="62"/>
  <c r="AN12" i="62"/>
  <c r="AO12" i="62"/>
  <c r="AP12" i="62"/>
  <c r="AQ12" i="62"/>
  <c r="AR12" i="62"/>
  <c r="AS12" i="62"/>
  <c r="AT12" i="62"/>
  <c r="AU12" i="62"/>
  <c r="AV12" i="62"/>
  <c r="AW12" i="62"/>
  <c r="AX12" i="62"/>
  <c r="AY12" i="62"/>
  <c r="AZ12" i="62"/>
  <c r="BA12" i="62"/>
  <c r="BB12" i="62"/>
  <c r="BC12" i="62"/>
  <c r="BD12" i="62"/>
  <c r="BE12" i="62"/>
  <c r="BF12" i="62"/>
  <c r="BG12" i="62"/>
  <c r="BH12" i="62"/>
  <c r="BI12" i="62"/>
  <c r="BJ12" i="62"/>
  <c r="BK12" i="62"/>
  <c r="BL12" i="62"/>
  <c r="BM12" i="62"/>
  <c r="BN12" i="62"/>
  <c r="BO12" i="62"/>
  <c r="BP12" i="62"/>
  <c r="BQ12" i="62"/>
  <c r="BR12" i="62"/>
  <c r="BS12" i="62"/>
  <c r="BT12" i="62"/>
  <c r="BU12" i="62"/>
  <c r="BV12" i="62"/>
  <c r="BW12" i="62"/>
  <c r="BX12" i="62"/>
  <c r="BY12" i="62"/>
  <c r="BZ12" i="62"/>
  <c r="BM14" i="16"/>
  <c r="BM15" i="16"/>
  <c r="BM16" i="16"/>
  <c r="BM17" i="16"/>
  <c r="BM18" i="16"/>
  <c r="BM19" i="16"/>
  <c r="BM20" i="16"/>
  <c r="BM21" i="16"/>
  <c r="BM22" i="16"/>
  <c r="BM23" i="16"/>
  <c r="BM24" i="16"/>
  <c r="BM25" i="16"/>
  <c r="BM26" i="16"/>
  <c r="BM27" i="16"/>
  <c r="BM28" i="16"/>
  <c r="BM29" i="16"/>
  <c r="BM30" i="16"/>
  <c r="BM31" i="16"/>
  <c r="BM32" i="16"/>
  <c r="BM33" i="16"/>
  <c r="BM34" i="16"/>
  <c r="BN5" i="16"/>
  <c r="BN7" i="16"/>
  <c r="BN8" i="16"/>
  <c r="BN9" i="16"/>
  <c r="BN10" i="16"/>
  <c r="BN11" i="16"/>
  <c r="BN12" i="16"/>
  <c r="BN13" i="16"/>
  <c r="BN14" i="16"/>
  <c r="BN15" i="16"/>
  <c r="BN16" i="16"/>
  <c r="BN17" i="16"/>
  <c r="BN18" i="16"/>
  <c r="BN19" i="16"/>
  <c r="BN20" i="16"/>
  <c r="BN21" i="16"/>
  <c r="BN22" i="16"/>
  <c r="BN23" i="16"/>
  <c r="BN24" i="16"/>
  <c r="BN25" i="16"/>
  <c r="BN26" i="16"/>
  <c r="BN27" i="16"/>
  <c r="BN28" i="16"/>
  <c r="BN29" i="16"/>
  <c r="BN30" i="16"/>
  <c r="BN31" i="16"/>
  <c r="BN32" i="16"/>
  <c r="BN33" i="16"/>
  <c r="BN34" i="16"/>
  <c r="BL5" i="16"/>
  <c r="BL6" i="16"/>
  <c r="BL7" i="16"/>
  <c r="BL8" i="16"/>
  <c r="BL9" i="16"/>
  <c r="BL10" i="16"/>
  <c r="BL11" i="16"/>
  <c r="BL12" i="16"/>
  <c r="BL13" i="16"/>
  <c r="BL14" i="16"/>
  <c r="BL15" i="16"/>
  <c r="BL16" i="16"/>
  <c r="BL17" i="16"/>
  <c r="BL18" i="16"/>
  <c r="BL19" i="16"/>
  <c r="BL20" i="16"/>
  <c r="BL21" i="16"/>
  <c r="BL22" i="16"/>
  <c r="BL23" i="16"/>
  <c r="BL24" i="16"/>
  <c r="BL25" i="16"/>
  <c r="BL26" i="16"/>
  <c r="BL27" i="16"/>
  <c r="BL28" i="16"/>
  <c r="BL29" i="16"/>
  <c r="BL30" i="16"/>
  <c r="BL31" i="16"/>
  <c r="BL32" i="16"/>
  <c r="BL33" i="16"/>
  <c r="BL34" i="16"/>
  <c r="BJ7" i="16"/>
  <c r="BJ8" i="16"/>
  <c r="BJ9" i="16"/>
  <c r="BJ10" i="16"/>
  <c r="BJ11" i="16"/>
  <c r="BJ12" i="16"/>
  <c r="BJ13" i="16"/>
  <c r="BJ14" i="16"/>
  <c r="BJ15" i="16"/>
  <c r="BJ16" i="16"/>
  <c r="BJ17" i="16"/>
  <c r="BJ18" i="16"/>
  <c r="BJ19" i="16"/>
  <c r="BJ20" i="16"/>
  <c r="BJ21" i="16"/>
  <c r="BJ22" i="16"/>
  <c r="BJ23" i="16"/>
  <c r="BJ24" i="16"/>
  <c r="BJ25" i="16"/>
  <c r="BJ26" i="16"/>
  <c r="BJ27" i="16"/>
  <c r="BJ28" i="16"/>
  <c r="BJ29" i="16"/>
  <c r="BJ30" i="16"/>
  <c r="BJ31" i="16"/>
  <c r="BJ32" i="16"/>
  <c r="BJ33" i="16"/>
  <c r="BJ34" i="16"/>
  <c r="BH7" i="16"/>
  <c r="BH8" i="16"/>
  <c r="BH9" i="16"/>
  <c r="BH10" i="16"/>
  <c r="BH11" i="16"/>
  <c r="BH12" i="16"/>
  <c r="BH13" i="16"/>
  <c r="BH14" i="16"/>
  <c r="BH15" i="16"/>
  <c r="BH16" i="16"/>
  <c r="BH17" i="16"/>
  <c r="BH18" i="16"/>
  <c r="BH19" i="16"/>
  <c r="BH20" i="16"/>
  <c r="BH21" i="16"/>
  <c r="BH22" i="16"/>
  <c r="BH23" i="16"/>
  <c r="BH24" i="16"/>
  <c r="BH25" i="16"/>
  <c r="BH26" i="16"/>
  <c r="BH27" i="16"/>
  <c r="BH28" i="16"/>
  <c r="BH29" i="16"/>
  <c r="BH30" i="16"/>
  <c r="BH32" i="16"/>
  <c r="BH33" i="16"/>
  <c r="BH34" i="16"/>
  <c r="BG7" i="16"/>
  <c r="BG8" i="16"/>
  <c r="BG9" i="16"/>
  <c r="BG10" i="16"/>
  <c r="BG11" i="16"/>
  <c r="BG13" i="16"/>
  <c r="BG14" i="16"/>
  <c r="BG15" i="16"/>
  <c r="BG17" i="16"/>
  <c r="BG18" i="16"/>
  <c r="BG19" i="16"/>
  <c r="BG20" i="16"/>
  <c r="BG21" i="16"/>
  <c r="BG22" i="16"/>
  <c r="BG23" i="16"/>
  <c r="BG24" i="16"/>
  <c r="BG25" i="16"/>
  <c r="BG26" i="16"/>
  <c r="BG27" i="16"/>
  <c r="BG28" i="16"/>
  <c r="BG29" i="16"/>
  <c r="BG30" i="16"/>
  <c r="BG31" i="16"/>
  <c r="BG32" i="16"/>
  <c r="BG33" i="16"/>
  <c r="BG34" i="16"/>
  <c r="BF7" i="16"/>
  <c r="BF8" i="16"/>
  <c r="BF9" i="16"/>
  <c r="BF10" i="16"/>
  <c r="BF12" i="16"/>
  <c r="BF13" i="16"/>
  <c r="BF15" i="16"/>
  <c r="BF17" i="16"/>
  <c r="BF18" i="16"/>
  <c r="BF19" i="16"/>
  <c r="BF20" i="16"/>
  <c r="BF21" i="16"/>
  <c r="BF22" i="16"/>
  <c r="BF23" i="16"/>
  <c r="BF24" i="16"/>
  <c r="BF25" i="16"/>
  <c r="BF26" i="16"/>
  <c r="BF27" i="16"/>
  <c r="BF28" i="16"/>
  <c r="BF29" i="16"/>
  <c r="BF30" i="16"/>
  <c r="BF31" i="16"/>
  <c r="BF32" i="16"/>
  <c r="BF33" i="16"/>
  <c r="BF34" i="16"/>
  <c r="H7" i="16"/>
  <c r="O8" i="16"/>
  <c r="H8" i="16" s="1"/>
  <c r="BE9" i="16"/>
  <c r="BE12" i="16"/>
  <c r="BE13" i="16"/>
  <c r="BE14" i="16"/>
  <c r="BE15" i="16"/>
  <c r="BE17" i="16"/>
  <c r="BE18" i="16"/>
  <c r="BE19" i="16"/>
  <c r="BE20" i="16"/>
  <c r="BE21" i="16"/>
  <c r="BE22" i="16"/>
  <c r="BE23" i="16"/>
  <c r="BE24" i="16"/>
  <c r="BE25" i="16"/>
  <c r="BE26" i="16"/>
  <c r="BE27" i="16"/>
  <c r="BE28" i="16"/>
  <c r="BE29" i="16"/>
  <c r="BE30" i="16"/>
  <c r="BE31" i="16"/>
  <c r="BE32" i="16"/>
  <c r="BE33" i="16"/>
  <c r="BE34" i="16"/>
  <c r="BC7" i="16"/>
  <c r="BC8" i="16"/>
  <c r="BC9" i="16"/>
  <c r="BC10" i="16"/>
  <c r="BC11" i="16"/>
  <c r="BC12" i="16"/>
  <c r="BC13" i="16"/>
  <c r="BC14" i="16"/>
  <c r="BC15" i="16"/>
  <c r="BC16" i="16"/>
  <c r="BC17" i="16"/>
  <c r="BC18" i="16"/>
  <c r="BC19" i="16"/>
  <c r="BC20" i="16"/>
  <c r="BC21" i="16"/>
  <c r="BC22" i="16"/>
  <c r="BC23" i="16"/>
  <c r="BC24" i="16"/>
  <c r="BC25" i="16"/>
  <c r="BC26" i="16"/>
  <c r="BC27" i="16"/>
  <c r="BC28" i="16"/>
  <c r="BC29" i="16"/>
  <c r="BC30" i="16"/>
  <c r="BC31" i="16"/>
  <c r="BC32" i="16"/>
  <c r="BC33" i="16"/>
  <c r="BC34" i="16"/>
  <c r="BD7" i="16"/>
  <c r="BD8" i="16"/>
  <c r="O9" i="16"/>
  <c r="H9" i="16" s="1"/>
  <c r="O11" i="16"/>
  <c r="H11" i="16" s="1"/>
  <c r="O12" i="16"/>
  <c r="H12" i="16" s="1"/>
  <c r="I12" i="16" s="1"/>
  <c r="BD13" i="16"/>
  <c r="O14" i="16"/>
  <c r="H14" i="16" s="1"/>
  <c r="BD15" i="16"/>
  <c r="BD17" i="16"/>
  <c r="BD18" i="16"/>
  <c r="BD19" i="16"/>
  <c r="BD20" i="16"/>
  <c r="BD21" i="16"/>
  <c r="BD22" i="16"/>
  <c r="BD23" i="16"/>
  <c r="BD24" i="16"/>
  <c r="BD25" i="16"/>
  <c r="BD26" i="16"/>
  <c r="BD27" i="16"/>
  <c r="BD28" i="16"/>
  <c r="BD29" i="16"/>
  <c r="BD30" i="16"/>
  <c r="BD31" i="16"/>
  <c r="BD32" i="16"/>
  <c r="BD33" i="16"/>
  <c r="BD34" i="16"/>
  <c r="BB7" i="16"/>
  <c r="BB8" i="16"/>
  <c r="BB9" i="16"/>
  <c r="O10" i="16"/>
  <c r="H10" i="16" s="1"/>
  <c r="BB11" i="16"/>
  <c r="BB12" i="16"/>
  <c r="O13" i="16"/>
  <c r="H13" i="16" s="1"/>
  <c r="BB14" i="16"/>
  <c r="BB15" i="16"/>
  <c r="BB16" i="16"/>
  <c r="BB17" i="16"/>
  <c r="BB18" i="16"/>
  <c r="BB19" i="16"/>
  <c r="BB20" i="16"/>
  <c r="BB21" i="16"/>
  <c r="BB22" i="16"/>
  <c r="BB23" i="16"/>
  <c r="BB24" i="16"/>
  <c r="BB25" i="16"/>
  <c r="BB26" i="16"/>
  <c r="BB27" i="16"/>
  <c r="BB28" i="16"/>
  <c r="BB29" i="16"/>
  <c r="BB30" i="16"/>
  <c r="BB31" i="16"/>
  <c r="BB32" i="16"/>
  <c r="BB33" i="16"/>
  <c r="BB34" i="16"/>
  <c r="BA7" i="16"/>
  <c r="BA8" i="16"/>
  <c r="BA9" i="16"/>
  <c r="BA10" i="16"/>
  <c r="BA11" i="16"/>
  <c r="BA12" i="16"/>
  <c r="BA13" i="16"/>
  <c r="BA14" i="16"/>
  <c r="BA15" i="16"/>
  <c r="BA16" i="16"/>
  <c r="BA17" i="16"/>
  <c r="BA18" i="16"/>
  <c r="BA19" i="16"/>
  <c r="BA20" i="16"/>
  <c r="BA21" i="16"/>
  <c r="BA22" i="16"/>
  <c r="BA23" i="16"/>
  <c r="BA24" i="16"/>
  <c r="BA25" i="16"/>
  <c r="BA26" i="16"/>
  <c r="BA27" i="16"/>
  <c r="BA28" i="16"/>
  <c r="BA29" i="16"/>
  <c r="BA30" i="16"/>
  <c r="BA31" i="16"/>
  <c r="BA32" i="16"/>
  <c r="BA33" i="16"/>
  <c r="BA34" i="16"/>
  <c r="H2" i="18"/>
  <c r="AQ11" i="16"/>
  <c r="AF3" i="71" s="1"/>
  <c r="AQ15" i="16"/>
  <c r="AF3" i="81" s="1"/>
  <c r="AF13" i="81" s="1"/>
  <c r="AQ6" i="16"/>
  <c r="AF3" i="66" s="1"/>
  <c r="AQ7" i="16"/>
  <c r="AF3" i="67" s="1"/>
  <c r="AQ8" i="16"/>
  <c r="AF3" i="68" s="1"/>
  <c r="AQ9" i="16"/>
  <c r="AF3" i="69" s="1"/>
  <c r="AQ10" i="16"/>
  <c r="AF3" i="70" s="1"/>
  <c r="AQ12" i="16"/>
  <c r="AF3" i="72" s="1"/>
  <c r="AQ13" i="16"/>
  <c r="AF3" i="73" s="1"/>
  <c r="AQ14" i="16"/>
  <c r="AF3" i="74" s="1"/>
  <c r="AQ16" i="16"/>
  <c r="AF3" i="82" s="1"/>
  <c r="AF13" i="82" s="1"/>
  <c r="AQ79" i="16" s="1"/>
  <c r="AQ17" i="16"/>
  <c r="AF3" i="83" s="1"/>
  <c r="AF13" i="83" s="1"/>
  <c r="AQ18" i="16"/>
  <c r="AF3" i="84" s="1"/>
  <c r="AF13" i="84" s="1"/>
  <c r="AQ19" i="16"/>
  <c r="AF3" i="85" s="1"/>
  <c r="AF13" i="85" s="1"/>
  <c r="AQ20" i="16"/>
  <c r="AF3" i="86" s="1"/>
  <c r="AF13" i="86" s="1"/>
  <c r="AQ21" i="16"/>
  <c r="AF3" i="87" s="1"/>
  <c r="AF13" i="87" s="1"/>
  <c r="AQ22" i="16"/>
  <c r="AF3" i="88" s="1"/>
  <c r="AF13" i="88" s="1"/>
  <c r="AQ23" i="16"/>
  <c r="AF3" i="89" s="1"/>
  <c r="AF13" i="89" s="1"/>
  <c r="AQ24" i="16"/>
  <c r="AF3" i="90" s="1"/>
  <c r="AF13" i="90" s="1"/>
  <c r="AQ25" i="16"/>
  <c r="AF3" i="91" s="1"/>
  <c r="AF13" i="91" s="1"/>
  <c r="AQ26" i="16"/>
  <c r="AF3" i="92" s="1"/>
  <c r="AF13" i="92" s="1"/>
  <c r="AQ27" i="16"/>
  <c r="AF3" i="93" s="1"/>
  <c r="AF13" i="93" s="1"/>
  <c r="AQ28" i="16"/>
  <c r="AF3" i="94" s="1"/>
  <c r="AF13" i="94" s="1"/>
  <c r="AQ29" i="16"/>
  <c r="AF3" i="95" s="1"/>
  <c r="AF13" i="95" s="1"/>
  <c r="AQ30" i="16"/>
  <c r="AF3" i="96" s="1"/>
  <c r="AF13" i="96" s="1"/>
  <c r="AQ31" i="16"/>
  <c r="AF3" i="97" s="1"/>
  <c r="AF13" i="97" s="1"/>
  <c r="AQ32" i="16"/>
  <c r="AF3" i="98" s="1"/>
  <c r="AF13" i="98" s="1"/>
  <c r="AQ33" i="16"/>
  <c r="AF3" i="99" s="1"/>
  <c r="AF13" i="99" s="1"/>
  <c r="AQ34" i="16"/>
  <c r="AF3" i="100" s="1"/>
  <c r="AF13" i="100" s="1"/>
  <c r="AW15" i="16"/>
  <c r="AK3" i="81" s="1"/>
  <c r="AW5" i="16"/>
  <c r="AW6" i="16"/>
  <c r="AK3" i="66" s="1"/>
  <c r="AW7" i="16"/>
  <c r="AK3" i="67" s="1"/>
  <c r="AW8" i="16"/>
  <c r="AK3" i="68" s="1"/>
  <c r="AW9" i="16"/>
  <c r="AK3" i="69" s="1"/>
  <c r="AW10" i="16"/>
  <c r="AK3" i="70" s="1"/>
  <c r="AW11" i="16"/>
  <c r="AK3" i="71" s="1"/>
  <c r="AW12" i="16"/>
  <c r="AK3" i="72" s="1"/>
  <c r="AW13" i="16"/>
  <c r="AK3" i="73" s="1"/>
  <c r="AW14" i="16"/>
  <c r="AK3" i="74" s="1"/>
  <c r="AW16" i="16"/>
  <c r="AK3" i="82" s="1"/>
  <c r="AW17" i="16"/>
  <c r="AK3" i="83" s="1"/>
  <c r="AW18" i="16"/>
  <c r="AK3" i="84" s="1"/>
  <c r="AW19" i="16"/>
  <c r="AK3" i="85" s="1"/>
  <c r="AW20" i="16"/>
  <c r="AK3" i="86" s="1"/>
  <c r="AW21" i="16"/>
  <c r="AK3" i="87" s="1"/>
  <c r="AW22" i="16"/>
  <c r="AK3" i="88" s="1"/>
  <c r="AW23" i="16"/>
  <c r="AK3" i="89" s="1"/>
  <c r="AW24" i="16"/>
  <c r="AK3" i="90" s="1"/>
  <c r="AW25" i="16"/>
  <c r="AK3" i="91" s="1"/>
  <c r="AW26" i="16"/>
  <c r="AK3" i="92" s="1"/>
  <c r="AW27" i="16"/>
  <c r="AK3" i="93" s="1"/>
  <c r="AW28" i="16"/>
  <c r="AK3" i="94" s="1"/>
  <c r="AW29" i="16"/>
  <c r="AK3" i="95" s="1"/>
  <c r="AW30" i="16"/>
  <c r="AK3" i="96" s="1"/>
  <c r="AW31" i="16"/>
  <c r="AK3" i="97" s="1"/>
  <c r="AW32" i="16"/>
  <c r="AK3" i="98" s="1"/>
  <c r="AW33" i="16"/>
  <c r="AK3" i="99" s="1"/>
  <c r="AW34" i="16"/>
  <c r="AK3" i="100" s="1"/>
  <c r="AV61" i="16"/>
  <c r="AX15" i="16"/>
  <c r="AX6" i="16"/>
  <c r="AD3" i="19" s="1"/>
  <c r="AX7" i="16"/>
  <c r="AX8" i="16"/>
  <c r="AX9" i="16"/>
  <c r="AX10" i="16"/>
  <c r="AX11" i="16"/>
  <c r="AX12" i="16"/>
  <c r="AX13" i="16"/>
  <c r="AX14" i="16"/>
  <c r="AX16" i="16"/>
  <c r="AX17" i="16"/>
  <c r="AX18" i="16"/>
  <c r="AX19" i="16"/>
  <c r="AX20" i="16"/>
  <c r="AX21" i="16"/>
  <c r="AX22" i="16"/>
  <c r="AX23" i="16"/>
  <c r="AX24" i="16"/>
  <c r="AX25" i="16"/>
  <c r="AX26" i="16"/>
  <c r="AX27" i="16"/>
  <c r="AX28" i="16"/>
  <c r="AX29" i="16"/>
  <c r="AX30" i="16"/>
  <c r="AX31" i="16"/>
  <c r="AX32" i="16"/>
  <c r="AX33" i="16"/>
  <c r="AX34" i="16"/>
  <c r="AW61" i="16"/>
  <c r="AY15" i="16"/>
  <c r="AY5" i="16"/>
  <c r="AY6" i="16"/>
  <c r="AY7" i="16"/>
  <c r="AY8" i="16"/>
  <c r="AY9" i="16"/>
  <c r="AY10" i="16"/>
  <c r="AY11" i="16"/>
  <c r="AY12" i="16"/>
  <c r="AY13" i="16"/>
  <c r="AY14" i="16"/>
  <c r="AY16" i="16"/>
  <c r="AY17" i="16"/>
  <c r="AY18" i="16"/>
  <c r="AY19" i="16"/>
  <c r="AY20" i="16"/>
  <c r="AY21" i="16"/>
  <c r="AY22" i="16"/>
  <c r="AY23" i="16"/>
  <c r="AY24" i="16"/>
  <c r="AY25" i="16"/>
  <c r="AY26" i="16"/>
  <c r="AY27" i="16"/>
  <c r="AY28" i="16"/>
  <c r="AY29" i="16"/>
  <c r="AY30" i="16"/>
  <c r="AY31" i="16"/>
  <c r="AY32" i="16"/>
  <c r="AY33" i="16"/>
  <c r="AY34" i="16"/>
  <c r="AX61" i="16"/>
  <c r="AV11" i="16"/>
  <c r="AJ3" i="71" s="1"/>
  <c r="AV15" i="16"/>
  <c r="AJ3" i="81" s="1"/>
  <c r="AJ13" i="81" s="1"/>
  <c r="AV6" i="16"/>
  <c r="AJ3" i="66" s="1"/>
  <c r="AV7" i="16"/>
  <c r="AJ3" i="67" s="1"/>
  <c r="AV8" i="16"/>
  <c r="AJ3" i="68" s="1"/>
  <c r="AV9" i="16"/>
  <c r="AJ3" i="69" s="1"/>
  <c r="AV10" i="16"/>
  <c r="AJ3" i="70" s="1"/>
  <c r="AV12" i="16"/>
  <c r="AJ3" i="72" s="1"/>
  <c r="AV13" i="16"/>
  <c r="AJ3" i="73" s="1"/>
  <c r="AV14" i="16"/>
  <c r="AJ3" i="74" s="1"/>
  <c r="AV16" i="16"/>
  <c r="AJ3" i="82" s="1"/>
  <c r="AJ13" i="82" s="1"/>
  <c r="AU79" i="16" s="1"/>
  <c r="AV17" i="16"/>
  <c r="AJ3" i="83" s="1"/>
  <c r="AJ13" i="83" s="1"/>
  <c r="AV18" i="16"/>
  <c r="AJ3" i="84" s="1"/>
  <c r="AJ13" i="84" s="1"/>
  <c r="AV19" i="16"/>
  <c r="AJ3" i="85" s="1"/>
  <c r="AJ13" i="85" s="1"/>
  <c r="AV20" i="16"/>
  <c r="AJ3" i="86" s="1"/>
  <c r="AJ13" i="86" s="1"/>
  <c r="AV21" i="16"/>
  <c r="AJ3" i="87" s="1"/>
  <c r="AJ13" i="87" s="1"/>
  <c r="AV22" i="16"/>
  <c r="AJ3" i="88" s="1"/>
  <c r="AJ13" i="88" s="1"/>
  <c r="AV23" i="16"/>
  <c r="AJ3" i="89" s="1"/>
  <c r="AJ13" i="89" s="1"/>
  <c r="AV24" i="16"/>
  <c r="AJ3" i="90" s="1"/>
  <c r="AJ13" i="90" s="1"/>
  <c r="AV25" i="16"/>
  <c r="AJ3" i="91" s="1"/>
  <c r="AJ13" i="91" s="1"/>
  <c r="AV26" i="16"/>
  <c r="AJ3" i="92" s="1"/>
  <c r="AJ13" i="92" s="1"/>
  <c r="AV27" i="16"/>
  <c r="AJ3" i="93" s="1"/>
  <c r="AJ13" i="93" s="1"/>
  <c r="AV28" i="16"/>
  <c r="AJ3" i="94" s="1"/>
  <c r="AJ13" i="94" s="1"/>
  <c r="AV29" i="16"/>
  <c r="AJ3" i="95" s="1"/>
  <c r="AJ13" i="95" s="1"/>
  <c r="AV30" i="16"/>
  <c r="AJ3" i="96" s="1"/>
  <c r="AJ13" i="96" s="1"/>
  <c r="AV31" i="16"/>
  <c r="AJ3" i="97" s="1"/>
  <c r="AJ13" i="97" s="1"/>
  <c r="AV32" i="16"/>
  <c r="AJ3" i="98" s="1"/>
  <c r="AJ13" i="98" s="1"/>
  <c r="AV33" i="16"/>
  <c r="AJ3" i="99" s="1"/>
  <c r="AJ13" i="99" s="1"/>
  <c r="AV34" i="16"/>
  <c r="AJ3" i="100" s="1"/>
  <c r="AJ13" i="100" s="1"/>
  <c r="AU61" i="16"/>
  <c r="H2" i="66"/>
  <c r="B13" i="66" s="1"/>
  <c r="AG5" i="66" s="1"/>
  <c r="BW34" i="16"/>
  <c r="BW33" i="16"/>
  <c r="N36" i="64" s="1"/>
  <c r="BW32" i="16"/>
  <c r="N35" i="64" s="1"/>
  <c r="BW31" i="16"/>
  <c r="N34" i="64" s="1"/>
  <c r="BW30" i="16"/>
  <c r="N33" i="64" s="1"/>
  <c r="BW29" i="16"/>
  <c r="N32" i="64" s="1"/>
  <c r="BW28" i="16"/>
  <c r="N31" i="64" s="1"/>
  <c r="BW27" i="16"/>
  <c r="BW26" i="16"/>
  <c r="N29" i="64" s="1"/>
  <c r="BW25" i="16"/>
  <c r="N28" i="64" s="1"/>
  <c r="BW24" i="16"/>
  <c r="N27" i="64" s="1"/>
  <c r="BW23" i="16"/>
  <c r="N26" i="64" s="1"/>
  <c r="BW22" i="16"/>
  <c r="N25" i="64" s="1"/>
  <c r="BW21" i="16"/>
  <c r="N24" i="64" s="1"/>
  <c r="BW20" i="16"/>
  <c r="N23" i="64" s="1"/>
  <c r="BW19" i="16"/>
  <c r="N22" i="64" s="1"/>
  <c r="BW18" i="16"/>
  <c r="N21" i="64" s="1"/>
  <c r="BW17" i="16"/>
  <c r="N20" i="64" s="1"/>
  <c r="BW16" i="16"/>
  <c r="N19" i="64" s="1"/>
  <c r="BW15" i="16"/>
  <c r="N18" i="64" s="1"/>
  <c r="BW14" i="16"/>
  <c r="N17" i="64" s="1"/>
  <c r="BW13" i="16"/>
  <c r="N16" i="64" s="1"/>
  <c r="BW12" i="16"/>
  <c r="CG12" i="16" s="1"/>
  <c r="BW11" i="16"/>
  <c r="N14" i="64" s="1"/>
  <c r="BW10" i="16"/>
  <c r="N13" i="64" s="1"/>
  <c r="BW9" i="16"/>
  <c r="CG9" i="16" s="1"/>
  <c r="BW8" i="16"/>
  <c r="N11" i="64" s="1"/>
  <c r="BW7" i="16"/>
  <c r="N10" i="64" s="1"/>
  <c r="BW6" i="16"/>
  <c r="N9" i="64" s="1"/>
  <c r="BW5" i="16"/>
  <c r="CK5" i="16" s="1"/>
  <c r="CD5" i="16"/>
  <c r="CE5" i="16"/>
  <c r="CH5" i="16"/>
  <c r="CI5" i="16"/>
  <c r="CL5" i="16"/>
  <c r="CM5" i="16"/>
  <c r="CN5" i="16"/>
  <c r="CP5" i="16"/>
  <c r="CR5" i="16"/>
  <c r="CS5" i="16"/>
  <c r="BQ9" i="5"/>
  <c r="AQ9" i="5"/>
  <c r="AZ9" i="5" s="1"/>
  <c r="AR9" i="5"/>
  <c r="E65" i="7" s="1"/>
  <c r="BT9" i="5"/>
  <c r="BW9" i="5" s="1"/>
  <c r="AT9" i="5"/>
  <c r="AU9" i="5"/>
  <c r="H65" i="7" s="1"/>
  <c r="AV9" i="5"/>
  <c r="K16" i="7"/>
  <c r="BM45" i="5" s="1"/>
  <c r="BO45" i="5" s="1"/>
  <c r="K26" i="4" s="1"/>
  <c r="U163" i="5"/>
  <c r="V163" i="5" s="1"/>
  <c r="Y163" i="5" s="1"/>
  <c r="U164" i="5"/>
  <c r="V164" i="5" s="1"/>
  <c r="U165" i="5"/>
  <c r="V165" i="5" s="1"/>
  <c r="W165" i="5" s="1"/>
  <c r="U166" i="5"/>
  <c r="V166" i="5" s="1"/>
  <c r="U167" i="5"/>
  <c r="V167" i="5" s="1"/>
  <c r="AA167" i="5" s="1"/>
  <c r="U168" i="5"/>
  <c r="V168" i="5" s="1"/>
  <c r="U169" i="5"/>
  <c r="V169" i="5" s="1"/>
  <c r="G16" i="15"/>
  <c r="P28" i="19" s="1"/>
  <c r="X28" i="19" s="1"/>
  <c r="AG5" i="61"/>
  <c r="E5" i="61" s="1"/>
  <c r="AH5" i="61"/>
  <c r="AG6" i="61"/>
  <c r="E6" i="61" s="1"/>
  <c r="AH6" i="61"/>
  <c r="AG7" i="61"/>
  <c r="E7" i="61" s="1"/>
  <c r="AH7" i="61"/>
  <c r="AG8" i="61"/>
  <c r="E8" i="61" s="1"/>
  <c r="AH8" i="61"/>
  <c r="AG9" i="61"/>
  <c r="E9" i="61" s="1"/>
  <c r="AH9" i="61"/>
  <c r="AG10" i="61"/>
  <c r="AH10" i="61"/>
  <c r="AG11" i="61"/>
  <c r="E11" i="61" s="1"/>
  <c r="AH11" i="61"/>
  <c r="AG12" i="61"/>
  <c r="E12" i="61" s="1"/>
  <c r="AH12" i="61"/>
  <c r="AG13" i="61"/>
  <c r="E13" i="61" s="1"/>
  <c r="AH13" i="61"/>
  <c r="AG14" i="61"/>
  <c r="E14" i="61" s="1"/>
  <c r="AH14" i="61"/>
  <c r="AG15" i="61"/>
  <c r="E15" i="61" s="1"/>
  <c r="AH15" i="61"/>
  <c r="AG16" i="61"/>
  <c r="E16" i="61" s="1"/>
  <c r="AH16" i="61"/>
  <c r="F4" i="62"/>
  <c r="F5" i="62"/>
  <c r="F6" i="62"/>
  <c r="F7" i="62"/>
  <c r="F8" i="62"/>
  <c r="F9" i="62"/>
  <c r="F10" i="62"/>
  <c r="F11" i="62"/>
  <c r="F12" i="62"/>
  <c r="F13" i="62"/>
  <c r="F14" i="62"/>
  <c r="F15" i="62"/>
  <c r="F16" i="62"/>
  <c r="F17" i="62"/>
  <c r="F18" i="62"/>
  <c r="F19" i="62"/>
  <c r="F20" i="62"/>
  <c r="F21" i="62"/>
  <c r="F22" i="62"/>
  <c r="F23" i="62"/>
  <c r="F24" i="62"/>
  <c r="F25" i="62"/>
  <c r="F26" i="62"/>
  <c r="F27" i="62"/>
  <c r="F28" i="62"/>
  <c r="F29" i="62"/>
  <c r="F30" i="62"/>
  <c r="F31" i="62"/>
  <c r="F32" i="62"/>
  <c r="F33" i="62"/>
  <c r="BJ9" i="5"/>
  <c r="BK9" i="5"/>
  <c r="V46" i="17"/>
  <c r="R52" i="17"/>
  <c r="S52" i="17"/>
  <c r="S20" i="62"/>
  <c r="S21" i="62"/>
  <c r="V31" i="62"/>
  <c r="V32" i="62"/>
  <c r="V33" i="62"/>
  <c r="W14" i="62"/>
  <c r="W15" i="62"/>
  <c r="W16" i="62"/>
  <c r="W24" i="62"/>
  <c r="Y23" i="62"/>
  <c r="Y24" i="62"/>
  <c r="Z16" i="62"/>
  <c r="Z17" i="62"/>
  <c r="Z28" i="62"/>
  <c r="AA28" i="62"/>
  <c r="AA29" i="62"/>
  <c r="AE39" i="17"/>
  <c r="AD39" i="17"/>
  <c r="AF39" i="17"/>
  <c r="AG39" i="17"/>
  <c r="AH39" i="17"/>
  <c r="AD40" i="17"/>
  <c r="AE40" i="17"/>
  <c r="AF40" i="17"/>
  <c r="AG40" i="17"/>
  <c r="AH40" i="17"/>
  <c r="AE43" i="17"/>
  <c r="AD43" i="17"/>
  <c r="AF43" i="17"/>
  <c r="AG43" i="17"/>
  <c r="AH43" i="17"/>
  <c r="AD51" i="17"/>
  <c r="AE51" i="17"/>
  <c r="AF51" i="17"/>
  <c r="AG51" i="17"/>
  <c r="AH51" i="17"/>
  <c r="AD44" i="17"/>
  <c r="AI44" i="17" s="1"/>
  <c r="O8" i="17" s="1"/>
  <c r="AE44" i="17"/>
  <c r="AF44" i="17"/>
  <c r="AG44" i="17"/>
  <c r="AH44" i="17"/>
  <c r="AD41" i="17"/>
  <c r="AE41" i="17"/>
  <c r="AF41" i="17"/>
  <c r="AG41" i="17"/>
  <c r="AH41" i="17"/>
  <c r="AD42" i="17"/>
  <c r="AE42" i="17"/>
  <c r="AF42" i="17"/>
  <c r="AG42" i="17"/>
  <c r="AH42" i="17"/>
  <c r="AD45" i="17"/>
  <c r="AE45" i="17"/>
  <c r="AF45" i="17"/>
  <c r="AG45" i="17"/>
  <c r="AH45" i="17"/>
  <c r="AD46" i="17"/>
  <c r="AE46" i="17"/>
  <c r="AF46" i="17"/>
  <c r="AG46" i="17"/>
  <c r="AH46" i="17"/>
  <c r="AD47" i="17"/>
  <c r="AE47" i="17"/>
  <c r="AF47" i="17"/>
  <c r="AG47" i="17"/>
  <c r="AH47" i="17"/>
  <c r="AD48" i="17"/>
  <c r="AE48" i="17"/>
  <c r="AF48" i="17"/>
  <c r="AG48" i="17"/>
  <c r="AH48" i="17"/>
  <c r="AD49" i="17"/>
  <c r="AE49" i="17"/>
  <c r="AF49" i="17"/>
  <c r="AG49" i="17"/>
  <c r="AH49" i="17"/>
  <c r="AD50" i="17"/>
  <c r="AE50" i="17"/>
  <c r="AF50" i="17"/>
  <c r="AG50" i="17"/>
  <c r="AH50" i="17"/>
  <c r="AD52" i="17"/>
  <c r="AE52" i="17"/>
  <c r="AF52" i="17"/>
  <c r="AG52" i="17"/>
  <c r="AH52" i="17"/>
  <c r="AE14" i="62"/>
  <c r="AE15" i="62"/>
  <c r="AE16" i="62"/>
  <c r="AE17" i="62"/>
  <c r="AE18" i="62"/>
  <c r="AE19" i="62"/>
  <c r="AE20" i="62"/>
  <c r="AE21" i="62"/>
  <c r="AE22" i="62"/>
  <c r="AE23" i="62"/>
  <c r="AE24" i="62"/>
  <c r="AE25" i="62"/>
  <c r="AE26" i="62"/>
  <c r="AE27" i="62"/>
  <c r="AE28" i="62"/>
  <c r="AE29" i="62"/>
  <c r="AE30" i="62"/>
  <c r="AE31" i="62"/>
  <c r="AE32" i="62"/>
  <c r="AE33" i="62"/>
  <c r="AF14" i="62"/>
  <c r="AF15" i="62"/>
  <c r="AF16" i="62"/>
  <c r="AF17" i="62"/>
  <c r="AF18" i="62"/>
  <c r="AF19" i="62"/>
  <c r="AF20" i="62"/>
  <c r="AF21" i="62"/>
  <c r="AF22" i="62"/>
  <c r="AF23" i="62"/>
  <c r="AF24" i="62"/>
  <c r="AF25" i="62"/>
  <c r="AF26" i="62"/>
  <c r="AF27" i="62"/>
  <c r="AF28" i="62"/>
  <c r="AF29" i="62"/>
  <c r="AF30" i="62"/>
  <c r="AF31" i="62"/>
  <c r="AF32" i="62"/>
  <c r="AF33" i="62"/>
  <c r="AG14" i="62"/>
  <c r="AG15" i="62"/>
  <c r="AG16" i="62"/>
  <c r="AG17" i="62"/>
  <c r="AG18" i="62"/>
  <c r="AG19" i="62"/>
  <c r="AG20" i="62"/>
  <c r="AG21" i="62"/>
  <c r="AG22" i="62"/>
  <c r="AG23" i="62"/>
  <c r="AG24" i="62"/>
  <c r="AG25" i="62"/>
  <c r="AG26" i="62"/>
  <c r="AG27" i="62"/>
  <c r="AG28" i="62"/>
  <c r="AG29" i="62"/>
  <c r="AG30" i="62"/>
  <c r="AG31" i="62"/>
  <c r="AG32" i="62"/>
  <c r="AG33" i="62"/>
  <c r="AH14" i="62"/>
  <c r="AH15" i="62"/>
  <c r="AH16" i="62"/>
  <c r="AH17" i="62"/>
  <c r="AH18" i="62"/>
  <c r="AH19" i="62"/>
  <c r="AH20" i="62"/>
  <c r="AH21" i="62"/>
  <c r="AH22" i="62"/>
  <c r="AH23" i="62"/>
  <c r="AH24" i="62"/>
  <c r="AH25" i="62"/>
  <c r="AH26" i="62"/>
  <c r="AH27" i="62"/>
  <c r="AH28" i="62"/>
  <c r="AH29" i="62"/>
  <c r="AH30" i="62"/>
  <c r="AH31" i="62"/>
  <c r="AH32" i="62"/>
  <c r="AH33" i="62"/>
  <c r="AI14" i="62"/>
  <c r="AI15" i="62"/>
  <c r="AI16" i="62"/>
  <c r="AI17" i="62"/>
  <c r="AI18" i="62"/>
  <c r="AI19" i="62"/>
  <c r="AI20" i="62"/>
  <c r="AI21" i="62"/>
  <c r="AI22" i="62"/>
  <c r="AI23" i="62"/>
  <c r="AI24" i="62"/>
  <c r="AI25" i="62"/>
  <c r="AI26" i="62"/>
  <c r="AI27" i="62"/>
  <c r="AI28" i="62"/>
  <c r="AI29" i="62"/>
  <c r="AI30" i="62"/>
  <c r="AI31" i="62"/>
  <c r="AI32" i="62"/>
  <c r="AI33" i="62"/>
  <c r="AJ14" i="62"/>
  <c r="AJ15" i="62"/>
  <c r="AJ16" i="62"/>
  <c r="AJ17" i="62"/>
  <c r="AJ18" i="62"/>
  <c r="AJ19" i="62"/>
  <c r="AJ20" i="62"/>
  <c r="AJ21" i="62"/>
  <c r="AJ22" i="62"/>
  <c r="AJ23" i="62"/>
  <c r="AJ24" i="62"/>
  <c r="AJ25" i="62"/>
  <c r="AJ26" i="62"/>
  <c r="AJ27" i="62"/>
  <c r="AJ28" i="62"/>
  <c r="AJ29" i="62"/>
  <c r="AJ30" i="62"/>
  <c r="AJ31" i="62"/>
  <c r="AJ32" i="62"/>
  <c r="AJ33" i="62"/>
  <c r="AK39" i="17"/>
  <c r="AJ39" i="17"/>
  <c r="AL39" i="17"/>
  <c r="AM39" i="17"/>
  <c r="AN39" i="17"/>
  <c r="AJ40" i="17"/>
  <c r="AK40" i="17"/>
  <c r="AL40" i="17"/>
  <c r="AM40" i="17"/>
  <c r="AN40" i="17"/>
  <c r="AK43" i="17"/>
  <c r="AJ43" i="17"/>
  <c r="AL43" i="17"/>
  <c r="AM43" i="17"/>
  <c r="AN43" i="17"/>
  <c r="AJ51" i="17"/>
  <c r="AK51" i="17"/>
  <c r="AL51" i="17"/>
  <c r="AM51" i="17"/>
  <c r="AN51" i="17"/>
  <c r="AJ44" i="17"/>
  <c r="AK44" i="17"/>
  <c r="AL44" i="17"/>
  <c r="AM44" i="17"/>
  <c r="AN44" i="17"/>
  <c r="AJ41" i="17"/>
  <c r="AK41" i="17"/>
  <c r="AL41" i="17"/>
  <c r="AM41" i="17"/>
  <c r="AN41" i="17"/>
  <c r="AJ42" i="17"/>
  <c r="AK42" i="17"/>
  <c r="AL42" i="17"/>
  <c r="AM42" i="17"/>
  <c r="AN42" i="17"/>
  <c r="AJ45" i="17"/>
  <c r="AK45" i="17"/>
  <c r="AL45" i="17"/>
  <c r="AM45" i="17"/>
  <c r="AN45" i="17"/>
  <c r="AJ46" i="17"/>
  <c r="AK46" i="17"/>
  <c r="AL46" i="17"/>
  <c r="AM46" i="17"/>
  <c r="AN46" i="17"/>
  <c r="AJ47" i="17"/>
  <c r="AK47" i="17"/>
  <c r="AL47" i="17"/>
  <c r="AM47" i="17"/>
  <c r="AN47" i="17"/>
  <c r="AJ48" i="17"/>
  <c r="AK48" i="17"/>
  <c r="AL48" i="17"/>
  <c r="AM48" i="17"/>
  <c r="AN48" i="17"/>
  <c r="AJ49" i="17"/>
  <c r="AK49" i="17"/>
  <c r="AL49" i="17"/>
  <c r="AM49" i="17"/>
  <c r="AN49" i="17"/>
  <c r="AJ50" i="17"/>
  <c r="AK50" i="17"/>
  <c r="AL50" i="17"/>
  <c r="AM50" i="17"/>
  <c r="AN50" i="17"/>
  <c r="AJ52" i="17"/>
  <c r="AK52" i="17"/>
  <c r="AL52" i="17"/>
  <c r="AM52" i="17"/>
  <c r="AN52" i="17"/>
  <c r="AK14" i="62"/>
  <c r="AK15" i="62"/>
  <c r="AK16" i="62"/>
  <c r="AK17" i="62"/>
  <c r="AK18" i="62"/>
  <c r="AK19" i="62"/>
  <c r="AK20" i="62"/>
  <c r="AK21" i="62"/>
  <c r="AK22" i="62"/>
  <c r="AK23" i="62"/>
  <c r="AK24" i="62"/>
  <c r="AK25" i="62"/>
  <c r="AK26" i="62"/>
  <c r="AK27" i="62"/>
  <c r="AK28" i="62"/>
  <c r="AK29" i="62"/>
  <c r="AK30" i="62"/>
  <c r="AK31" i="62"/>
  <c r="AK32" i="62"/>
  <c r="AK33" i="62"/>
  <c r="AL14" i="62"/>
  <c r="AL15" i="62"/>
  <c r="AL16" i="62"/>
  <c r="AL17" i="62"/>
  <c r="AL18" i="62"/>
  <c r="AL19" i="62"/>
  <c r="AL20" i="62"/>
  <c r="AL21" i="62"/>
  <c r="AL22" i="62"/>
  <c r="AL23" i="62"/>
  <c r="AL24" i="62"/>
  <c r="AL25" i="62"/>
  <c r="AL26" i="62"/>
  <c r="AL27" i="62"/>
  <c r="AL28" i="62"/>
  <c r="AL29" i="62"/>
  <c r="AL30" i="62"/>
  <c r="AL31" i="62"/>
  <c r="AL32" i="62"/>
  <c r="AL33" i="62"/>
  <c r="AM14" i="62"/>
  <c r="AM15" i="62"/>
  <c r="AM16" i="62"/>
  <c r="AM17" i="62"/>
  <c r="AM18" i="62"/>
  <c r="AM19" i="62"/>
  <c r="AM20" i="62"/>
  <c r="AM21" i="62"/>
  <c r="AM22" i="62"/>
  <c r="AM23" i="62"/>
  <c r="AM24" i="62"/>
  <c r="AM25" i="62"/>
  <c r="AM26" i="62"/>
  <c r="AM27" i="62"/>
  <c r="AM28" i="62"/>
  <c r="AM29" i="62"/>
  <c r="AM30" i="62"/>
  <c r="AM31" i="62"/>
  <c r="AM32" i="62"/>
  <c r="AM33" i="62"/>
  <c r="AN14" i="62"/>
  <c r="AN15" i="62"/>
  <c r="AN16" i="62"/>
  <c r="AN17" i="62"/>
  <c r="AN18" i="62"/>
  <c r="AN19" i="62"/>
  <c r="AN20" i="62"/>
  <c r="AN21" i="62"/>
  <c r="AN22" i="62"/>
  <c r="AN23" i="62"/>
  <c r="AN24" i="62"/>
  <c r="AN25" i="62"/>
  <c r="AN26" i="62"/>
  <c r="AN27" i="62"/>
  <c r="AN28" i="62"/>
  <c r="AN29" i="62"/>
  <c r="AN30" i="62"/>
  <c r="AN31" i="62"/>
  <c r="AN32" i="62"/>
  <c r="AN33" i="62"/>
  <c r="AO14" i="62"/>
  <c r="AO15" i="62"/>
  <c r="AO16" i="62"/>
  <c r="AO17" i="62"/>
  <c r="AO18" i="62"/>
  <c r="AO19" i="62"/>
  <c r="AO20" i="62"/>
  <c r="AO21" i="62"/>
  <c r="AO22" i="62"/>
  <c r="AO23" i="62"/>
  <c r="AO24" i="62"/>
  <c r="AO25" i="62"/>
  <c r="AO26" i="62"/>
  <c r="AO27" i="62"/>
  <c r="AO28" i="62"/>
  <c r="AO29" i="62"/>
  <c r="AO30" i="62"/>
  <c r="AO31" i="62"/>
  <c r="AO32" i="62"/>
  <c r="AO33" i="62"/>
  <c r="AP14" i="62"/>
  <c r="AP15" i="62"/>
  <c r="AP16" i="62"/>
  <c r="AP17" i="62"/>
  <c r="AP18" i="62"/>
  <c r="AP19" i="62"/>
  <c r="AP20" i="62"/>
  <c r="AP21" i="62"/>
  <c r="AP22" i="62"/>
  <c r="AP23" i="62"/>
  <c r="AP24" i="62"/>
  <c r="AP25" i="62"/>
  <c r="AP26" i="62"/>
  <c r="AP27" i="62"/>
  <c r="AP28" i="62"/>
  <c r="AP29" i="62"/>
  <c r="AP30" i="62"/>
  <c r="AP31" i="62"/>
  <c r="AP32" i="62"/>
  <c r="AP33" i="62"/>
  <c r="AQ39" i="17"/>
  <c r="AP39" i="17"/>
  <c r="AR39" i="17"/>
  <c r="AS39" i="17"/>
  <c r="AT39" i="17"/>
  <c r="AP40" i="17"/>
  <c r="AQ40" i="17"/>
  <c r="AR40" i="17"/>
  <c r="AS40" i="17"/>
  <c r="AT40" i="17"/>
  <c r="AQ43" i="17"/>
  <c r="AP43" i="17"/>
  <c r="AR43" i="17"/>
  <c r="AS43" i="17"/>
  <c r="AT43" i="17"/>
  <c r="AP51" i="17"/>
  <c r="AQ51" i="17"/>
  <c r="AR51" i="17"/>
  <c r="AS51" i="17"/>
  <c r="AT51" i="17"/>
  <c r="AP44" i="17"/>
  <c r="AQ44" i="17"/>
  <c r="AR44" i="17"/>
  <c r="AS44" i="17"/>
  <c r="AT44" i="17"/>
  <c r="AP41" i="17"/>
  <c r="AQ41" i="17"/>
  <c r="AR41" i="17"/>
  <c r="AS41" i="17"/>
  <c r="AT41" i="17"/>
  <c r="AP42" i="17"/>
  <c r="AQ42" i="17"/>
  <c r="AR42" i="17"/>
  <c r="AS42" i="17"/>
  <c r="AT42" i="17"/>
  <c r="AP45" i="17"/>
  <c r="AQ45" i="17"/>
  <c r="AR45" i="17"/>
  <c r="AS45" i="17"/>
  <c r="AT45" i="17"/>
  <c r="AP46" i="17"/>
  <c r="AQ46" i="17"/>
  <c r="AR46" i="17"/>
  <c r="AS46" i="17"/>
  <c r="AT46" i="17"/>
  <c r="AP47" i="17"/>
  <c r="AQ47" i="17"/>
  <c r="AR47" i="17"/>
  <c r="AS47" i="17"/>
  <c r="AT47" i="17"/>
  <c r="AP48" i="17"/>
  <c r="AQ48" i="17"/>
  <c r="AR48" i="17"/>
  <c r="AS48" i="17"/>
  <c r="AT48" i="17"/>
  <c r="AP49" i="17"/>
  <c r="AQ49" i="17"/>
  <c r="AR49" i="17"/>
  <c r="AS49" i="17"/>
  <c r="AT49" i="17"/>
  <c r="AP50" i="17"/>
  <c r="AQ50" i="17"/>
  <c r="AR50" i="17"/>
  <c r="AS50" i="17"/>
  <c r="AT50" i="17"/>
  <c r="AP52" i="17"/>
  <c r="AQ52" i="17"/>
  <c r="AR52" i="17"/>
  <c r="AS52" i="17"/>
  <c r="AT52" i="17"/>
  <c r="AQ14" i="62"/>
  <c r="AQ15" i="62"/>
  <c r="AQ16" i="62"/>
  <c r="AQ17" i="62"/>
  <c r="AQ18" i="62"/>
  <c r="AQ19" i="62"/>
  <c r="AQ20" i="62"/>
  <c r="AQ21" i="62"/>
  <c r="AQ22" i="62"/>
  <c r="AQ23" i="62"/>
  <c r="AQ24" i="62"/>
  <c r="AQ25" i="62"/>
  <c r="AQ26" i="62"/>
  <c r="AQ27" i="62"/>
  <c r="AQ28" i="62"/>
  <c r="AQ29" i="62"/>
  <c r="AQ30" i="62"/>
  <c r="AQ31" i="62"/>
  <c r="AQ32" i="62"/>
  <c r="AQ33" i="62"/>
  <c r="AR14" i="62"/>
  <c r="AR15" i="62"/>
  <c r="AR16" i="62"/>
  <c r="AR17" i="62"/>
  <c r="AR18" i="62"/>
  <c r="AR19" i="62"/>
  <c r="AR20" i="62"/>
  <c r="AR21" i="62"/>
  <c r="AR22" i="62"/>
  <c r="AR23" i="62"/>
  <c r="AR24" i="62"/>
  <c r="AR25" i="62"/>
  <c r="AR26" i="62"/>
  <c r="AR27" i="62"/>
  <c r="AR28" i="62"/>
  <c r="AR29" i="62"/>
  <c r="AR30" i="62"/>
  <c r="AR31" i="62"/>
  <c r="AR32" i="62"/>
  <c r="AR33" i="62"/>
  <c r="AS14" i="62"/>
  <c r="AS15" i="62"/>
  <c r="AS16" i="62"/>
  <c r="AS17" i="62"/>
  <c r="AS18" i="62"/>
  <c r="AS19" i="62"/>
  <c r="AS20" i="62"/>
  <c r="AS21" i="62"/>
  <c r="AS22" i="62"/>
  <c r="AS23" i="62"/>
  <c r="AS24" i="62"/>
  <c r="AS25" i="62"/>
  <c r="AS26" i="62"/>
  <c r="AS27" i="62"/>
  <c r="AS28" i="62"/>
  <c r="AS29" i="62"/>
  <c r="AS30" i="62"/>
  <c r="AS31" i="62"/>
  <c r="AS32" i="62"/>
  <c r="AS33" i="62"/>
  <c r="AT14" i="62"/>
  <c r="AT15" i="62"/>
  <c r="AT16" i="62"/>
  <c r="AT17" i="62"/>
  <c r="AT18" i="62"/>
  <c r="AT19" i="62"/>
  <c r="AT20" i="62"/>
  <c r="AT21" i="62"/>
  <c r="AT22" i="62"/>
  <c r="AT23" i="62"/>
  <c r="AT24" i="62"/>
  <c r="AT25" i="62"/>
  <c r="AT26" i="62"/>
  <c r="AT27" i="62"/>
  <c r="AT28" i="62"/>
  <c r="AT29" i="62"/>
  <c r="AT30" i="62"/>
  <c r="AT31" i="62"/>
  <c r="AT32" i="62"/>
  <c r="AT33" i="62"/>
  <c r="AU14" i="62"/>
  <c r="AU15" i="62"/>
  <c r="AU16" i="62"/>
  <c r="AU17" i="62"/>
  <c r="AU18" i="62"/>
  <c r="AU19" i="62"/>
  <c r="AU20" i="62"/>
  <c r="AU21" i="62"/>
  <c r="AU22" i="62"/>
  <c r="AU23" i="62"/>
  <c r="AU24" i="62"/>
  <c r="AU25" i="62"/>
  <c r="AU26" i="62"/>
  <c r="AU27" i="62"/>
  <c r="AU28" i="62"/>
  <c r="AU29" i="62"/>
  <c r="AU30" i="62"/>
  <c r="AU31" i="62"/>
  <c r="AU32" i="62"/>
  <c r="AU33" i="62"/>
  <c r="AV14" i="62"/>
  <c r="AV15" i="62"/>
  <c r="AV16" i="62"/>
  <c r="AV17" i="62"/>
  <c r="AV18" i="62"/>
  <c r="AV19" i="62"/>
  <c r="AV20" i="62"/>
  <c r="AV21" i="62"/>
  <c r="AV22" i="62"/>
  <c r="AV23" i="62"/>
  <c r="AV24" i="62"/>
  <c r="AV25" i="62"/>
  <c r="AV26" i="62"/>
  <c r="AV27" i="62"/>
  <c r="AV28" i="62"/>
  <c r="AV29" i="62"/>
  <c r="AV30" i="62"/>
  <c r="AV31" i="62"/>
  <c r="AV32" i="62"/>
  <c r="AV33" i="62"/>
  <c r="AW39" i="17"/>
  <c r="AV39" i="17"/>
  <c r="AX39" i="17"/>
  <c r="AY39" i="17"/>
  <c r="AZ39" i="17"/>
  <c r="AV40" i="17"/>
  <c r="AW40" i="17"/>
  <c r="AX40" i="17"/>
  <c r="AY40" i="17"/>
  <c r="AZ40" i="17"/>
  <c r="AW43" i="17"/>
  <c r="AV43" i="17"/>
  <c r="AX43" i="17"/>
  <c r="AY43" i="17"/>
  <c r="AZ43" i="17"/>
  <c r="AV51" i="17"/>
  <c r="AW51" i="17"/>
  <c r="AX51" i="17"/>
  <c r="AY51" i="17"/>
  <c r="AZ51" i="17"/>
  <c r="AV44" i="17"/>
  <c r="AW44" i="17"/>
  <c r="AX44" i="17"/>
  <c r="AY44" i="17"/>
  <c r="AZ44" i="17"/>
  <c r="AV41" i="17"/>
  <c r="AW41" i="17"/>
  <c r="AX41" i="17"/>
  <c r="AY41" i="17"/>
  <c r="AZ41" i="17"/>
  <c r="AV42" i="17"/>
  <c r="AW42" i="17"/>
  <c r="AX42" i="17"/>
  <c r="AY42" i="17"/>
  <c r="AZ42" i="17"/>
  <c r="AV45" i="17"/>
  <c r="AW45" i="17"/>
  <c r="AX45" i="17"/>
  <c r="AY45" i="17"/>
  <c r="AZ45" i="17"/>
  <c r="AV46" i="17"/>
  <c r="AW46" i="17"/>
  <c r="AX46" i="17"/>
  <c r="AY46" i="17"/>
  <c r="AZ46" i="17"/>
  <c r="AV47" i="17"/>
  <c r="AW47" i="17"/>
  <c r="AX47" i="17"/>
  <c r="AY47" i="17"/>
  <c r="AZ47" i="17"/>
  <c r="AV48" i="17"/>
  <c r="AW48" i="17"/>
  <c r="AX48" i="17"/>
  <c r="AY48" i="17"/>
  <c r="AZ48" i="17"/>
  <c r="AV49" i="17"/>
  <c r="AW49" i="17"/>
  <c r="AX49" i="17"/>
  <c r="AY49" i="17"/>
  <c r="AZ49" i="17"/>
  <c r="AV50" i="17"/>
  <c r="AW50" i="17"/>
  <c r="AX50" i="17"/>
  <c r="AY50" i="17"/>
  <c r="AZ50" i="17"/>
  <c r="AV52" i="17"/>
  <c r="AW52" i="17"/>
  <c r="AX52" i="17"/>
  <c r="AY52" i="17"/>
  <c r="AZ52" i="17"/>
  <c r="AW14" i="62"/>
  <c r="AW15" i="62"/>
  <c r="AW16" i="62"/>
  <c r="AW17" i="62"/>
  <c r="AW18" i="62"/>
  <c r="AW19" i="62"/>
  <c r="AW20" i="62"/>
  <c r="AW21" i="62"/>
  <c r="AW22" i="62"/>
  <c r="AW23" i="62"/>
  <c r="AW24" i="62"/>
  <c r="AW25" i="62"/>
  <c r="AW26" i="62"/>
  <c r="AW27" i="62"/>
  <c r="AW28" i="62"/>
  <c r="AW29" i="62"/>
  <c r="AW30" i="62"/>
  <c r="AW31" i="62"/>
  <c r="AW32" i="62"/>
  <c r="AW33" i="62"/>
  <c r="AX14" i="62"/>
  <c r="AX15" i="62"/>
  <c r="AX16" i="62"/>
  <c r="AX17" i="62"/>
  <c r="AX18" i="62"/>
  <c r="AX19" i="62"/>
  <c r="AX20" i="62"/>
  <c r="AX21" i="62"/>
  <c r="AX22" i="62"/>
  <c r="AX23" i="62"/>
  <c r="AX24" i="62"/>
  <c r="AX25" i="62"/>
  <c r="AX26" i="62"/>
  <c r="AX27" i="62"/>
  <c r="AX28" i="62"/>
  <c r="AX29" i="62"/>
  <c r="AX30" i="62"/>
  <c r="AX31" i="62"/>
  <c r="AX32" i="62"/>
  <c r="AX33" i="62"/>
  <c r="AY14" i="62"/>
  <c r="AY15" i="62"/>
  <c r="AY16" i="62"/>
  <c r="AY17" i="62"/>
  <c r="AY18" i="62"/>
  <c r="AY19" i="62"/>
  <c r="AY53" i="62" s="1"/>
  <c r="AY20" i="62"/>
  <c r="AY21" i="62"/>
  <c r="AY22" i="62"/>
  <c r="AY23" i="62"/>
  <c r="AY24" i="62"/>
  <c r="AY25" i="62"/>
  <c r="AY26" i="62"/>
  <c r="AY27" i="62"/>
  <c r="AY28" i="62"/>
  <c r="AY29" i="62"/>
  <c r="AY30" i="62"/>
  <c r="AY31" i="62"/>
  <c r="AY32" i="62"/>
  <c r="AY33" i="62"/>
  <c r="AZ14" i="62"/>
  <c r="AZ15" i="62"/>
  <c r="AZ16" i="62"/>
  <c r="AZ17" i="62"/>
  <c r="AZ18" i="62"/>
  <c r="AZ19" i="62"/>
  <c r="AZ20" i="62"/>
  <c r="AZ21" i="62"/>
  <c r="AZ22" i="62"/>
  <c r="AZ23" i="62"/>
  <c r="AZ24" i="62"/>
  <c r="AZ25" i="62"/>
  <c r="AZ26" i="62"/>
  <c r="AZ27" i="62"/>
  <c r="AZ28" i="62"/>
  <c r="AZ29" i="62"/>
  <c r="AZ30" i="62"/>
  <c r="AZ31" i="62"/>
  <c r="AZ32" i="62"/>
  <c r="AZ33" i="62"/>
  <c r="BA14" i="62"/>
  <c r="BA15" i="62"/>
  <c r="BA16" i="62"/>
  <c r="BA17" i="62"/>
  <c r="BA18" i="62"/>
  <c r="BA19" i="62"/>
  <c r="BA20" i="62"/>
  <c r="BA21" i="62"/>
  <c r="BA22" i="62"/>
  <c r="BA23" i="62"/>
  <c r="BA24" i="62"/>
  <c r="BA25" i="62"/>
  <c r="BA26" i="62"/>
  <c r="BA27" i="62"/>
  <c r="BA28" i="62"/>
  <c r="BA29" i="62"/>
  <c r="BA30" i="62"/>
  <c r="BA31" i="62"/>
  <c r="BA32" i="62"/>
  <c r="BA33" i="62"/>
  <c r="BB14" i="62"/>
  <c r="BB15" i="62"/>
  <c r="BB16" i="62"/>
  <c r="BB17" i="62"/>
  <c r="BB18" i="62"/>
  <c r="BB19" i="62"/>
  <c r="BB20" i="62"/>
  <c r="BB21" i="62"/>
  <c r="BB22" i="62"/>
  <c r="BB23" i="62"/>
  <c r="BB24" i="62"/>
  <c r="BB25" i="62"/>
  <c r="BB26" i="62"/>
  <c r="BB27" i="62"/>
  <c r="BB28" i="62"/>
  <c r="BB29" i="62"/>
  <c r="BB30" i="62"/>
  <c r="BB31" i="62"/>
  <c r="BB32" i="62"/>
  <c r="BB33" i="62"/>
  <c r="BC39" i="17"/>
  <c r="BB39" i="17"/>
  <c r="BD39" i="17"/>
  <c r="BE39" i="17"/>
  <c r="BF39" i="17"/>
  <c r="BB40" i="17"/>
  <c r="BC40" i="17"/>
  <c r="BD40" i="17"/>
  <c r="BE40" i="17"/>
  <c r="BF40" i="17"/>
  <c r="BC43" i="17"/>
  <c r="BB43" i="17"/>
  <c r="BD43" i="17"/>
  <c r="BE43" i="17"/>
  <c r="BF43" i="17"/>
  <c r="BB51" i="17"/>
  <c r="BC51" i="17"/>
  <c r="BD51" i="17"/>
  <c r="BE51" i="17"/>
  <c r="BF51" i="17"/>
  <c r="BB44" i="17"/>
  <c r="BC44" i="17"/>
  <c r="BD44" i="17"/>
  <c r="BE44" i="17"/>
  <c r="BF44" i="17"/>
  <c r="BB41" i="17"/>
  <c r="BC41" i="17"/>
  <c r="BD41" i="17"/>
  <c r="BE41" i="17"/>
  <c r="BF41" i="17"/>
  <c r="BB42" i="17"/>
  <c r="BC42" i="17"/>
  <c r="BD42" i="17"/>
  <c r="BE42" i="17"/>
  <c r="BF42" i="17"/>
  <c r="BB45" i="17"/>
  <c r="BC45" i="17"/>
  <c r="BD45" i="17"/>
  <c r="BE45" i="17"/>
  <c r="BF45" i="17"/>
  <c r="BB46" i="17"/>
  <c r="BC46" i="17"/>
  <c r="BD46" i="17"/>
  <c r="BE46" i="17"/>
  <c r="BF46" i="17"/>
  <c r="BB47" i="17"/>
  <c r="BC47" i="17"/>
  <c r="BD47" i="17"/>
  <c r="BE47" i="17"/>
  <c r="BF47" i="17"/>
  <c r="BB48" i="17"/>
  <c r="BC48" i="17"/>
  <c r="BD48" i="17"/>
  <c r="BE48" i="17"/>
  <c r="BF48" i="17"/>
  <c r="BB49" i="17"/>
  <c r="BC49" i="17"/>
  <c r="BD49" i="17"/>
  <c r="BE49" i="17"/>
  <c r="BF49" i="17"/>
  <c r="BB50" i="17"/>
  <c r="BC50" i="17"/>
  <c r="BD50" i="17"/>
  <c r="BE50" i="17"/>
  <c r="BF50" i="17"/>
  <c r="BB52" i="17"/>
  <c r="BC52" i="17"/>
  <c r="BD52" i="17"/>
  <c r="BE52" i="17"/>
  <c r="BF52" i="17"/>
  <c r="BC14" i="62"/>
  <c r="BC15" i="62"/>
  <c r="BC16" i="62"/>
  <c r="BC17" i="62"/>
  <c r="BC18" i="62"/>
  <c r="BC19" i="62"/>
  <c r="BC20" i="62"/>
  <c r="BC21" i="62"/>
  <c r="BC22" i="62"/>
  <c r="BC23" i="62"/>
  <c r="BC24" i="62"/>
  <c r="BC25" i="62"/>
  <c r="BC26" i="62"/>
  <c r="BC27" i="62"/>
  <c r="BC28" i="62"/>
  <c r="BC29" i="62"/>
  <c r="BC30" i="62"/>
  <c r="BC31" i="62"/>
  <c r="BC32" i="62"/>
  <c r="BC33" i="62"/>
  <c r="BD14" i="62"/>
  <c r="BD15" i="62"/>
  <c r="BD16" i="62"/>
  <c r="BD17" i="62"/>
  <c r="BD18" i="62"/>
  <c r="BD19" i="62"/>
  <c r="BD20" i="62"/>
  <c r="BD21" i="62"/>
  <c r="BD22" i="62"/>
  <c r="BD23" i="62"/>
  <c r="BD24" i="62"/>
  <c r="BD25" i="62"/>
  <c r="BD26" i="62"/>
  <c r="BD27" i="62"/>
  <c r="BD28" i="62"/>
  <c r="BD29" i="62"/>
  <c r="BD30" i="62"/>
  <c r="BD31" i="62"/>
  <c r="BD32" i="62"/>
  <c r="BD33" i="62"/>
  <c r="BE14" i="62"/>
  <c r="BE15" i="62"/>
  <c r="BE16" i="62"/>
  <c r="BE17" i="62"/>
  <c r="BE18" i="62"/>
  <c r="BE19" i="62"/>
  <c r="BE20" i="62"/>
  <c r="BE21" i="62"/>
  <c r="BE22" i="62"/>
  <c r="BE23" i="62"/>
  <c r="BE24" i="62"/>
  <c r="BE25" i="62"/>
  <c r="BE26" i="62"/>
  <c r="BE27" i="62"/>
  <c r="BE28" i="62"/>
  <c r="BE29" i="62"/>
  <c r="BE30" i="62"/>
  <c r="BE31" i="62"/>
  <c r="BE32" i="62"/>
  <c r="BE33" i="62"/>
  <c r="BF14" i="62"/>
  <c r="BF15" i="62"/>
  <c r="BF16" i="62"/>
  <c r="BF17" i="62"/>
  <c r="BF18" i="62"/>
  <c r="BF19" i="62"/>
  <c r="BF20" i="62"/>
  <c r="BF21" i="62"/>
  <c r="BF22" i="62"/>
  <c r="BF23" i="62"/>
  <c r="BF24" i="62"/>
  <c r="BF25" i="62"/>
  <c r="BF26" i="62"/>
  <c r="BF27" i="62"/>
  <c r="BF28" i="62"/>
  <c r="BF29" i="62"/>
  <c r="BF30" i="62"/>
  <c r="BF31" i="62"/>
  <c r="BF32" i="62"/>
  <c r="BF33" i="62"/>
  <c r="BG14" i="62"/>
  <c r="BG15" i="62"/>
  <c r="BG16" i="62"/>
  <c r="BG17" i="62"/>
  <c r="BG18" i="62"/>
  <c r="BG19" i="62"/>
  <c r="BG20" i="62"/>
  <c r="BG21" i="62"/>
  <c r="BG22" i="62"/>
  <c r="BG23" i="62"/>
  <c r="BG24" i="62"/>
  <c r="BG25" i="62"/>
  <c r="BG26" i="62"/>
  <c r="BG27" i="62"/>
  <c r="BG28" i="62"/>
  <c r="BG29" i="62"/>
  <c r="BG30" i="62"/>
  <c r="BG31" i="62"/>
  <c r="BG32" i="62"/>
  <c r="BG33" i="62"/>
  <c r="BH14" i="62"/>
  <c r="BH15" i="62"/>
  <c r="BH16" i="62"/>
  <c r="BH17" i="62"/>
  <c r="BH18" i="62"/>
  <c r="BH19" i="62"/>
  <c r="BH20" i="62"/>
  <c r="BH21" i="62"/>
  <c r="BH22" i="62"/>
  <c r="BH23" i="62"/>
  <c r="BH24" i="62"/>
  <c r="BH25" i="62"/>
  <c r="BH26" i="62"/>
  <c r="BH27" i="62"/>
  <c r="BH28" i="62"/>
  <c r="BH29" i="62"/>
  <c r="BH30" i="62"/>
  <c r="BH31" i="62"/>
  <c r="BH32" i="62"/>
  <c r="BH33" i="62"/>
  <c r="BI39" i="17"/>
  <c r="BH39" i="17"/>
  <c r="BJ39" i="17"/>
  <c r="BK39" i="17"/>
  <c r="BL39" i="17"/>
  <c r="BH40" i="17"/>
  <c r="BI40" i="17"/>
  <c r="BJ40" i="17"/>
  <c r="BK40" i="17"/>
  <c r="BL40" i="17"/>
  <c r="BI43" i="17"/>
  <c r="BH43" i="17"/>
  <c r="BJ43" i="17"/>
  <c r="BK43" i="17"/>
  <c r="BL43" i="17"/>
  <c r="BH51" i="17"/>
  <c r="BI51" i="17"/>
  <c r="BJ51" i="17"/>
  <c r="BK51" i="17"/>
  <c r="BL51" i="17"/>
  <c r="BH44" i="17"/>
  <c r="BI44" i="17"/>
  <c r="BJ44" i="17"/>
  <c r="BK44" i="17"/>
  <c r="BL44" i="17"/>
  <c r="BH41" i="17"/>
  <c r="BI41" i="17"/>
  <c r="BJ41" i="17"/>
  <c r="BK41" i="17"/>
  <c r="BL41" i="17"/>
  <c r="BH42" i="17"/>
  <c r="BI42" i="17"/>
  <c r="BJ42" i="17"/>
  <c r="BK42" i="17"/>
  <c r="BL42" i="17"/>
  <c r="BH45" i="17"/>
  <c r="BI45" i="17"/>
  <c r="BJ45" i="17"/>
  <c r="BK45" i="17"/>
  <c r="BL45" i="17"/>
  <c r="BH46" i="17"/>
  <c r="BI46" i="17"/>
  <c r="BJ46" i="17"/>
  <c r="BK46" i="17"/>
  <c r="BL46" i="17"/>
  <c r="BH47" i="17"/>
  <c r="BI47" i="17"/>
  <c r="BJ47" i="17"/>
  <c r="BK47" i="17"/>
  <c r="BL47" i="17"/>
  <c r="BH48" i="17"/>
  <c r="BI48" i="17"/>
  <c r="BJ48" i="17"/>
  <c r="BK48" i="17"/>
  <c r="BL48" i="17"/>
  <c r="BH49" i="17"/>
  <c r="BI49" i="17"/>
  <c r="BJ49" i="17"/>
  <c r="BK49" i="17"/>
  <c r="BL49" i="17"/>
  <c r="BH50" i="17"/>
  <c r="BI50" i="17"/>
  <c r="BJ50" i="17"/>
  <c r="BK50" i="17"/>
  <c r="BL50" i="17"/>
  <c r="BH52" i="17"/>
  <c r="BI52" i="17"/>
  <c r="BJ52" i="17"/>
  <c r="BK52" i="17"/>
  <c r="BL52" i="17"/>
  <c r="BI14" i="62"/>
  <c r="BI15" i="62"/>
  <c r="BI16" i="62"/>
  <c r="BI17" i="62"/>
  <c r="BI18" i="62"/>
  <c r="BI19" i="62"/>
  <c r="BI20" i="62"/>
  <c r="BI21" i="62"/>
  <c r="BI22" i="62"/>
  <c r="BI23" i="62"/>
  <c r="BI24" i="62"/>
  <c r="BI25" i="62"/>
  <c r="BI26" i="62"/>
  <c r="BI27" i="62"/>
  <c r="BI28" i="62"/>
  <c r="BI29" i="62"/>
  <c r="BI30" i="62"/>
  <c r="BI31" i="62"/>
  <c r="BI32" i="62"/>
  <c r="BI33" i="62"/>
  <c r="BJ14" i="62"/>
  <c r="BJ15" i="62"/>
  <c r="BJ16" i="62"/>
  <c r="BJ17" i="62"/>
  <c r="BJ18" i="62"/>
  <c r="BJ19" i="62"/>
  <c r="BJ53" i="62" s="1"/>
  <c r="BJ20" i="62"/>
  <c r="BJ21" i="62"/>
  <c r="BJ22" i="62"/>
  <c r="BJ23" i="62"/>
  <c r="BJ24" i="62"/>
  <c r="BJ25" i="62"/>
  <c r="BJ26" i="62"/>
  <c r="BJ27" i="62"/>
  <c r="BJ28" i="62"/>
  <c r="BJ29" i="62"/>
  <c r="BJ30" i="62"/>
  <c r="BJ31" i="62"/>
  <c r="BJ32" i="62"/>
  <c r="BJ33" i="62"/>
  <c r="BK14" i="62"/>
  <c r="BK15" i="62"/>
  <c r="BK16" i="62"/>
  <c r="BK17" i="62"/>
  <c r="BK18" i="62"/>
  <c r="BK19" i="62"/>
  <c r="BK20" i="62"/>
  <c r="BK21" i="62"/>
  <c r="BK22" i="62"/>
  <c r="BK23" i="62"/>
  <c r="BK24" i="62"/>
  <c r="BK25" i="62"/>
  <c r="BK26" i="62"/>
  <c r="BK27" i="62"/>
  <c r="BK28" i="62"/>
  <c r="BK29" i="62"/>
  <c r="BK30" i="62"/>
  <c r="BK31" i="62"/>
  <c r="BK32" i="62"/>
  <c r="BK33" i="62"/>
  <c r="BL14" i="62"/>
  <c r="BL15" i="62"/>
  <c r="BL16" i="62"/>
  <c r="BL17" i="62"/>
  <c r="BL18" i="62"/>
  <c r="BL19" i="62"/>
  <c r="BL20" i="62"/>
  <c r="BL21" i="62"/>
  <c r="BL22" i="62"/>
  <c r="BL23" i="62"/>
  <c r="BL24" i="62"/>
  <c r="BL25" i="62"/>
  <c r="BL26" i="62"/>
  <c r="BL27" i="62"/>
  <c r="BL28" i="62"/>
  <c r="BL29" i="62"/>
  <c r="BL30" i="62"/>
  <c r="BL31" i="62"/>
  <c r="BL32" i="62"/>
  <c r="BL33" i="62"/>
  <c r="BM14" i="62"/>
  <c r="BM15" i="62"/>
  <c r="BM16" i="62"/>
  <c r="BM17" i="62"/>
  <c r="BM18" i="62"/>
  <c r="BM19" i="62"/>
  <c r="BM20" i="62"/>
  <c r="BM21" i="62"/>
  <c r="BM22" i="62"/>
  <c r="BM23" i="62"/>
  <c r="BM24" i="62"/>
  <c r="BM25" i="62"/>
  <c r="BM26" i="62"/>
  <c r="BM27" i="62"/>
  <c r="BM28" i="62"/>
  <c r="BM29" i="62"/>
  <c r="BM30" i="62"/>
  <c r="BM31" i="62"/>
  <c r="BM32" i="62"/>
  <c r="BM33" i="62"/>
  <c r="BN14" i="62"/>
  <c r="BN15" i="62"/>
  <c r="BN16" i="62"/>
  <c r="BN17" i="62"/>
  <c r="BN18" i="62"/>
  <c r="BN19" i="62"/>
  <c r="BN20" i="62"/>
  <c r="BN21" i="62"/>
  <c r="BN22" i="62"/>
  <c r="BN23" i="62"/>
  <c r="BN24" i="62"/>
  <c r="BN25" i="62"/>
  <c r="BN26" i="62"/>
  <c r="BN27" i="62"/>
  <c r="BN28" i="62"/>
  <c r="BN29" i="62"/>
  <c r="BN30" i="62"/>
  <c r="BN31" i="62"/>
  <c r="BN32" i="62"/>
  <c r="BN33" i="62"/>
  <c r="BO39" i="17"/>
  <c r="BN39" i="17"/>
  <c r="BP39" i="17"/>
  <c r="BQ39" i="17"/>
  <c r="BR39" i="17"/>
  <c r="BN40" i="17"/>
  <c r="BO40" i="17"/>
  <c r="BP40" i="17"/>
  <c r="BQ40" i="17"/>
  <c r="BR40" i="17"/>
  <c r="BO43" i="17"/>
  <c r="BN43" i="17"/>
  <c r="BP43" i="17"/>
  <c r="BQ43" i="17"/>
  <c r="BR43" i="17"/>
  <c r="BN51" i="17"/>
  <c r="BO51" i="17"/>
  <c r="BP51" i="17"/>
  <c r="BQ51" i="17"/>
  <c r="BR51" i="17"/>
  <c r="BN44" i="17"/>
  <c r="BO44" i="17"/>
  <c r="BP44" i="17"/>
  <c r="BQ44" i="17"/>
  <c r="BR44" i="17"/>
  <c r="BN41" i="17"/>
  <c r="BO41" i="17"/>
  <c r="BP41" i="17"/>
  <c r="BQ41" i="17"/>
  <c r="BR41" i="17"/>
  <c r="BN42" i="17"/>
  <c r="BO42" i="17"/>
  <c r="BP42" i="17"/>
  <c r="BQ42" i="17"/>
  <c r="BR42" i="17"/>
  <c r="BN45" i="17"/>
  <c r="BO45" i="17"/>
  <c r="BP45" i="17"/>
  <c r="BQ45" i="17"/>
  <c r="BR45" i="17"/>
  <c r="BN46" i="17"/>
  <c r="BO46" i="17"/>
  <c r="BP46" i="17"/>
  <c r="BQ46" i="17"/>
  <c r="BR46" i="17"/>
  <c r="BN47" i="17"/>
  <c r="BO47" i="17"/>
  <c r="BP47" i="17"/>
  <c r="BQ47" i="17"/>
  <c r="BR47" i="17"/>
  <c r="BN48" i="17"/>
  <c r="BO48" i="17"/>
  <c r="BP48" i="17"/>
  <c r="BQ48" i="17"/>
  <c r="BR48" i="17"/>
  <c r="BN49" i="17"/>
  <c r="BO49" i="17"/>
  <c r="BP49" i="17"/>
  <c r="BQ49" i="17"/>
  <c r="BR49" i="17"/>
  <c r="BN50" i="17"/>
  <c r="BO50" i="17"/>
  <c r="BP50" i="17"/>
  <c r="BQ50" i="17"/>
  <c r="BR50" i="17"/>
  <c r="BN52" i="17"/>
  <c r="BO52" i="17"/>
  <c r="BP52" i="17"/>
  <c r="BQ52" i="17"/>
  <c r="BR52" i="17"/>
  <c r="BO14" i="62"/>
  <c r="BO15" i="62"/>
  <c r="BO16" i="62"/>
  <c r="BO17" i="62"/>
  <c r="BO18" i="62"/>
  <c r="BO19" i="62"/>
  <c r="BO20" i="62"/>
  <c r="BO21" i="62"/>
  <c r="BO22" i="62"/>
  <c r="BO23" i="62"/>
  <c r="BO24" i="62"/>
  <c r="BO25" i="62"/>
  <c r="BO26" i="62"/>
  <c r="BO27" i="62"/>
  <c r="BO28" i="62"/>
  <c r="BO29" i="62"/>
  <c r="BO30" i="62"/>
  <c r="BO31" i="62"/>
  <c r="BO32" i="62"/>
  <c r="BO33" i="62"/>
  <c r="BP14" i="62"/>
  <c r="BP15" i="62"/>
  <c r="BP16" i="62"/>
  <c r="BP17" i="62"/>
  <c r="BP18" i="62"/>
  <c r="BP19" i="62"/>
  <c r="BP20" i="62"/>
  <c r="BP21" i="62"/>
  <c r="BP22" i="62"/>
  <c r="BP23" i="62"/>
  <c r="BP24" i="62"/>
  <c r="BP25" i="62"/>
  <c r="BP26" i="62"/>
  <c r="BP27" i="62"/>
  <c r="BP28" i="62"/>
  <c r="BP29" i="62"/>
  <c r="BP30" i="62"/>
  <c r="BP31" i="62"/>
  <c r="BP32" i="62"/>
  <c r="BP33" i="62"/>
  <c r="BQ14" i="62"/>
  <c r="BQ15" i="62"/>
  <c r="BQ16" i="62"/>
  <c r="BQ17" i="62"/>
  <c r="BQ18" i="62"/>
  <c r="BQ19" i="62"/>
  <c r="BQ20" i="62"/>
  <c r="BQ21" i="62"/>
  <c r="BQ22" i="62"/>
  <c r="BQ23" i="62"/>
  <c r="BQ24" i="62"/>
  <c r="BQ25" i="62"/>
  <c r="BQ26" i="62"/>
  <c r="BQ27" i="62"/>
  <c r="BQ28" i="62"/>
  <c r="BQ29" i="62"/>
  <c r="BQ30" i="62"/>
  <c r="BQ31" i="62"/>
  <c r="BQ32" i="62"/>
  <c r="BQ33" i="62"/>
  <c r="BR14" i="62"/>
  <c r="BR15" i="62"/>
  <c r="BR16" i="62"/>
  <c r="BR17" i="62"/>
  <c r="BR18" i="62"/>
  <c r="BR19" i="62"/>
  <c r="BR20" i="62"/>
  <c r="BR21" i="62"/>
  <c r="BR22" i="62"/>
  <c r="BR23" i="62"/>
  <c r="BR24" i="62"/>
  <c r="BR25" i="62"/>
  <c r="BR26" i="62"/>
  <c r="BR27" i="62"/>
  <c r="BR28" i="62"/>
  <c r="BR29" i="62"/>
  <c r="BR30" i="62"/>
  <c r="BR31" i="62"/>
  <c r="BR32" i="62"/>
  <c r="BR33" i="62"/>
  <c r="BS14" i="62"/>
  <c r="BS15" i="62"/>
  <c r="BS16" i="62"/>
  <c r="BS17" i="62"/>
  <c r="BS18" i="62"/>
  <c r="BS19" i="62"/>
  <c r="BS20" i="62"/>
  <c r="BS21" i="62"/>
  <c r="BS22" i="62"/>
  <c r="BS23" i="62"/>
  <c r="BS24" i="62"/>
  <c r="BS25" i="62"/>
  <c r="BS26" i="62"/>
  <c r="BS27" i="62"/>
  <c r="BS28" i="62"/>
  <c r="BS29" i="62"/>
  <c r="BS30" i="62"/>
  <c r="BS31" i="62"/>
  <c r="BS32" i="62"/>
  <c r="BS33" i="62"/>
  <c r="BT14" i="62"/>
  <c r="BT15" i="62"/>
  <c r="BT16" i="62"/>
  <c r="BT17" i="62"/>
  <c r="BT18" i="62"/>
  <c r="BT19" i="62"/>
  <c r="BT20" i="62"/>
  <c r="BT21" i="62"/>
  <c r="BT22" i="62"/>
  <c r="BT23" i="62"/>
  <c r="BT24" i="62"/>
  <c r="BT25" i="62"/>
  <c r="BT26" i="62"/>
  <c r="BT27" i="62"/>
  <c r="BT28" i="62"/>
  <c r="BT29" i="62"/>
  <c r="BT30" i="62"/>
  <c r="BT31" i="62"/>
  <c r="BT32" i="62"/>
  <c r="BT33" i="62"/>
  <c r="BU39" i="17"/>
  <c r="BT39" i="17"/>
  <c r="BV39" i="17"/>
  <c r="BW39" i="17"/>
  <c r="BX39" i="17"/>
  <c r="BT40" i="17"/>
  <c r="BU40" i="17"/>
  <c r="BV40" i="17"/>
  <c r="BW40" i="17"/>
  <c r="BX40" i="17"/>
  <c r="BU43" i="17"/>
  <c r="BT43" i="17"/>
  <c r="BV43" i="17"/>
  <c r="BW43" i="17"/>
  <c r="BX43" i="17"/>
  <c r="BT51" i="17"/>
  <c r="BU51" i="17"/>
  <c r="BV51" i="17"/>
  <c r="BW51" i="17"/>
  <c r="BX51" i="17"/>
  <c r="BT44" i="17"/>
  <c r="BU44" i="17"/>
  <c r="BV44" i="17"/>
  <c r="BW44" i="17"/>
  <c r="BX44" i="17"/>
  <c r="BT41" i="17"/>
  <c r="BU41" i="17"/>
  <c r="BV41" i="17"/>
  <c r="BW41" i="17"/>
  <c r="BX41" i="17"/>
  <c r="BT42" i="17"/>
  <c r="BU42" i="17"/>
  <c r="BV42" i="17"/>
  <c r="BW42" i="17"/>
  <c r="BX42" i="17"/>
  <c r="BT45" i="17"/>
  <c r="BU45" i="17"/>
  <c r="BV45" i="17"/>
  <c r="BW45" i="17"/>
  <c r="BX45" i="17"/>
  <c r="BT46" i="17"/>
  <c r="BU46" i="17"/>
  <c r="BV46" i="17"/>
  <c r="BW46" i="17"/>
  <c r="BX46" i="17"/>
  <c r="BT47" i="17"/>
  <c r="BU47" i="17"/>
  <c r="BV47" i="17"/>
  <c r="BW47" i="17"/>
  <c r="BX47" i="17"/>
  <c r="BT48" i="17"/>
  <c r="BU48" i="17"/>
  <c r="BV48" i="17"/>
  <c r="BW48" i="17"/>
  <c r="BX48" i="17"/>
  <c r="BT49" i="17"/>
  <c r="BU49" i="17"/>
  <c r="BV49" i="17"/>
  <c r="BW49" i="17"/>
  <c r="BX49" i="17"/>
  <c r="BT50" i="17"/>
  <c r="BU50" i="17"/>
  <c r="BV50" i="17"/>
  <c r="BW50" i="17"/>
  <c r="BX50" i="17"/>
  <c r="BT52" i="17"/>
  <c r="BU52" i="17"/>
  <c r="BV52" i="17"/>
  <c r="BW52" i="17"/>
  <c r="BX52" i="17"/>
  <c r="BU14" i="62"/>
  <c r="BU15" i="62"/>
  <c r="BU16" i="62"/>
  <c r="BU17" i="62"/>
  <c r="BU18" i="62"/>
  <c r="BU19" i="62"/>
  <c r="BU20" i="62"/>
  <c r="BU21" i="62"/>
  <c r="BU22" i="62"/>
  <c r="BU23" i="62"/>
  <c r="BU24" i="62"/>
  <c r="BU25" i="62"/>
  <c r="BU26" i="62"/>
  <c r="BU27" i="62"/>
  <c r="BU28" i="62"/>
  <c r="BU29" i="62"/>
  <c r="BU30" i="62"/>
  <c r="BU31" i="62"/>
  <c r="BU32" i="62"/>
  <c r="BU33" i="62"/>
  <c r="BV14" i="62"/>
  <c r="BV15" i="62"/>
  <c r="BV16" i="62"/>
  <c r="BV17" i="62"/>
  <c r="BV18" i="62"/>
  <c r="BV19" i="62"/>
  <c r="BV20" i="62"/>
  <c r="BV21" i="62"/>
  <c r="BV22" i="62"/>
  <c r="BV23" i="62"/>
  <c r="BV24" i="62"/>
  <c r="BV25" i="62"/>
  <c r="BV26" i="62"/>
  <c r="BV27" i="62"/>
  <c r="BV28" i="62"/>
  <c r="BV29" i="62"/>
  <c r="BV30" i="62"/>
  <c r="BV31" i="62"/>
  <c r="BV32" i="62"/>
  <c r="BV33" i="62"/>
  <c r="BW14" i="62"/>
  <c r="BW15" i="62"/>
  <c r="BW16" i="62"/>
  <c r="BW17" i="62"/>
  <c r="BW18" i="62"/>
  <c r="BW19" i="62"/>
  <c r="BW20" i="62"/>
  <c r="BW21" i="62"/>
  <c r="BW22" i="62"/>
  <c r="BW23" i="62"/>
  <c r="BW24" i="62"/>
  <c r="BW25" i="62"/>
  <c r="BW26" i="62"/>
  <c r="BW27" i="62"/>
  <c r="BW28" i="62"/>
  <c r="BW29" i="62"/>
  <c r="BW30" i="62"/>
  <c r="BW31" i="62"/>
  <c r="BW32" i="62"/>
  <c r="BW33" i="62"/>
  <c r="BX14" i="62"/>
  <c r="BX15" i="62"/>
  <c r="BX16" i="62"/>
  <c r="BX17" i="62"/>
  <c r="BX18" i="62"/>
  <c r="BX19" i="62"/>
  <c r="BX20" i="62"/>
  <c r="BX21" i="62"/>
  <c r="BX22" i="62"/>
  <c r="BX23" i="62"/>
  <c r="BX24" i="62"/>
  <c r="BX25" i="62"/>
  <c r="BX26" i="62"/>
  <c r="BX27" i="62"/>
  <c r="BX28" i="62"/>
  <c r="BX29" i="62"/>
  <c r="BX30" i="62"/>
  <c r="BX31" i="62"/>
  <c r="BX32" i="62"/>
  <c r="BX33" i="62"/>
  <c r="BY14" i="62"/>
  <c r="BY15" i="62"/>
  <c r="BY16" i="62"/>
  <c r="BY17" i="62"/>
  <c r="BY18" i="62"/>
  <c r="BY19" i="62"/>
  <c r="BY20" i="62"/>
  <c r="BY21" i="62"/>
  <c r="BY22" i="62"/>
  <c r="BY23" i="62"/>
  <c r="BY24" i="62"/>
  <c r="BY25" i="62"/>
  <c r="BY26" i="62"/>
  <c r="BY27" i="62"/>
  <c r="BY28" i="62"/>
  <c r="BY29" i="62"/>
  <c r="BY30" i="62"/>
  <c r="BY31" i="62"/>
  <c r="BY32" i="62"/>
  <c r="BY33" i="62"/>
  <c r="BZ14" i="62"/>
  <c r="BZ15" i="62"/>
  <c r="BZ16" i="62"/>
  <c r="BZ17" i="62"/>
  <c r="BZ18" i="62"/>
  <c r="BZ19" i="62"/>
  <c r="BZ20" i="62"/>
  <c r="BZ21" i="62"/>
  <c r="BZ22" i="62"/>
  <c r="BZ23" i="62"/>
  <c r="BZ24" i="62"/>
  <c r="BZ25" i="62"/>
  <c r="BZ26" i="62"/>
  <c r="BZ27" i="62"/>
  <c r="BZ28" i="62"/>
  <c r="BZ29" i="62"/>
  <c r="BZ30" i="62"/>
  <c r="BZ31" i="62"/>
  <c r="BZ32" i="62"/>
  <c r="BZ33" i="62"/>
  <c r="I16" i="15"/>
  <c r="Z17" i="15"/>
  <c r="BD9" i="5"/>
  <c r="BF9" i="5"/>
  <c r="CJ9" i="5"/>
  <c r="BG9" i="5"/>
  <c r="N65" i="7" s="1"/>
  <c r="H16" i="15"/>
  <c r="Y17" i="15"/>
  <c r="Z4" i="15"/>
  <c r="Y4" i="15"/>
  <c r="X17" i="15"/>
  <c r="X4" i="15"/>
  <c r="W16" i="15"/>
  <c r="W17" i="15"/>
  <c r="W4" i="15"/>
  <c r="T159" i="5"/>
  <c r="T160" i="5"/>
  <c r="T161" i="5"/>
  <c r="T162" i="5"/>
  <c r="T163" i="5"/>
  <c r="T164" i="5"/>
  <c r="T165" i="5"/>
  <c r="T166" i="5"/>
  <c r="T167" i="5"/>
  <c r="T168" i="5"/>
  <c r="T169" i="5"/>
  <c r="T170" i="5"/>
  <c r="U170" i="5"/>
  <c r="V170" i="5" s="1"/>
  <c r="Z170" i="5" s="1"/>
  <c r="T171" i="5"/>
  <c r="U171" i="5"/>
  <c r="V171" i="5" s="1"/>
  <c r="M2" i="62"/>
  <c r="O28" i="62" s="1"/>
  <c r="L37" i="17"/>
  <c r="O44" i="17" s="1"/>
  <c r="S2" i="62"/>
  <c r="W9" i="62" s="1"/>
  <c r="R37" i="17"/>
  <c r="R46" i="17" s="1"/>
  <c r="Y2" i="62"/>
  <c r="X37" i="17"/>
  <c r="AB40" i="17" s="1"/>
  <c r="AE2" i="62"/>
  <c r="AD37" i="17"/>
  <c r="AK2" i="62"/>
  <c r="AJ37" i="17"/>
  <c r="AQ2" i="62"/>
  <c r="AP37" i="17"/>
  <c r="AW2" i="62"/>
  <c r="AV37" i="17"/>
  <c r="BC2" i="62"/>
  <c r="BB37" i="17"/>
  <c r="BI2" i="62"/>
  <c r="BH37" i="17"/>
  <c r="BO2" i="62"/>
  <c r="BN37" i="17"/>
  <c r="BU2" i="62"/>
  <c r="BT37" i="17"/>
  <c r="G2" i="62"/>
  <c r="K7" i="62" s="1"/>
  <c r="C37" i="17"/>
  <c r="C39" i="17" s="1"/>
  <c r="I9" i="8"/>
  <c r="I29" i="8" s="1"/>
  <c r="L16" i="7"/>
  <c r="I161" i="5" s="1"/>
  <c r="M16" i="7"/>
  <c r="J161" i="5" s="1"/>
  <c r="D181" i="5"/>
  <c r="N181" i="5" s="1"/>
  <c r="E181" i="5"/>
  <c r="G9" i="8"/>
  <c r="D8" i="80"/>
  <c r="E8" i="80"/>
  <c r="G8" i="80"/>
  <c r="D12" i="80"/>
  <c r="E12" i="80"/>
  <c r="G12" i="80"/>
  <c r="E16" i="80"/>
  <c r="G16" i="80"/>
  <c r="E17" i="80"/>
  <c r="G17" i="80"/>
  <c r="I31" i="7"/>
  <c r="J31" i="7"/>
  <c r="K31" i="7"/>
  <c r="I30" i="7"/>
  <c r="J30" i="7"/>
  <c r="K30" i="7"/>
  <c r="I29" i="7"/>
  <c r="J29" i="7"/>
  <c r="K29" i="7"/>
  <c r="I28" i="7"/>
  <c r="J28" i="7"/>
  <c r="K28" i="7"/>
  <c r="Q19" i="7"/>
  <c r="Q18" i="7"/>
  <c r="I19" i="7"/>
  <c r="J19" i="7" s="1"/>
  <c r="BS13" i="5"/>
  <c r="AQ12" i="5"/>
  <c r="AR12" i="5"/>
  <c r="AW12" i="5"/>
  <c r="BU12" i="5"/>
  <c r="CF12" i="5"/>
  <c r="BT12" i="5"/>
  <c r="BW12" i="5" s="1"/>
  <c r="BZ12" i="5"/>
  <c r="AW29" i="7"/>
  <c r="AW25" i="7"/>
  <c r="AW26" i="7"/>
  <c r="AW27" i="7"/>
  <c r="AW28" i="7"/>
  <c r="AQ29" i="7"/>
  <c r="AQ25" i="7"/>
  <c r="AQ26" i="7"/>
  <c r="AQ27" i="7"/>
  <c r="AQ28" i="7"/>
  <c r="AK29" i="7"/>
  <c r="AK25" i="7"/>
  <c r="AK26" i="7"/>
  <c r="AK27" i="7"/>
  <c r="AK28" i="7"/>
  <c r="AW24" i="7"/>
  <c r="AQ24" i="7"/>
  <c r="AK24" i="7"/>
  <c r="AE29" i="7"/>
  <c r="AE25" i="7"/>
  <c r="AE26" i="7"/>
  <c r="AE27" i="7"/>
  <c r="AE28" i="7"/>
  <c r="AE24" i="7"/>
  <c r="AU22" i="7"/>
  <c r="AV22" i="7"/>
  <c r="AW22" i="7"/>
  <c r="AT12" i="5"/>
  <c r="CC12" i="5"/>
  <c r="AU12" i="5"/>
  <c r="CD12" i="5"/>
  <c r="AV12" i="5"/>
  <c r="CE12" i="5"/>
  <c r="AS12" i="5"/>
  <c r="CB12" i="5"/>
  <c r="AO22" i="7"/>
  <c r="AP22" i="7"/>
  <c r="AQ22" i="7"/>
  <c r="AI22" i="7"/>
  <c r="AJ22" i="7"/>
  <c r="AK22" i="7"/>
  <c r="AC22" i="7"/>
  <c r="AD22" i="7"/>
  <c r="AE22" i="7"/>
  <c r="C19" i="61"/>
  <c r="AH9" i="64"/>
  <c r="AH10" i="64"/>
  <c r="AH11" i="64"/>
  <c r="AH12" i="64"/>
  <c r="AH13" i="64"/>
  <c r="AH14" i="64"/>
  <c r="AH15" i="64"/>
  <c r="AH16" i="64"/>
  <c r="AH17" i="64"/>
  <c r="AH18" i="64"/>
  <c r="AH19" i="64"/>
  <c r="AH20" i="64"/>
  <c r="AH21" i="64"/>
  <c r="AH22" i="64"/>
  <c r="AH8" i="64"/>
  <c r="S6" i="102"/>
  <c r="BF20" i="18"/>
  <c r="O21" i="18"/>
  <c r="AO21" i="18" s="1"/>
  <c r="O22" i="18"/>
  <c r="AX22" i="18" s="1"/>
  <c r="O23" i="18"/>
  <c r="AT23" i="18" s="1"/>
  <c r="H2" i="70"/>
  <c r="B13" i="70" s="1"/>
  <c r="W9" i="101" s="1"/>
  <c r="CA6" i="16"/>
  <c r="CB6" i="16"/>
  <c r="CD6" i="16"/>
  <c r="CE6" i="16"/>
  <c r="CH6" i="16"/>
  <c r="CI6" i="16"/>
  <c r="CL6" i="16"/>
  <c r="CM6" i="16"/>
  <c r="CN6" i="16"/>
  <c r="CT6" i="16"/>
  <c r="B17" i="15"/>
  <c r="I11" i="6"/>
  <c r="G26" i="7"/>
  <c r="C26" i="7"/>
  <c r="C169" i="5"/>
  <c r="O14" i="15"/>
  <c r="Q15" i="15"/>
  <c r="T17" i="15"/>
  <c r="U17" i="15"/>
  <c r="V17" i="15"/>
  <c r="U8" i="61"/>
  <c r="O20" i="66"/>
  <c r="AW20" i="66" s="1"/>
  <c r="O20" i="67"/>
  <c r="AY20" i="67" s="1"/>
  <c r="O20" i="68"/>
  <c r="AQ20" i="68" s="1"/>
  <c r="O20" i="69"/>
  <c r="AO20" i="69" s="1"/>
  <c r="AJ20" i="69"/>
  <c r="O20" i="70"/>
  <c r="AP20" i="70" s="1"/>
  <c r="AJ20" i="70"/>
  <c r="O20" i="71"/>
  <c r="AV20" i="71" s="1"/>
  <c r="O20" i="72"/>
  <c r="AO20" i="72" s="1"/>
  <c r="AJ20" i="72"/>
  <c r="O20" i="73"/>
  <c r="BE20" i="73" s="1"/>
  <c r="O20" i="74"/>
  <c r="BC20" i="74" s="1"/>
  <c r="AJ20" i="74"/>
  <c r="C159" i="5"/>
  <c r="B24" i="4" s="1"/>
  <c r="D159" i="5"/>
  <c r="E159" i="5"/>
  <c r="O21" i="66"/>
  <c r="AQ21" i="66" s="1"/>
  <c r="O21" i="67"/>
  <c r="AP21" i="67" s="1"/>
  <c r="O21" i="68"/>
  <c r="BC21" i="68" s="1"/>
  <c r="O21" i="69"/>
  <c r="AW21" i="69" s="1"/>
  <c r="AJ21" i="69"/>
  <c r="O21" i="70"/>
  <c r="AR21" i="70" s="1"/>
  <c r="AJ21" i="70"/>
  <c r="O21" i="71"/>
  <c r="AT21" i="71" s="1"/>
  <c r="O21" i="72"/>
  <c r="AT21" i="72" s="1"/>
  <c r="AJ21" i="72"/>
  <c r="O21" i="73"/>
  <c r="BC21" i="73" s="1"/>
  <c r="O21" i="74"/>
  <c r="BC21" i="74" s="1"/>
  <c r="AJ21" i="74"/>
  <c r="C160" i="5"/>
  <c r="B25" i="4" s="1"/>
  <c r="O5" i="15"/>
  <c r="D160" i="5"/>
  <c r="E160" i="5"/>
  <c r="O22" i="66"/>
  <c r="O22" i="67"/>
  <c r="AR22" i="67" s="1"/>
  <c r="O22" i="68"/>
  <c r="AS22" i="68" s="1"/>
  <c r="O22" i="69"/>
  <c r="BH22" i="69" s="1"/>
  <c r="AJ22" i="69"/>
  <c r="O22" i="70"/>
  <c r="AJ22" i="70"/>
  <c r="O22" i="71"/>
  <c r="AQ22" i="71" s="1"/>
  <c r="O22" i="72"/>
  <c r="AS22" i="72" s="1"/>
  <c r="AJ22" i="72"/>
  <c r="O22" i="73"/>
  <c r="BD22" i="73" s="1"/>
  <c r="O22" i="74"/>
  <c r="AT22" i="74" s="1"/>
  <c r="AJ22" i="74"/>
  <c r="C161" i="5"/>
  <c r="O6" i="15" s="1"/>
  <c r="C162" i="5"/>
  <c r="B27" i="4" s="1"/>
  <c r="C163" i="5"/>
  <c r="O8" i="15" s="1"/>
  <c r="D163" i="5"/>
  <c r="E163" i="5"/>
  <c r="O23" i="66"/>
  <c r="AP23" i="66" s="1"/>
  <c r="O23" i="67"/>
  <c r="AY23" i="67" s="1"/>
  <c r="O23" i="68"/>
  <c r="O23" i="69"/>
  <c r="AX23" i="69" s="1"/>
  <c r="AJ23" i="69"/>
  <c r="O23" i="70"/>
  <c r="AJ23" i="70"/>
  <c r="O23" i="71"/>
  <c r="AP23" i="71" s="1"/>
  <c r="O23" i="72"/>
  <c r="BF23" i="72" s="1"/>
  <c r="AJ23" i="72"/>
  <c r="O23" i="73"/>
  <c r="AX23" i="73" s="1"/>
  <c r="O23" i="74"/>
  <c r="AP23" i="74" s="1"/>
  <c r="AJ23" i="74"/>
  <c r="D177" i="5"/>
  <c r="E177" i="5"/>
  <c r="O24" i="66"/>
  <c r="AO24" i="66" s="1"/>
  <c r="O24" i="18"/>
  <c r="BG24" i="18" s="1"/>
  <c r="O24" i="67"/>
  <c r="BG24" i="67" s="1"/>
  <c r="O24" i="68"/>
  <c r="AO24" i="68" s="1"/>
  <c r="O24" i="69"/>
  <c r="AO24" i="69" s="1"/>
  <c r="AJ24" i="69"/>
  <c r="O24" i="70"/>
  <c r="AX24" i="70" s="1"/>
  <c r="AJ24" i="70"/>
  <c r="O24" i="71"/>
  <c r="AP24" i="71" s="1"/>
  <c r="AQ24" i="71"/>
  <c r="O24" i="72"/>
  <c r="AS24" i="72" s="1"/>
  <c r="AO24" i="72"/>
  <c r="AJ24" i="72"/>
  <c r="O24" i="73"/>
  <c r="AS24" i="73" s="1"/>
  <c r="O24" i="74"/>
  <c r="BE24" i="74" s="1"/>
  <c r="AJ24" i="74"/>
  <c r="O25" i="66"/>
  <c r="AQ25" i="66" s="1"/>
  <c r="O25" i="18"/>
  <c r="AT25" i="18" s="1"/>
  <c r="O25" i="67"/>
  <c r="AO25" i="67" s="1"/>
  <c r="O25" i="68"/>
  <c r="AP25" i="68" s="1"/>
  <c r="O25" i="69"/>
  <c r="AP25" i="69" s="1"/>
  <c r="AJ25" i="69"/>
  <c r="O25" i="70"/>
  <c r="AP25" i="70" s="1"/>
  <c r="AJ25" i="70"/>
  <c r="O25" i="71"/>
  <c r="BA25" i="71" s="1"/>
  <c r="O25" i="72"/>
  <c r="BF25" i="72" s="1"/>
  <c r="AJ25" i="72"/>
  <c r="O25" i="73"/>
  <c r="AV25" i="73" s="1"/>
  <c r="O25" i="74"/>
  <c r="AZ25" i="74" s="1"/>
  <c r="AJ25" i="74"/>
  <c r="O26" i="66"/>
  <c r="AZ26" i="66" s="1"/>
  <c r="O26" i="18"/>
  <c r="AQ26" i="18" s="1"/>
  <c r="O26" i="67"/>
  <c r="AO26" i="67" s="1"/>
  <c r="O26" i="68"/>
  <c r="AZ26" i="68" s="1"/>
  <c r="O26" i="69"/>
  <c r="BG26" i="69" s="1"/>
  <c r="AJ26" i="69"/>
  <c r="O26" i="70"/>
  <c r="AO26" i="70" s="1"/>
  <c r="AJ26" i="70"/>
  <c r="O26" i="71"/>
  <c r="AO26" i="71" s="1"/>
  <c r="O26" i="72"/>
  <c r="AV26" i="72" s="1"/>
  <c r="AJ26" i="72"/>
  <c r="O26" i="73"/>
  <c r="AQ26" i="73" s="1"/>
  <c r="O26" i="74"/>
  <c r="BA26" i="74" s="1"/>
  <c r="AJ26" i="74"/>
  <c r="O27" i="66"/>
  <c r="AP27" i="66" s="1"/>
  <c r="O27" i="18"/>
  <c r="BA27" i="18" s="1"/>
  <c r="O27" i="67"/>
  <c r="BA27" i="67" s="1"/>
  <c r="O27" i="68"/>
  <c r="AP27" i="68"/>
  <c r="O27" i="69"/>
  <c r="AO27" i="69" s="1"/>
  <c r="AJ27" i="69"/>
  <c r="O27" i="70"/>
  <c r="BG27" i="70" s="1"/>
  <c r="AV27" i="70"/>
  <c r="AJ27" i="70"/>
  <c r="O27" i="71"/>
  <c r="AW27" i="71" s="1"/>
  <c r="O27" i="72"/>
  <c r="AW27" i="72" s="1"/>
  <c r="AJ27" i="72"/>
  <c r="O27" i="73"/>
  <c r="BA27" i="73" s="1"/>
  <c r="O27" i="74"/>
  <c r="AQ27" i="74" s="1"/>
  <c r="AJ27" i="74"/>
  <c r="O28" i="66"/>
  <c r="AS28" i="66" s="1"/>
  <c r="O28" i="18"/>
  <c r="AQ28" i="18" s="1"/>
  <c r="O28" i="67"/>
  <c r="AV28" i="67" s="1"/>
  <c r="O28" i="68"/>
  <c r="AO28" i="68" s="1"/>
  <c r="O28" i="69"/>
  <c r="AO28" i="69" s="1"/>
  <c r="AJ28" i="69"/>
  <c r="O28" i="70"/>
  <c r="AQ28" i="70" s="1"/>
  <c r="BA28" i="70"/>
  <c r="AJ28" i="70"/>
  <c r="O28" i="71"/>
  <c r="BH28" i="71" s="1"/>
  <c r="O28" i="72"/>
  <c r="AY28" i="72" s="1"/>
  <c r="AJ28" i="72"/>
  <c r="O28" i="73"/>
  <c r="AO28" i="73" s="1"/>
  <c r="O28" i="74"/>
  <c r="AO28" i="74" s="1"/>
  <c r="AJ28" i="74"/>
  <c r="O29" i="66"/>
  <c r="BD29" i="66" s="1"/>
  <c r="O29" i="18"/>
  <c r="AY29" i="18" s="1"/>
  <c r="O29" i="67"/>
  <c r="AO29" i="67" s="1"/>
  <c r="O29" i="68"/>
  <c r="AO29" i="68" s="1"/>
  <c r="O29" i="69"/>
  <c r="BG29" i="69" s="1"/>
  <c r="AJ29" i="69"/>
  <c r="O29" i="70"/>
  <c r="AY29" i="70" s="1"/>
  <c r="AJ29" i="70"/>
  <c r="O29" i="71"/>
  <c r="AR29" i="71" s="1"/>
  <c r="O29" i="72"/>
  <c r="AQ29" i="72" s="1"/>
  <c r="AJ29" i="72"/>
  <c r="O29" i="73"/>
  <c r="AR29" i="73" s="1"/>
  <c r="O29" i="74"/>
  <c r="BE29" i="74" s="1"/>
  <c r="AJ29" i="74"/>
  <c r="O30" i="66"/>
  <c r="AO30" i="66" s="1"/>
  <c r="O30" i="18"/>
  <c r="AQ30" i="18" s="1"/>
  <c r="O30" i="67"/>
  <c r="BA30" i="67" s="1"/>
  <c r="O30" i="68"/>
  <c r="BE30" i="68" s="1"/>
  <c r="O30" i="69"/>
  <c r="AQ30" i="69" s="1"/>
  <c r="AJ30" i="69"/>
  <c r="O30" i="70"/>
  <c r="AP30" i="70" s="1"/>
  <c r="AZ30" i="70"/>
  <c r="AJ30" i="70"/>
  <c r="O30" i="71"/>
  <c r="BA30" i="71" s="1"/>
  <c r="AO30" i="71"/>
  <c r="O30" i="72"/>
  <c r="AO30" i="72" s="1"/>
  <c r="AJ30" i="72"/>
  <c r="O30" i="73"/>
  <c r="AQ30" i="73" s="1"/>
  <c r="O30" i="74"/>
  <c r="AO30" i="74" s="1"/>
  <c r="AY30" i="74"/>
  <c r="AJ30" i="74"/>
  <c r="O31" i="66"/>
  <c r="AO31" i="66" s="1"/>
  <c r="O31" i="18"/>
  <c r="BH31" i="18" s="1"/>
  <c r="O31" i="67"/>
  <c r="BG31" i="67" s="1"/>
  <c r="O31" i="68"/>
  <c r="AR31" i="68" s="1"/>
  <c r="O31" i="69"/>
  <c r="AP31" i="69" s="1"/>
  <c r="AJ31" i="69"/>
  <c r="O31" i="70"/>
  <c r="AT31" i="70" s="1"/>
  <c r="AJ31" i="70"/>
  <c r="O31" i="71"/>
  <c r="AY31" i="71" s="1"/>
  <c r="O31" i="72"/>
  <c r="BD31" i="72" s="1"/>
  <c r="AJ31" i="72"/>
  <c r="O31" i="73"/>
  <c r="AV31" i="73" s="1"/>
  <c r="O31" i="74"/>
  <c r="AZ31" i="74" s="1"/>
  <c r="AJ31" i="74"/>
  <c r="C15" i="17"/>
  <c r="AP5" i="5"/>
  <c r="DF5" i="5" s="1"/>
  <c r="AP6" i="5"/>
  <c r="DF6" i="5" s="1"/>
  <c r="AP7" i="5"/>
  <c r="AQ7" i="5" s="1"/>
  <c r="D63" i="7" s="1"/>
  <c r="AP8" i="5"/>
  <c r="AP9" i="5"/>
  <c r="BH9" i="5" s="1"/>
  <c r="AP10" i="5"/>
  <c r="AP11" i="5"/>
  <c r="AP12" i="5"/>
  <c r="BA12" i="5"/>
  <c r="AP13" i="5"/>
  <c r="BH13" i="5" s="1"/>
  <c r="AQ13" i="5"/>
  <c r="D69" i="7" s="1"/>
  <c r="AP14" i="5"/>
  <c r="DF14" i="5"/>
  <c r="AP15" i="5"/>
  <c r="DH15" i="5"/>
  <c r="AP16" i="5"/>
  <c r="DF16" i="5"/>
  <c r="AP17" i="5"/>
  <c r="DF17" i="5"/>
  <c r="AP18" i="5"/>
  <c r="DF18" i="5"/>
  <c r="AP19" i="5"/>
  <c r="AQ19" i="5"/>
  <c r="D75" i="7"/>
  <c r="BR5" i="5"/>
  <c r="BS5" i="5"/>
  <c r="BR6" i="5"/>
  <c r="BS6" i="5"/>
  <c r="BR7" i="5"/>
  <c r="BS7" i="5"/>
  <c r="BR8" i="5"/>
  <c r="BS8" i="5"/>
  <c r="BR9" i="5"/>
  <c r="BS9" i="5"/>
  <c r="BR10" i="5"/>
  <c r="DB10" i="5"/>
  <c r="BC10" i="5"/>
  <c r="BS10" i="5"/>
  <c r="BS11" i="5"/>
  <c r="BS12" i="5"/>
  <c r="BS14" i="5"/>
  <c r="BS15" i="5"/>
  <c r="BS16" i="5"/>
  <c r="BS17" i="5"/>
  <c r="BS18" i="5"/>
  <c r="BS19" i="5"/>
  <c r="M5" i="6"/>
  <c r="N33" i="6"/>
  <c r="J8" i="6"/>
  <c r="M41" i="6"/>
  <c r="K41" i="6"/>
  <c r="M8" i="6"/>
  <c r="M43" i="6"/>
  <c r="AY23" i="5"/>
  <c r="BB23" i="5"/>
  <c r="M11" i="6"/>
  <c r="M50" i="6" s="1"/>
  <c r="M55" i="6"/>
  <c r="U55" i="6" s="1"/>
  <c r="K55" i="6"/>
  <c r="J15" i="6"/>
  <c r="D28" i="7"/>
  <c r="J5" i="6"/>
  <c r="D22" i="7"/>
  <c r="AY24" i="5"/>
  <c r="BB24" i="5"/>
  <c r="AT24" i="5"/>
  <c r="J11" i="6"/>
  <c r="D26" i="7"/>
  <c r="M49" i="6"/>
  <c r="W49" i="6"/>
  <c r="AY25" i="5"/>
  <c r="AU25" i="5" s="1"/>
  <c r="BB25" i="5"/>
  <c r="AY26" i="5"/>
  <c r="BB26" i="5"/>
  <c r="AV26" i="5"/>
  <c r="AV28" i="5"/>
  <c r="I77" i="7"/>
  <c r="AY27" i="5"/>
  <c r="BB27" i="5"/>
  <c r="BH27" i="5" s="1"/>
  <c r="BP5" i="5"/>
  <c r="BQ5" i="5"/>
  <c r="BP6" i="5"/>
  <c r="BQ6" i="5"/>
  <c r="BP7" i="5"/>
  <c r="BQ7" i="5"/>
  <c r="BP8" i="5"/>
  <c r="BQ8" i="5"/>
  <c r="BP9" i="5"/>
  <c r="BP10" i="5"/>
  <c r="BQ10" i="5"/>
  <c r="BQ11" i="5"/>
  <c r="BQ12" i="5"/>
  <c r="BQ13" i="5"/>
  <c r="BQ14" i="5"/>
  <c r="BQ15" i="5"/>
  <c r="BQ16" i="5"/>
  <c r="BQ17" i="5"/>
  <c r="BQ18" i="5"/>
  <c r="BQ19" i="5"/>
  <c r="BE43" i="5"/>
  <c r="BE44" i="5"/>
  <c r="BE45" i="5"/>
  <c r="BE46" i="5"/>
  <c r="O9" i="7"/>
  <c r="G9" i="7"/>
  <c r="L9" i="7"/>
  <c r="BE47" i="5"/>
  <c r="BE48" i="5"/>
  <c r="G5" i="8"/>
  <c r="I5" i="6"/>
  <c r="G22" i="7"/>
  <c r="I8" i="6"/>
  <c r="L41" i="6"/>
  <c r="AP6" i="16"/>
  <c r="AP7" i="16"/>
  <c r="AE3" i="67" s="1"/>
  <c r="AP8" i="16"/>
  <c r="AE3" i="68" s="1"/>
  <c r="AP9" i="16"/>
  <c r="AE3" i="69" s="1"/>
  <c r="AP10" i="16"/>
  <c r="AE3" i="70" s="1"/>
  <c r="AP11" i="16"/>
  <c r="AE3" i="71" s="1"/>
  <c r="AP12" i="16"/>
  <c r="AE3" i="72" s="1"/>
  <c r="AP13" i="16"/>
  <c r="AE3" i="73" s="1"/>
  <c r="AP14" i="16"/>
  <c r="AE3" i="74" s="1"/>
  <c r="AP15" i="16"/>
  <c r="AE3" i="81" s="1"/>
  <c r="AE13" i="81" s="1"/>
  <c r="AP16" i="16"/>
  <c r="AE3" i="82" s="1"/>
  <c r="AE13" i="82" s="1"/>
  <c r="AP17" i="16"/>
  <c r="AE3" i="83" s="1"/>
  <c r="AE13" i="83" s="1"/>
  <c r="AP18" i="16"/>
  <c r="AE3" i="84" s="1"/>
  <c r="AE13" i="84" s="1"/>
  <c r="AP19" i="16"/>
  <c r="AE3" i="85" s="1"/>
  <c r="AE13" i="85" s="1"/>
  <c r="AP20" i="16"/>
  <c r="AE3" i="86" s="1"/>
  <c r="AE13" i="86" s="1"/>
  <c r="AP21" i="16"/>
  <c r="AE3" i="87" s="1"/>
  <c r="AE13" i="87" s="1"/>
  <c r="AP22" i="16"/>
  <c r="AE3" i="88" s="1"/>
  <c r="AE13" i="88" s="1"/>
  <c r="AP23" i="16"/>
  <c r="AE3" i="89" s="1"/>
  <c r="AE13" i="89" s="1"/>
  <c r="AP24" i="16"/>
  <c r="AE3" i="90" s="1"/>
  <c r="AE13" i="90" s="1"/>
  <c r="AP25" i="16"/>
  <c r="AE3" i="91" s="1"/>
  <c r="AE13" i="91" s="1"/>
  <c r="AP26" i="16"/>
  <c r="AE3" i="92" s="1"/>
  <c r="AE13" i="92" s="1"/>
  <c r="AP27" i="16"/>
  <c r="AE3" i="93" s="1"/>
  <c r="AE13" i="93" s="1"/>
  <c r="AP28" i="16"/>
  <c r="AE3" i="94" s="1"/>
  <c r="AE13" i="94" s="1"/>
  <c r="AP29" i="16"/>
  <c r="AE3" i="95" s="1"/>
  <c r="AE13" i="95" s="1"/>
  <c r="AP30" i="16"/>
  <c r="AE3" i="96" s="1"/>
  <c r="AE13" i="96" s="1"/>
  <c r="AP31" i="16"/>
  <c r="AE3" i="97" s="1"/>
  <c r="AE13" i="97" s="1"/>
  <c r="AP32" i="16"/>
  <c r="AE3" i="98" s="1"/>
  <c r="AE13" i="98" s="1"/>
  <c r="AP33" i="16"/>
  <c r="AE3" i="99" s="1"/>
  <c r="AE13" i="99" s="1"/>
  <c r="AP34" i="16"/>
  <c r="AE3" i="100" s="1"/>
  <c r="AE13" i="100" s="1"/>
  <c r="AR6" i="16"/>
  <c r="AR7" i="16"/>
  <c r="AR8" i="16"/>
  <c r="AR9" i="16"/>
  <c r="AR10" i="16"/>
  <c r="AR11" i="16"/>
  <c r="AR12" i="16"/>
  <c r="AR13" i="16"/>
  <c r="AR14" i="16"/>
  <c r="AR15" i="16"/>
  <c r="AR16" i="16"/>
  <c r="AR17" i="16"/>
  <c r="AR18" i="16"/>
  <c r="AR19" i="16"/>
  <c r="AR20" i="16"/>
  <c r="AR21" i="16"/>
  <c r="AR22" i="16"/>
  <c r="AR23" i="16"/>
  <c r="AR24" i="16"/>
  <c r="AR25" i="16"/>
  <c r="AR26" i="16"/>
  <c r="AR27" i="16"/>
  <c r="AR28" i="16"/>
  <c r="AR29" i="16"/>
  <c r="AR30" i="16"/>
  <c r="AR31" i="16"/>
  <c r="AR32" i="16"/>
  <c r="AR33" i="16"/>
  <c r="AR34" i="16"/>
  <c r="AS6" i="16"/>
  <c r="AS7" i="16"/>
  <c r="AS8" i="16"/>
  <c r="AS9" i="16"/>
  <c r="AS10" i="16"/>
  <c r="AS11" i="16"/>
  <c r="AS12" i="16"/>
  <c r="AS13" i="16"/>
  <c r="AS14" i="16"/>
  <c r="AS15" i="16"/>
  <c r="AS16" i="16"/>
  <c r="AS17" i="16"/>
  <c r="AS18" i="16"/>
  <c r="AS19" i="16"/>
  <c r="AS20" i="16"/>
  <c r="AS21" i="16"/>
  <c r="AS22" i="16"/>
  <c r="AS23" i="16"/>
  <c r="AS24" i="16"/>
  <c r="AS25" i="16"/>
  <c r="AS26" i="16"/>
  <c r="AS27" i="16"/>
  <c r="AS28" i="16"/>
  <c r="AS29" i="16"/>
  <c r="AS30" i="16"/>
  <c r="AS31" i="16"/>
  <c r="AS32" i="16"/>
  <c r="AS33" i="16"/>
  <c r="AS34" i="16"/>
  <c r="AT6" i="16"/>
  <c r="AT7" i="16"/>
  <c r="AH3" i="67" s="1"/>
  <c r="AT8" i="16"/>
  <c r="AH3" i="68" s="1"/>
  <c r="AT9" i="16"/>
  <c r="AH3" i="69" s="1"/>
  <c r="AT10" i="16"/>
  <c r="AH3" i="70" s="1"/>
  <c r="AT11" i="16"/>
  <c r="AH3" i="71" s="1"/>
  <c r="AT12" i="16"/>
  <c r="AH3" i="72" s="1"/>
  <c r="AT13" i="16"/>
  <c r="AH3" i="73" s="1"/>
  <c r="AT14" i="16"/>
  <c r="AH3" i="74" s="1"/>
  <c r="AT15" i="16"/>
  <c r="AH3" i="81" s="1"/>
  <c r="AH13" i="81" s="1"/>
  <c r="AT16" i="16"/>
  <c r="AH3" i="82" s="1"/>
  <c r="AH13" i="82" s="1"/>
  <c r="AT17" i="16"/>
  <c r="AH3" i="83" s="1"/>
  <c r="AH13" i="83" s="1"/>
  <c r="AT18" i="16"/>
  <c r="AH3" i="84" s="1"/>
  <c r="AH13" i="84" s="1"/>
  <c r="AT19" i="16"/>
  <c r="AH3" i="85" s="1"/>
  <c r="AH13" i="85" s="1"/>
  <c r="AT20" i="16"/>
  <c r="AH3" i="86" s="1"/>
  <c r="AH13" i="86" s="1"/>
  <c r="AT21" i="16"/>
  <c r="AH3" i="87" s="1"/>
  <c r="AH13" i="87" s="1"/>
  <c r="AT22" i="16"/>
  <c r="AH3" i="88" s="1"/>
  <c r="AH13" i="88" s="1"/>
  <c r="AT23" i="16"/>
  <c r="AH3" i="89" s="1"/>
  <c r="AH13" i="89" s="1"/>
  <c r="AT24" i="16"/>
  <c r="AH3" i="90" s="1"/>
  <c r="AH13" i="90" s="1"/>
  <c r="AT25" i="16"/>
  <c r="AH3" i="91" s="1"/>
  <c r="AH13" i="91" s="1"/>
  <c r="AT26" i="16"/>
  <c r="AH3" i="92" s="1"/>
  <c r="AH13" i="92" s="1"/>
  <c r="AT27" i="16"/>
  <c r="AH3" i="93" s="1"/>
  <c r="AH13" i="93" s="1"/>
  <c r="AT28" i="16"/>
  <c r="AH3" i="94" s="1"/>
  <c r="AH13" i="94" s="1"/>
  <c r="AT29" i="16"/>
  <c r="AH3" i="95" s="1"/>
  <c r="AH13" i="95" s="1"/>
  <c r="AT30" i="16"/>
  <c r="AH3" i="96" s="1"/>
  <c r="AH13" i="96" s="1"/>
  <c r="AT31" i="16"/>
  <c r="AH3" i="97" s="1"/>
  <c r="AH13" i="97" s="1"/>
  <c r="AT32" i="16"/>
  <c r="AH3" i="98" s="1"/>
  <c r="AH13" i="98" s="1"/>
  <c r="AT33" i="16"/>
  <c r="AH3" i="99" s="1"/>
  <c r="AH13" i="99" s="1"/>
  <c r="AT34" i="16"/>
  <c r="AH3" i="100" s="1"/>
  <c r="AH13" i="100" s="1"/>
  <c r="AU6" i="16"/>
  <c r="AI3" i="66" s="1"/>
  <c r="AU7" i="16"/>
  <c r="AI3" i="67" s="1"/>
  <c r="AU8" i="16"/>
  <c r="AI3" i="68" s="1"/>
  <c r="AU9" i="16"/>
  <c r="AI3" i="69" s="1"/>
  <c r="AU10" i="16"/>
  <c r="AI3" i="70" s="1"/>
  <c r="AU11" i="16"/>
  <c r="AI3" i="71" s="1"/>
  <c r="AU12" i="16"/>
  <c r="AI3" i="72" s="1"/>
  <c r="AU13" i="16"/>
  <c r="AI3" i="73" s="1"/>
  <c r="AU14" i="16"/>
  <c r="AI3" i="74" s="1"/>
  <c r="AU15" i="16"/>
  <c r="AI3" i="81" s="1"/>
  <c r="AI13" i="81" s="1"/>
  <c r="AU16" i="16"/>
  <c r="AI3" i="82" s="1"/>
  <c r="AI13" i="82" s="1"/>
  <c r="AU17" i="16"/>
  <c r="AI3" i="83" s="1"/>
  <c r="AI13" i="83" s="1"/>
  <c r="AU18" i="16"/>
  <c r="AI3" i="84" s="1"/>
  <c r="AI13" i="84" s="1"/>
  <c r="AU19" i="16"/>
  <c r="AI3" i="85" s="1"/>
  <c r="AI13" i="85" s="1"/>
  <c r="AU20" i="16"/>
  <c r="AI3" i="86" s="1"/>
  <c r="AI13" i="86" s="1"/>
  <c r="AU21" i="16"/>
  <c r="AI3" i="87" s="1"/>
  <c r="AI13" i="87" s="1"/>
  <c r="AU22" i="16"/>
  <c r="AI3" i="88" s="1"/>
  <c r="AI13" i="88" s="1"/>
  <c r="AU23" i="16"/>
  <c r="AI3" i="89" s="1"/>
  <c r="AI13" i="89" s="1"/>
  <c r="AU24" i="16"/>
  <c r="AI3" i="90" s="1"/>
  <c r="AI13" i="90" s="1"/>
  <c r="AU25" i="16"/>
  <c r="AI3" i="91" s="1"/>
  <c r="AI13" i="91" s="1"/>
  <c r="AU26" i="16"/>
  <c r="AI3" i="92" s="1"/>
  <c r="AI13" i="92" s="1"/>
  <c r="AU27" i="16"/>
  <c r="AI3" i="93" s="1"/>
  <c r="AI13" i="93" s="1"/>
  <c r="AU28" i="16"/>
  <c r="AI3" i="94" s="1"/>
  <c r="AI13" i="94" s="1"/>
  <c r="AU29" i="16"/>
  <c r="AI3" i="95" s="1"/>
  <c r="AI13" i="95" s="1"/>
  <c r="AU30" i="16"/>
  <c r="AI3" i="96" s="1"/>
  <c r="AI13" i="96" s="1"/>
  <c r="AU31" i="16"/>
  <c r="AI3" i="97" s="1"/>
  <c r="AI13" i="97" s="1"/>
  <c r="AU32" i="16"/>
  <c r="AI3" i="98" s="1"/>
  <c r="AI13" i="98" s="1"/>
  <c r="AU33" i="16"/>
  <c r="AI3" i="99" s="1"/>
  <c r="AI13" i="99" s="1"/>
  <c r="AU34" i="16"/>
  <c r="AI3" i="100" s="1"/>
  <c r="AI13" i="100" s="1"/>
  <c r="L49" i="6"/>
  <c r="J9" i="6"/>
  <c r="M45" i="6"/>
  <c r="J6" i="6"/>
  <c r="D23" i="7"/>
  <c r="J12" i="6"/>
  <c r="M58" i="6"/>
  <c r="K58" i="6" s="1"/>
  <c r="J16" i="6"/>
  <c r="D29" i="7"/>
  <c r="J17" i="6"/>
  <c r="D30" i="7"/>
  <c r="J18" i="6"/>
  <c r="D31" i="7"/>
  <c r="J16" i="7"/>
  <c r="G161" i="5" s="1"/>
  <c r="E18" i="3"/>
  <c r="DG21" i="5" s="1"/>
  <c r="AN16" i="5"/>
  <c r="AN15" i="5"/>
  <c r="AO16" i="5"/>
  <c r="AO15" i="5"/>
  <c r="C2" i="72"/>
  <c r="D161" i="5"/>
  <c r="E161" i="5"/>
  <c r="D162" i="5"/>
  <c r="C164" i="5"/>
  <c r="O9" i="15" s="1"/>
  <c r="D164" i="5"/>
  <c r="C22" i="7"/>
  <c r="C165" i="5"/>
  <c r="O10" i="15"/>
  <c r="R29" i="6"/>
  <c r="R32" i="6"/>
  <c r="C23" i="7"/>
  <c r="C166" i="5"/>
  <c r="O11" i="15"/>
  <c r="C24" i="7"/>
  <c r="C167" i="5"/>
  <c r="O12" i="15"/>
  <c r="R41" i="6"/>
  <c r="R42" i="6"/>
  <c r="C25" i="7"/>
  <c r="C168" i="5"/>
  <c r="O13" i="15"/>
  <c r="C27" i="7"/>
  <c r="C170" i="5"/>
  <c r="O15" i="15"/>
  <c r="C28" i="7"/>
  <c r="C171" i="5"/>
  <c r="O16" i="15"/>
  <c r="C29" i="7"/>
  <c r="C172" i="5"/>
  <c r="O17" i="15"/>
  <c r="I22" i="7"/>
  <c r="F165" i="5"/>
  <c r="L22" i="7"/>
  <c r="I165" i="5"/>
  <c r="M22" i="7"/>
  <c r="J165" i="5"/>
  <c r="O22" i="7"/>
  <c r="L165" i="5"/>
  <c r="I23" i="7"/>
  <c r="F166" i="5"/>
  <c r="L23" i="7"/>
  <c r="I166" i="5"/>
  <c r="M23" i="7"/>
  <c r="J166" i="5"/>
  <c r="O23" i="7"/>
  <c r="L166" i="5"/>
  <c r="I24" i="7"/>
  <c r="F167" i="5"/>
  <c r="L24" i="7"/>
  <c r="I167" i="5"/>
  <c r="M24" i="7"/>
  <c r="J167" i="5"/>
  <c r="O24" i="7"/>
  <c r="L167" i="5"/>
  <c r="I25" i="7"/>
  <c r="F168" i="5"/>
  <c r="L25" i="7"/>
  <c r="I168" i="5"/>
  <c r="M25" i="7"/>
  <c r="J168" i="5"/>
  <c r="O25" i="7"/>
  <c r="L168" i="5"/>
  <c r="I26" i="7"/>
  <c r="F169" i="5"/>
  <c r="R51" i="6"/>
  <c r="L26" i="7"/>
  <c r="I169" i="5"/>
  <c r="M26" i="7"/>
  <c r="J169" i="5"/>
  <c r="O26" i="7"/>
  <c r="L169" i="5"/>
  <c r="I27" i="7"/>
  <c r="F170" i="5"/>
  <c r="L27" i="7"/>
  <c r="I170" i="5"/>
  <c r="M27" i="7"/>
  <c r="J170" i="5"/>
  <c r="O27" i="7"/>
  <c r="L170" i="5"/>
  <c r="I15" i="6"/>
  <c r="G28" i="7"/>
  <c r="F171" i="5"/>
  <c r="L28" i="7"/>
  <c r="I171" i="5"/>
  <c r="M28" i="7"/>
  <c r="J171" i="5"/>
  <c r="L29" i="7"/>
  <c r="I172" i="5"/>
  <c r="M29" i="7"/>
  <c r="J172" i="5"/>
  <c r="C30" i="7"/>
  <c r="C173" i="5"/>
  <c r="O18" i="15"/>
  <c r="F173" i="5"/>
  <c r="L30" i="7"/>
  <c r="I173" i="5"/>
  <c r="M30" i="7"/>
  <c r="J173" i="5"/>
  <c r="C31" i="7"/>
  <c r="C174" i="5"/>
  <c r="O19" i="15"/>
  <c r="F174" i="5"/>
  <c r="L31" i="7"/>
  <c r="I174" i="5"/>
  <c r="M31" i="7"/>
  <c r="J174" i="5"/>
  <c r="P6" i="74"/>
  <c r="O6" i="74"/>
  <c r="N6" i="74"/>
  <c r="M6" i="74"/>
  <c r="L6" i="74"/>
  <c r="K6" i="74"/>
  <c r="J6" i="74"/>
  <c r="I6" i="74"/>
  <c r="H6" i="74"/>
  <c r="G6" i="74"/>
  <c r="F6" i="74"/>
  <c r="E6" i="74"/>
  <c r="P14" i="16"/>
  <c r="J14" i="16" s="1"/>
  <c r="M3" i="74"/>
  <c r="H3" i="74"/>
  <c r="H2" i="74"/>
  <c r="B13" i="74" s="1"/>
  <c r="W13" i="101" s="1"/>
  <c r="E3" i="74"/>
  <c r="C2" i="73"/>
  <c r="C2" i="74"/>
  <c r="P6" i="73"/>
  <c r="O6" i="73"/>
  <c r="N6" i="73"/>
  <c r="M6" i="73"/>
  <c r="L6" i="73"/>
  <c r="K6" i="73"/>
  <c r="J6" i="73"/>
  <c r="I6" i="73"/>
  <c r="H6" i="73"/>
  <c r="G6" i="73"/>
  <c r="F6" i="73"/>
  <c r="E6" i="73"/>
  <c r="P13" i="16"/>
  <c r="J13" i="16" s="1"/>
  <c r="M3" i="73"/>
  <c r="H3" i="73"/>
  <c r="H2" i="73"/>
  <c r="E3" i="73"/>
  <c r="Q15" i="74"/>
  <c r="Q14" i="74"/>
  <c r="Q13" i="74"/>
  <c r="P5" i="16"/>
  <c r="J5" i="16" s="1"/>
  <c r="Q15" i="73"/>
  <c r="Q14" i="73"/>
  <c r="Q13" i="73"/>
  <c r="P6" i="72"/>
  <c r="O6" i="72"/>
  <c r="N6" i="72"/>
  <c r="M6" i="72"/>
  <c r="L6" i="72"/>
  <c r="K6" i="72"/>
  <c r="J6" i="72"/>
  <c r="I6" i="72"/>
  <c r="H6" i="72"/>
  <c r="G6" i="72"/>
  <c r="F6" i="72"/>
  <c r="E6" i="72"/>
  <c r="P12" i="16"/>
  <c r="J12" i="16" s="1"/>
  <c r="M3" i="72"/>
  <c r="H3" i="72"/>
  <c r="H2" i="72"/>
  <c r="B13" i="72" s="1"/>
  <c r="E3" i="72"/>
  <c r="Q15" i="72"/>
  <c r="Q14" i="72"/>
  <c r="Q13" i="72"/>
  <c r="P11" i="16"/>
  <c r="J11" i="16" s="1"/>
  <c r="AR61" i="16"/>
  <c r="AQ61" i="16"/>
  <c r="AP61" i="16"/>
  <c r="AS61" i="16"/>
  <c r="AT61" i="16"/>
  <c r="Q14" i="71"/>
  <c r="Q15" i="70"/>
  <c r="Q14" i="70"/>
  <c r="Q15" i="69"/>
  <c r="Q13" i="69"/>
  <c r="Q15" i="68"/>
  <c r="Q13" i="68"/>
  <c r="Q15" i="67"/>
  <c r="Q14" i="67"/>
  <c r="Q15" i="66"/>
  <c r="S9" i="102" s="1"/>
  <c r="Q14" i="66"/>
  <c r="S8" i="102" s="1"/>
  <c r="Q13" i="71"/>
  <c r="Q13" i="70"/>
  <c r="Q14" i="69"/>
  <c r="Q14" i="68"/>
  <c r="Q13" i="67"/>
  <c r="P6" i="71"/>
  <c r="O6" i="71"/>
  <c r="N6" i="71"/>
  <c r="M6" i="71"/>
  <c r="L6" i="71"/>
  <c r="K6" i="71"/>
  <c r="J6" i="71"/>
  <c r="I6" i="71"/>
  <c r="H6" i="71"/>
  <c r="G6" i="71"/>
  <c r="F6" i="71"/>
  <c r="E6" i="71"/>
  <c r="M3" i="71"/>
  <c r="H3" i="71"/>
  <c r="H2" i="71"/>
  <c r="E3" i="71"/>
  <c r="C2" i="71"/>
  <c r="M3" i="70"/>
  <c r="P10" i="16"/>
  <c r="J10" i="16" s="1"/>
  <c r="P6" i="70"/>
  <c r="O6" i="70"/>
  <c r="N6" i="70"/>
  <c r="M6" i="70"/>
  <c r="L6" i="70"/>
  <c r="K6" i="70"/>
  <c r="J6" i="70"/>
  <c r="I6" i="70"/>
  <c r="H6" i="70"/>
  <c r="G6" i="70"/>
  <c r="F6" i="70"/>
  <c r="E6" i="70"/>
  <c r="E3" i="70"/>
  <c r="C2" i="70"/>
  <c r="E6" i="69"/>
  <c r="F6" i="69"/>
  <c r="G6" i="69"/>
  <c r="H6" i="69"/>
  <c r="I6" i="69"/>
  <c r="J6" i="69"/>
  <c r="K6" i="69"/>
  <c r="L6" i="69"/>
  <c r="M6" i="69"/>
  <c r="N6" i="69"/>
  <c r="O6" i="69"/>
  <c r="P6" i="69"/>
  <c r="P9" i="16"/>
  <c r="J9" i="16" s="1"/>
  <c r="M3" i="69"/>
  <c r="H3" i="69"/>
  <c r="H2" i="69"/>
  <c r="B13" i="69" s="1"/>
  <c r="E3" i="69"/>
  <c r="C2" i="69"/>
  <c r="M3" i="68"/>
  <c r="P8" i="16"/>
  <c r="J8" i="16" s="1"/>
  <c r="H3" i="68"/>
  <c r="H2" i="68"/>
  <c r="P6" i="68"/>
  <c r="O6" i="68"/>
  <c r="N6" i="68"/>
  <c r="M6" i="68"/>
  <c r="L6" i="68"/>
  <c r="K6" i="68"/>
  <c r="J6" i="68"/>
  <c r="I6" i="68"/>
  <c r="H6" i="68"/>
  <c r="G6" i="68"/>
  <c r="F6" i="68"/>
  <c r="E6" i="68"/>
  <c r="E3" i="68"/>
  <c r="C2" i="68"/>
  <c r="E6" i="67"/>
  <c r="F6" i="67"/>
  <c r="G6" i="67"/>
  <c r="H6" i="67"/>
  <c r="I6" i="67"/>
  <c r="J6" i="67"/>
  <c r="K6" i="67"/>
  <c r="L6" i="67"/>
  <c r="M6" i="67"/>
  <c r="N6" i="67"/>
  <c r="O6" i="67"/>
  <c r="P6" i="67"/>
  <c r="M3" i="67"/>
  <c r="P7" i="16"/>
  <c r="J7" i="16" s="1"/>
  <c r="H2" i="67"/>
  <c r="H3" i="67"/>
  <c r="E3" i="67"/>
  <c r="C2" i="67"/>
  <c r="U6" i="101" s="1"/>
  <c r="E6" i="66"/>
  <c r="F6" i="66"/>
  <c r="G6" i="66"/>
  <c r="H6" i="66"/>
  <c r="I6" i="66"/>
  <c r="J6" i="66"/>
  <c r="K6" i="66"/>
  <c r="L6" i="66"/>
  <c r="M6" i="66"/>
  <c r="N6" i="66"/>
  <c r="O6" i="66"/>
  <c r="P6" i="66"/>
  <c r="M3" i="66"/>
  <c r="P6" i="16"/>
  <c r="J6" i="16" s="1"/>
  <c r="H3" i="66"/>
  <c r="E3" i="66"/>
  <c r="C2" i="66"/>
  <c r="AB5" i="19"/>
  <c r="AB6" i="19"/>
  <c r="AB8" i="19"/>
  <c r="AA5" i="19"/>
  <c r="AA6" i="19"/>
  <c r="AA8" i="19"/>
  <c r="Z5" i="19"/>
  <c r="Z6" i="19"/>
  <c r="Z8" i="19"/>
  <c r="Y5" i="19"/>
  <c r="Y6" i="19"/>
  <c r="Y8" i="19"/>
  <c r="X5" i="19"/>
  <c r="X6" i="19"/>
  <c r="X8" i="19"/>
  <c r="W5" i="19"/>
  <c r="W6" i="19"/>
  <c r="W8" i="19"/>
  <c r="CD7" i="16"/>
  <c r="CE7" i="16"/>
  <c r="CC7" i="16"/>
  <c r="CH7" i="16"/>
  <c r="CI7" i="16"/>
  <c r="CG7" i="16"/>
  <c r="CL7" i="16"/>
  <c r="CM7" i="16"/>
  <c r="CN7" i="16"/>
  <c r="CP7" i="16"/>
  <c r="CQ7" i="16"/>
  <c r="CR7" i="16"/>
  <c r="CS7" i="16"/>
  <c r="CK6" i="16"/>
  <c r="CP6" i="16"/>
  <c r="CQ6" i="16"/>
  <c r="CD8" i="16"/>
  <c r="CE8" i="16"/>
  <c r="CC8" i="16"/>
  <c r="CH8" i="16"/>
  <c r="CI8" i="16"/>
  <c r="CG8" i="16"/>
  <c r="CL8" i="16"/>
  <c r="CM8" i="16"/>
  <c r="CN8" i="16"/>
  <c r="CP8" i="16"/>
  <c r="CQ8" i="16"/>
  <c r="CR8" i="16"/>
  <c r="CS8" i="16"/>
  <c r="CD9" i="16"/>
  <c r="CE9" i="16"/>
  <c r="CC9" i="16"/>
  <c r="CH9" i="16"/>
  <c r="CI9" i="16"/>
  <c r="CK9" i="16"/>
  <c r="CL9" i="16"/>
  <c r="CM9" i="16"/>
  <c r="CN9" i="16"/>
  <c r="CP9" i="16"/>
  <c r="CQ9" i="16"/>
  <c r="CR9" i="16"/>
  <c r="CS9" i="16"/>
  <c r="CD10" i="16"/>
  <c r="CC10" i="16"/>
  <c r="CE10" i="16" s="1"/>
  <c r="CH10" i="16"/>
  <c r="CG10" i="16"/>
  <c r="CI10" i="16" s="1"/>
  <c r="CL10" i="16"/>
  <c r="CM10" i="16"/>
  <c r="CP10" i="16"/>
  <c r="CQ10" i="16"/>
  <c r="CR10" i="16"/>
  <c r="CS10" i="16"/>
  <c r="CC11" i="16"/>
  <c r="CD11" i="16"/>
  <c r="CE11" i="16"/>
  <c r="CH11" i="16"/>
  <c r="CI11" i="16"/>
  <c r="CL11" i="16"/>
  <c r="CK11" i="16"/>
  <c r="CM11" i="16"/>
  <c r="CN11" i="16"/>
  <c r="CQ11" i="16"/>
  <c r="CR11" i="16"/>
  <c r="CS11" i="16"/>
  <c r="CD12" i="16"/>
  <c r="CC12" i="16"/>
  <c r="CE12" i="16"/>
  <c r="CH12" i="16"/>
  <c r="CI12" i="16"/>
  <c r="CL12" i="16"/>
  <c r="CM12" i="16"/>
  <c r="CK12" i="16"/>
  <c r="CN12" i="16"/>
  <c r="CP12" i="16"/>
  <c r="CQ12" i="16"/>
  <c r="CR12" i="16"/>
  <c r="CS12" i="16"/>
  <c r="CD13" i="16"/>
  <c r="CC13" i="16"/>
  <c r="CE13" i="16" s="1"/>
  <c r="CH13" i="16"/>
  <c r="CG13" i="16"/>
  <c r="CI13" i="16" s="1"/>
  <c r="CL13" i="16"/>
  <c r="CM13" i="16"/>
  <c r="CK13" i="16"/>
  <c r="CN13" i="16" s="1"/>
  <c r="CP13" i="16"/>
  <c r="CQ13" i="16"/>
  <c r="CR13" i="16"/>
  <c r="CS13" i="16"/>
  <c r="CD14" i="16"/>
  <c r="CC14" i="16"/>
  <c r="CE14" i="16"/>
  <c r="CH14" i="16"/>
  <c r="CI14" i="16"/>
  <c r="CL14" i="16"/>
  <c r="CM14" i="16"/>
  <c r="CK14" i="16"/>
  <c r="CN14" i="16"/>
  <c r="CQ14" i="16"/>
  <c r="CR14" i="16"/>
  <c r="CS14" i="16"/>
  <c r="CD15" i="16"/>
  <c r="CE15" i="16"/>
  <c r="CC15" i="16"/>
  <c r="CH15" i="16"/>
  <c r="CI15" i="16"/>
  <c r="CG15" i="16"/>
  <c r="CL15" i="16"/>
  <c r="CM15" i="16"/>
  <c r="CN15" i="16"/>
  <c r="CP15" i="16"/>
  <c r="CQ15" i="16"/>
  <c r="CR15" i="16"/>
  <c r="CS15" i="16"/>
  <c r="CD16" i="16"/>
  <c r="CE16" i="16"/>
  <c r="CC16" i="16"/>
  <c r="CH16" i="16"/>
  <c r="CI16" i="16"/>
  <c r="CL16" i="16"/>
  <c r="CM16" i="16"/>
  <c r="CN16" i="16"/>
  <c r="CK16" i="16"/>
  <c r="CP16" i="16"/>
  <c r="CR16" i="16"/>
  <c r="CS16" i="16"/>
  <c r="CD17" i="16"/>
  <c r="CE17" i="16"/>
  <c r="CC17" i="16"/>
  <c r="CH17" i="16"/>
  <c r="CI17" i="16"/>
  <c r="CG17" i="16"/>
  <c r="CL17" i="16"/>
  <c r="CM17" i="16"/>
  <c r="CN17" i="16"/>
  <c r="CK17" i="16"/>
  <c r="CP17" i="16"/>
  <c r="CQ17" i="16"/>
  <c r="CR17" i="16"/>
  <c r="CS17" i="16"/>
  <c r="CD18" i="16"/>
  <c r="CE18" i="16"/>
  <c r="CC18" i="16"/>
  <c r="CH18" i="16"/>
  <c r="CI18" i="16"/>
  <c r="CG18" i="16"/>
  <c r="CL18" i="16"/>
  <c r="CM18" i="16"/>
  <c r="CN18" i="16"/>
  <c r="CK18" i="16"/>
  <c r="CP18" i="16"/>
  <c r="CQ18" i="16"/>
  <c r="CR18" i="16"/>
  <c r="CS18" i="16"/>
  <c r="CD19" i="16"/>
  <c r="CE19" i="16"/>
  <c r="CC19" i="16"/>
  <c r="CH19" i="16"/>
  <c r="CI19" i="16"/>
  <c r="CG19" i="16"/>
  <c r="CL19" i="16"/>
  <c r="CM19" i="16"/>
  <c r="CN19" i="16"/>
  <c r="CK19" i="16"/>
  <c r="CP19" i="16"/>
  <c r="CQ19" i="16"/>
  <c r="CR19" i="16"/>
  <c r="CS19" i="16"/>
  <c r="CD20" i="16"/>
  <c r="CE20" i="16"/>
  <c r="CC20" i="16"/>
  <c r="CH20" i="16"/>
  <c r="CI20" i="16"/>
  <c r="CG20" i="16"/>
  <c r="CL20" i="16"/>
  <c r="CM20" i="16"/>
  <c r="CN20" i="16"/>
  <c r="CK20" i="16"/>
  <c r="CP20" i="16"/>
  <c r="CQ20" i="16"/>
  <c r="CR20" i="16"/>
  <c r="CS20" i="16"/>
  <c r="CD21" i="16"/>
  <c r="CE21" i="16"/>
  <c r="CC21" i="16"/>
  <c r="CH21" i="16"/>
  <c r="CI21" i="16"/>
  <c r="CG21" i="16"/>
  <c r="CL21" i="16"/>
  <c r="CM21" i="16"/>
  <c r="CN21" i="16"/>
  <c r="CK21" i="16"/>
  <c r="CP21" i="16"/>
  <c r="CQ21" i="16"/>
  <c r="CR21" i="16"/>
  <c r="CS21" i="16"/>
  <c r="CD22" i="16"/>
  <c r="CE22" i="16"/>
  <c r="CC22" i="16"/>
  <c r="CH22" i="16"/>
  <c r="CI22" i="16"/>
  <c r="CG22" i="16"/>
  <c r="CL22" i="16"/>
  <c r="CM22" i="16"/>
  <c r="CN22" i="16"/>
  <c r="CK22" i="16"/>
  <c r="CP22" i="16"/>
  <c r="CQ22" i="16"/>
  <c r="CR22" i="16"/>
  <c r="CS22" i="16"/>
  <c r="CD23" i="16"/>
  <c r="CE23" i="16"/>
  <c r="CC23" i="16"/>
  <c r="CH23" i="16"/>
  <c r="CI23" i="16"/>
  <c r="CG23" i="16"/>
  <c r="CL23" i="16"/>
  <c r="CM23" i="16"/>
  <c r="CN23" i="16"/>
  <c r="CK23" i="16"/>
  <c r="CP23" i="16"/>
  <c r="CQ23" i="16"/>
  <c r="CR23" i="16"/>
  <c r="CS23" i="16"/>
  <c r="CD24" i="16"/>
  <c r="CE24" i="16"/>
  <c r="CC24" i="16"/>
  <c r="CH24" i="16"/>
  <c r="CI24" i="16"/>
  <c r="CG24" i="16"/>
  <c r="CL24" i="16"/>
  <c r="CM24" i="16"/>
  <c r="CN24" i="16"/>
  <c r="CK24" i="16"/>
  <c r="CP24" i="16"/>
  <c r="CQ24" i="16"/>
  <c r="CR24" i="16"/>
  <c r="CS24" i="16"/>
  <c r="CD25" i="16"/>
  <c r="CE25" i="16"/>
  <c r="CC25" i="16"/>
  <c r="CH25" i="16"/>
  <c r="CI25" i="16"/>
  <c r="CG25" i="16"/>
  <c r="CL25" i="16"/>
  <c r="CM25" i="16"/>
  <c r="CN25" i="16"/>
  <c r="CK25" i="16"/>
  <c r="CP25" i="16"/>
  <c r="CQ25" i="16"/>
  <c r="CR25" i="16"/>
  <c r="CS25" i="16"/>
  <c r="CD26" i="16"/>
  <c r="CE26" i="16"/>
  <c r="CC26" i="16"/>
  <c r="CH26" i="16"/>
  <c r="CI26" i="16"/>
  <c r="CG26" i="16"/>
  <c r="CL26" i="16"/>
  <c r="CM26" i="16"/>
  <c r="CN26" i="16"/>
  <c r="CK26" i="16"/>
  <c r="CP26" i="16"/>
  <c r="CQ26" i="16"/>
  <c r="CR26" i="16"/>
  <c r="CS26" i="16"/>
  <c r="CD27" i="16"/>
  <c r="CE27" i="16"/>
  <c r="CC27" i="16"/>
  <c r="CH27" i="16"/>
  <c r="CI27" i="16"/>
  <c r="CG27" i="16"/>
  <c r="CL27" i="16"/>
  <c r="CM27" i="16"/>
  <c r="CN27" i="16"/>
  <c r="CK27" i="16"/>
  <c r="CP27" i="16"/>
  <c r="CQ27" i="16"/>
  <c r="CR27" i="16"/>
  <c r="CS27" i="16"/>
  <c r="CD28" i="16"/>
  <c r="CE28" i="16"/>
  <c r="CC28" i="16"/>
  <c r="CH28" i="16"/>
  <c r="CI28" i="16"/>
  <c r="CG28" i="16"/>
  <c r="CL28" i="16"/>
  <c r="CM28" i="16"/>
  <c r="CN28" i="16"/>
  <c r="CK28" i="16"/>
  <c r="CP28" i="16"/>
  <c r="CQ28" i="16"/>
  <c r="CR28" i="16"/>
  <c r="CS28" i="16"/>
  <c r="CD29" i="16"/>
  <c r="CE29" i="16"/>
  <c r="CC29" i="16"/>
  <c r="CH29" i="16"/>
  <c r="CI29" i="16"/>
  <c r="CG29" i="16"/>
  <c r="CL29" i="16"/>
  <c r="CM29" i="16"/>
  <c r="CN29" i="16"/>
  <c r="CK29" i="16"/>
  <c r="CP29" i="16"/>
  <c r="CQ29" i="16"/>
  <c r="CR29" i="16"/>
  <c r="CS29" i="16"/>
  <c r="CD30" i="16"/>
  <c r="CE30" i="16"/>
  <c r="CC30" i="16"/>
  <c r="CH30" i="16"/>
  <c r="CI30" i="16"/>
  <c r="CG30" i="16"/>
  <c r="CL30" i="16"/>
  <c r="CM30" i="16"/>
  <c r="CN30" i="16"/>
  <c r="CK30" i="16"/>
  <c r="CP30" i="16"/>
  <c r="CQ30" i="16"/>
  <c r="CR30" i="16"/>
  <c r="CS30" i="16"/>
  <c r="CD31" i="16"/>
  <c r="CE31" i="16"/>
  <c r="CC31" i="16"/>
  <c r="CH31" i="16"/>
  <c r="CI31" i="16"/>
  <c r="CG31" i="16"/>
  <c r="CL31" i="16"/>
  <c r="CM31" i="16"/>
  <c r="CN31" i="16"/>
  <c r="CK31" i="16"/>
  <c r="CP31" i="16"/>
  <c r="CQ31" i="16"/>
  <c r="CR31" i="16"/>
  <c r="CS31" i="16"/>
  <c r="CD32" i="16"/>
  <c r="CE32" i="16"/>
  <c r="CC32" i="16"/>
  <c r="CH32" i="16"/>
  <c r="CI32" i="16"/>
  <c r="CG32" i="16"/>
  <c r="CL32" i="16"/>
  <c r="CM32" i="16"/>
  <c r="CN32" i="16"/>
  <c r="CK32" i="16"/>
  <c r="CP32" i="16"/>
  <c r="CQ32" i="16"/>
  <c r="CR32" i="16"/>
  <c r="CS32" i="16"/>
  <c r="CD33" i="16"/>
  <c r="CE33" i="16"/>
  <c r="CC33" i="16"/>
  <c r="CH33" i="16"/>
  <c r="CI33" i="16"/>
  <c r="CG33" i="16"/>
  <c r="CL33" i="16"/>
  <c r="CM33" i="16"/>
  <c r="CN33" i="16"/>
  <c r="CK33" i="16"/>
  <c r="CP33" i="16"/>
  <c r="CQ33" i="16"/>
  <c r="CR33" i="16"/>
  <c r="CS33" i="16"/>
  <c r="AA48" i="64"/>
  <c r="W8" i="64"/>
  <c r="X8" i="64"/>
  <c r="Y8" i="64"/>
  <c r="W17" i="64"/>
  <c r="X17" i="64"/>
  <c r="Y17" i="64"/>
  <c r="W18" i="64"/>
  <c r="X18" i="64"/>
  <c r="Y18" i="64"/>
  <c r="W9" i="64"/>
  <c r="X9" i="64"/>
  <c r="Y9" i="64"/>
  <c r="W10" i="64"/>
  <c r="X10" i="64"/>
  <c r="Y10" i="64"/>
  <c r="W11" i="64"/>
  <c r="X11" i="64"/>
  <c r="Y11" i="64"/>
  <c r="W12" i="64"/>
  <c r="X12" i="64"/>
  <c r="Y12" i="64"/>
  <c r="W13" i="64"/>
  <c r="X13" i="64"/>
  <c r="Y13" i="64"/>
  <c r="W14" i="64"/>
  <c r="X14" i="64"/>
  <c r="Y14" i="64"/>
  <c r="W15" i="64"/>
  <c r="X15" i="64"/>
  <c r="Y15" i="64"/>
  <c r="W16" i="64"/>
  <c r="X16" i="64"/>
  <c r="Y16" i="64"/>
  <c r="W19" i="64"/>
  <c r="X19" i="64"/>
  <c r="Y19" i="64"/>
  <c r="W20" i="64"/>
  <c r="X20" i="64"/>
  <c r="Y20" i="64"/>
  <c r="W21" i="64"/>
  <c r="X21" i="64"/>
  <c r="Y21" i="64"/>
  <c r="W22" i="64"/>
  <c r="X22" i="64"/>
  <c r="Y22" i="64"/>
  <c r="C8" i="64"/>
  <c r="Z8" i="64"/>
  <c r="AA8" i="64"/>
  <c r="AB8" i="64"/>
  <c r="Z17" i="64"/>
  <c r="AA17" i="64"/>
  <c r="AB17" i="64"/>
  <c r="Z18" i="64"/>
  <c r="AA18" i="64"/>
  <c r="AB18" i="64"/>
  <c r="Z9" i="64"/>
  <c r="AA9" i="64"/>
  <c r="AB9" i="64"/>
  <c r="Z10" i="64"/>
  <c r="AA10" i="64"/>
  <c r="AB10" i="64"/>
  <c r="Z11" i="64"/>
  <c r="AA11" i="64"/>
  <c r="AB11" i="64"/>
  <c r="Z12" i="64"/>
  <c r="AA12" i="64"/>
  <c r="AB12" i="64"/>
  <c r="Z13" i="64"/>
  <c r="AA13" i="64"/>
  <c r="AB13" i="64"/>
  <c r="Z14" i="64"/>
  <c r="AA14" i="64"/>
  <c r="AB14" i="64"/>
  <c r="Z15" i="64"/>
  <c r="AA15" i="64"/>
  <c r="AB15" i="64"/>
  <c r="Z16" i="64"/>
  <c r="AA16" i="64"/>
  <c r="AB16" i="64"/>
  <c r="Z19" i="64"/>
  <c r="AA19" i="64"/>
  <c r="AB19" i="64"/>
  <c r="Z20" i="64"/>
  <c r="AA20" i="64"/>
  <c r="AB20" i="64"/>
  <c r="Z21" i="64"/>
  <c r="AA21" i="64"/>
  <c r="AB21" i="64"/>
  <c r="Z22" i="64"/>
  <c r="AA22" i="64"/>
  <c r="AB22" i="64"/>
  <c r="C9" i="64"/>
  <c r="AC8" i="64"/>
  <c r="AD8" i="64"/>
  <c r="AE8" i="64"/>
  <c r="AC17" i="64"/>
  <c r="AD17" i="64"/>
  <c r="AE17" i="64"/>
  <c r="AC18" i="64"/>
  <c r="AD18" i="64"/>
  <c r="AE18" i="64"/>
  <c r="AC9" i="64"/>
  <c r="AD9" i="64"/>
  <c r="AE9" i="64"/>
  <c r="AC10" i="64"/>
  <c r="AD10" i="64"/>
  <c r="AE10" i="64"/>
  <c r="AC11" i="64"/>
  <c r="AD11" i="64"/>
  <c r="AE11" i="64"/>
  <c r="AC12" i="64"/>
  <c r="AD12" i="64"/>
  <c r="AE12" i="64"/>
  <c r="AC13" i="64"/>
  <c r="AD13" i="64"/>
  <c r="AE13" i="64"/>
  <c r="AC14" i="64"/>
  <c r="AD14" i="64"/>
  <c r="AE14" i="64"/>
  <c r="AC15" i="64"/>
  <c r="AD15" i="64"/>
  <c r="AE15" i="64"/>
  <c r="AC16" i="64"/>
  <c r="AD16" i="64"/>
  <c r="AE16" i="64"/>
  <c r="AC19" i="64"/>
  <c r="AD19" i="64"/>
  <c r="AE19" i="64"/>
  <c r="AC20" i="64"/>
  <c r="AD20" i="64"/>
  <c r="AE20" i="64"/>
  <c r="AC21" i="64"/>
  <c r="AD21" i="64"/>
  <c r="AE21" i="64"/>
  <c r="AC22" i="64"/>
  <c r="AD22" i="64"/>
  <c r="AE22" i="64"/>
  <c r="C10" i="64"/>
  <c r="AF8" i="64"/>
  <c r="AG8" i="64"/>
  <c r="AF17" i="64"/>
  <c r="AG17" i="64"/>
  <c r="AF18" i="64"/>
  <c r="AG18" i="64"/>
  <c r="AF9" i="64"/>
  <c r="AG9" i="64"/>
  <c r="AF10" i="64"/>
  <c r="AG10" i="64"/>
  <c r="AF11" i="64"/>
  <c r="AG11" i="64"/>
  <c r="AF12" i="64"/>
  <c r="AG12" i="64"/>
  <c r="AF13" i="64"/>
  <c r="AG13" i="64"/>
  <c r="AF14" i="64"/>
  <c r="AG14" i="64"/>
  <c r="AF15" i="64"/>
  <c r="AG15" i="64"/>
  <c r="AF16" i="64"/>
  <c r="AG16" i="64"/>
  <c r="AF19" i="64"/>
  <c r="AG19" i="64"/>
  <c r="AF20" i="64"/>
  <c r="AG20" i="64"/>
  <c r="AF21" i="64"/>
  <c r="AG21" i="64"/>
  <c r="AF22" i="64"/>
  <c r="AG22" i="64"/>
  <c r="C11" i="64"/>
  <c r="AI8" i="64"/>
  <c r="AJ8" i="64"/>
  <c r="AK8" i="64"/>
  <c r="AI17" i="64"/>
  <c r="AJ17" i="64"/>
  <c r="AK17" i="64"/>
  <c r="AI18" i="64"/>
  <c r="AJ18" i="64"/>
  <c r="AK18" i="64"/>
  <c r="AI9" i="64"/>
  <c r="AJ9" i="64"/>
  <c r="AK9" i="64"/>
  <c r="AI10" i="64"/>
  <c r="AJ10" i="64"/>
  <c r="AK10" i="64"/>
  <c r="AI11" i="64"/>
  <c r="AJ11" i="64"/>
  <c r="AK11" i="64"/>
  <c r="AI12" i="64"/>
  <c r="AJ12" i="64"/>
  <c r="AK12" i="64"/>
  <c r="AI13" i="64"/>
  <c r="AJ13" i="64"/>
  <c r="AK13" i="64"/>
  <c r="AI14" i="64"/>
  <c r="AJ14" i="64"/>
  <c r="AK14" i="64"/>
  <c r="AI15" i="64"/>
  <c r="AJ15" i="64"/>
  <c r="AK15" i="64"/>
  <c r="AI16" i="64"/>
  <c r="AJ16" i="64"/>
  <c r="AK16" i="64"/>
  <c r="AI19" i="64"/>
  <c r="AJ19" i="64"/>
  <c r="AK19" i="64"/>
  <c r="AI20" i="64"/>
  <c r="AJ20" i="64"/>
  <c r="AK20" i="64"/>
  <c r="AI21" i="64"/>
  <c r="AJ21" i="64"/>
  <c r="AK21" i="64"/>
  <c r="AI22" i="64"/>
  <c r="AJ22" i="64"/>
  <c r="AK22" i="64"/>
  <c r="C12" i="64"/>
  <c r="AL8" i="64"/>
  <c r="AM8" i="64"/>
  <c r="AN8" i="64"/>
  <c r="AL17" i="64"/>
  <c r="AM17" i="64"/>
  <c r="AN17" i="64"/>
  <c r="AL18" i="64"/>
  <c r="AM18" i="64"/>
  <c r="AN18" i="64"/>
  <c r="AL9" i="64"/>
  <c r="AM9" i="64"/>
  <c r="AN9" i="64"/>
  <c r="AL10" i="64"/>
  <c r="AM10" i="64"/>
  <c r="AN10" i="64"/>
  <c r="AL11" i="64"/>
  <c r="AM11" i="64"/>
  <c r="AN11" i="64"/>
  <c r="AL12" i="64"/>
  <c r="AM12" i="64"/>
  <c r="AN12" i="64"/>
  <c r="AL13" i="64"/>
  <c r="AM13" i="64"/>
  <c r="AN13" i="64"/>
  <c r="AL14" i="64"/>
  <c r="AM14" i="64"/>
  <c r="AN14" i="64"/>
  <c r="AL15" i="64"/>
  <c r="AM15" i="64"/>
  <c r="AN15" i="64"/>
  <c r="AL16" i="64"/>
  <c r="AM16" i="64"/>
  <c r="AN16" i="64"/>
  <c r="AL19" i="64"/>
  <c r="AM19" i="64"/>
  <c r="AN19" i="64"/>
  <c r="AL20" i="64"/>
  <c r="AM20" i="64"/>
  <c r="AN20" i="64"/>
  <c r="AL21" i="64"/>
  <c r="AM21" i="64"/>
  <c r="AN21" i="64"/>
  <c r="AL22" i="64"/>
  <c r="AM22" i="64"/>
  <c r="AN22" i="64"/>
  <c r="C13" i="64"/>
  <c r="AO8" i="64"/>
  <c r="AP8" i="64"/>
  <c r="AQ8" i="64"/>
  <c r="AO17" i="64"/>
  <c r="AP17" i="64"/>
  <c r="AQ17" i="64"/>
  <c r="AO18" i="64"/>
  <c r="AP18" i="64"/>
  <c r="AQ18" i="64"/>
  <c r="AO9" i="64"/>
  <c r="AP9" i="64"/>
  <c r="AQ9" i="64"/>
  <c r="AO10" i="64"/>
  <c r="AP10" i="64"/>
  <c r="AQ10" i="64"/>
  <c r="AO11" i="64"/>
  <c r="AP11" i="64"/>
  <c r="AQ11" i="64"/>
  <c r="AO12" i="64"/>
  <c r="AP12" i="64"/>
  <c r="AQ12" i="64"/>
  <c r="AO13" i="64"/>
  <c r="AP13" i="64"/>
  <c r="AQ13" i="64"/>
  <c r="AO14" i="64"/>
  <c r="AP14" i="64"/>
  <c r="AQ14" i="64"/>
  <c r="AO15" i="64"/>
  <c r="AP15" i="64"/>
  <c r="AQ15" i="64"/>
  <c r="AO16" i="64"/>
  <c r="AP16" i="64"/>
  <c r="AQ16" i="64"/>
  <c r="AO19" i="64"/>
  <c r="AP19" i="64"/>
  <c r="AQ19" i="64"/>
  <c r="AO20" i="64"/>
  <c r="AP20" i="64"/>
  <c r="AQ20" i="64"/>
  <c r="AO21" i="64"/>
  <c r="AP21" i="64"/>
  <c r="AQ21" i="64"/>
  <c r="AO22" i="64"/>
  <c r="AP22" i="64"/>
  <c r="AQ22" i="64"/>
  <c r="C14" i="64"/>
  <c r="AR8" i="64"/>
  <c r="AS8" i="64"/>
  <c r="AT8" i="64"/>
  <c r="AR17" i="64"/>
  <c r="AS17" i="64"/>
  <c r="AT17" i="64"/>
  <c r="AR18" i="64"/>
  <c r="AS18" i="64"/>
  <c r="AT18" i="64"/>
  <c r="AR9" i="64"/>
  <c r="AS9" i="64"/>
  <c r="AT9" i="64"/>
  <c r="AR10" i="64"/>
  <c r="AS10" i="64"/>
  <c r="AT10" i="64"/>
  <c r="AR11" i="64"/>
  <c r="AS11" i="64"/>
  <c r="AT11" i="64"/>
  <c r="AR12" i="64"/>
  <c r="AS12" i="64"/>
  <c r="AT12" i="64"/>
  <c r="AR13" i="64"/>
  <c r="AS13" i="64"/>
  <c r="AT13" i="64"/>
  <c r="AR14" i="64"/>
  <c r="AS14" i="64"/>
  <c r="AT14" i="64"/>
  <c r="AR15" i="64"/>
  <c r="AS15" i="64"/>
  <c r="AT15" i="64"/>
  <c r="AR16" i="64"/>
  <c r="AS16" i="64"/>
  <c r="AT16" i="64"/>
  <c r="AR19" i="64"/>
  <c r="AS19" i="64"/>
  <c r="AT19" i="64"/>
  <c r="AR20" i="64"/>
  <c r="AS20" i="64"/>
  <c r="AT20" i="64"/>
  <c r="AR21" i="64"/>
  <c r="AS21" i="64"/>
  <c r="AT21" i="64"/>
  <c r="AR22" i="64"/>
  <c r="AS22" i="64"/>
  <c r="AT22" i="64"/>
  <c r="AA47" i="64"/>
  <c r="C29" i="64"/>
  <c r="AU8" i="64"/>
  <c r="AV8" i="64"/>
  <c r="AW8" i="64"/>
  <c r="AU17" i="64"/>
  <c r="AV17" i="64"/>
  <c r="AW17" i="64"/>
  <c r="AU18" i="64"/>
  <c r="AV18" i="64"/>
  <c r="AW18" i="64"/>
  <c r="AU9" i="64"/>
  <c r="AV9" i="64"/>
  <c r="AW9" i="64"/>
  <c r="AU10" i="64"/>
  <c r="AV10" i="64"/>
  <c r="AW10" i="64"/>
  <c r="AU11" i="64"/>
  <c r="AV11" i="64"/>
  <c r="AW11" i="64"/>
  <c r="AU12" i="64"/>
  <c r="AV12" i="64"/>
  <c r="AW12" i="64"/>
  <c r="AU13" i="64"/>
  <c r="AV13" i="64"/>
  <c r="AW13" i="64"/>
  <c r="AU14" i="64"/>
  <c r="AV14" i="64"/>
  <c r="AW14" i="64"/>
  <c r="AU15" i="64"/>
  <c r="AV15" i="64"/>
  <c r="AW15" i="64"/>
  <c r="AU16" i="64"/>
  <c r="AV16" i="64"/>
  <c r="AW16" i="64"/>
  <c r="AU19" i="64"/>
  <c r="AV19" i="64"/>
  <c r="AW19" i="64"/>
  <c r="AU20" i="64"/>
  <c r="AV20" i="64"/>
  <c r="AW20" i="64"/>
  <c r="AU21" i="64"/>
  <c r="AV21" i="64"/>
  <c r="AW21" i="64"/>
  <c r="AU22" i="64"/>
  <c r="AV22" i="64"/>
  <c r="AW22" i="64"/>
  <c r="C30" i="64"/>
  <c r="AX8" i="64"/>
  <c r="AY8" i="64"/>
  <c r="AZ8" i="64"/>
  <c r="AX17" i="64"/>
  <c r="AY17" i="64"/>
  <c r="AZ17" i="64"/>
  <c r="AX18" i="64"/>
  <c r="AY18" i="64"/>
  <c r="AZ18" i="64"/>
  <c r="AX9" i="64"/>
  <c r="AY9" i="64"/>
  <c r="AZ9" i="64"/>
  <c r="AX10" i="64"/>
  <c r="AY10" i="64"/>
  <c r="AZ10" i="64"/>
  <c r="AX11" i="64"/>
  <c r="AY11" i="64"/>
  <c r="AZ11" i="64"/>
  <c r="AX12" i="64"/>
  <c r="AY12" i="64"/>
  <c r="AZ12" i="64"/>
  <c r="AX13" i="64"/>
  <c r="AY13" i="64"/>
  <c r="AZ13" i="64"/>
  <c r="AX14" i="64"/>
  <c r="AY14" i="64"/>
  <c r="AZ14" i="64"/>
  <c r="AX15" i="64"/>
  <c r="AY15" i="64"/>
  <c r="AZ15" i="64"/>
  <c r="AX16" i="64"/>
  <c r="AY16" i="64"/>
  <c r="AZ16" i="64"/>
  <c r="AX19" i="64"/>
  <c r="AY19" i="64"/>
  <c r="AZ19" i="64"/>
  <c r="AX20" i="64"/>
  <c r="AY20" i="64"/>
  <c r="AZ20" i="64"/>
  <c r="AX21" i="64"/>
  <c r="AY21" i="64"/>
  <c r="AZ21" i="64"/>
  <c r="AX22" i="64"/>
  <c r="AY22" i="64"/>
  <c r="AZ22" i="64"/>
  <c r="AA49" i="64"/>
  <c r="C31" i="64"/>
  <c r="BA8" i="64"/>
  <c r="BB8" i="64"/>
  <c r="BC8" i="64"/>
  <c r="BA17" i="64"/>
  <c r="BB17" i="64"/>
  <c r="BC17" i="64"/>
  <c r="BA18" i="64"/>
  <c r="BB18" i="64"/>
  <c r="BC18" i="64"/>
  <c r="BA9" i="64"/>
  <c r="BB9" i="64"/>
  <c r="BC9" i="64"/>
  <c r="BA10" i="64"/>
  <c r="BB10" i="64"/>
  <c r="BC10" i="64"/>
  <c r="BA11" i="64"/>
  <c r="BB11" i="64"/>
  <c r="BC11" i="64"/>
  <c r="BA12" i="64"/>
  <c r="BB12" i="64"/>
  <c r="BC12" i="64"/>
  <c r="BA13" i="64"/>
  <c r="BB13" i="64"/>
  <c r="BC13" i="64"/>
  <c r="BA14" i="64"/>
  <c r="BB14" i="64"/>
  <c r="BC14" i="64"/>
  <c r="BA15" i="64"/>
  <c r="BB15" i="64"/>
  <c r="BC15" i="64"/>
  <c r="BA16" i="64"/>
  <c r="BB16" i="64"/>
  <c r="BC16" i="64"/>
  <c r="BA19" i="64"/>
  <c r="BB19" i="64"/>
  <c r="BC19" i="64"/>
  <c r="BA20" i="64"/>
  <c r="BB20" i="64"/>
  <c r="BC20" i="64"/>
  <c r="BA21" i="64"/>
  <c r="BB21" i="64"/>
  <c r="BC21" i="64"/>
  <c r="BA22" i="64"/>
  <c r="BB22" i="64"/>
  <c r="BC22" i="64"/>
  <c r="AA50" i="64"/>
  <c r="C32" i="64"/>
  <c r="BD8" i="64"/>
  <c r="BE8" i="64"/>
  <c r="BF8" i="64"/>
  <c r="BD17" i="64"/>
  <c r="BE17" i="64"/>
  <c r="BF17" i="64"/>
  <c r="BD18" i="64"/>
  <c r="BE18" i="64"/>
  <c r="BF18" i="64"/>
  <c r="BD9" i="64"/>
  <c r="BE9" i="64"/>
  <c r="BF9" i="64"/>
  <c r="BD10" i="64"/>
  <c r="BE10" i="64"/>
  <c r="BF10" i="64"/>
  <c r="BD11" i="64"/>
  <c r="BE11" i="64"/>
  <c r="BF11" i="64"/>
  <c r="BD12" i="64"/>
  <c r="BE12" i="64"/>
  <c r="BF12" i="64"/>
  <c r="BD13" i="64"/>
  <c r="BE13" i="64"/>
  <c r="BF13" i="64"/>
  <c r="BD14" i="64"/>
  <c r="BE14" i="64"/>
  <c r="BF14" i="64"/>
  <c r="BD15" i="64"/>
  <c r="BE15" i="64"/>
  <c r="BF15" i="64"/>
  <c r="BD16" i="64"/>
  <c r="BE16" i="64"/>
  <c r="BF16" i="64"/>
  <c r="BD19" i="64"/>
  <c r="BE19" i="64"/>
  <c r="BF19" i="64"/>
  <c r="BD20" i="64"/>
  <c r="BE20" i="64"/>
  <c r="BF20" i="64"/>
  <c r="BD21" i="64"/>
  <c r="BE21" i="64"/>
  <c r="BF21" i="64"/>
  <c r="BD22" i="64"/>
  <c r="BE22" i="64"/>
  <c r="BF22" i="64"/>
  <c r="AA51" i="64"/>
  <c r="C33" i="64"/>
  <c r="BG8" i="64"/>
  <c r="BH8" i="64"/>
  <c r="BI8" i="64"/>
  <c r="BG17" i="64"/>
  <c r="BH17" i="64"/>
  <c r="BI17" i="64"/>
  <c r="BG18" i="64"/>
  <c r="BH18" i="64"/>
  <c r="BI18" i="64"/>
  <c r="BG9" i="64"/>
  <c r="BH9" i="64"/>
  <c r="BI9" i="64"/>
  <c r="BG10" i="64"/>
  <c r="BH10" i="64"/>
  <c r="BI10" i="64"/>
  <c r="BG11" i="64"/>
  <c r="BH11" i="64"/>
  <c r="BI11" i="64"/>
  <c r="BG12" i="64"/>
  <c r="BH12" i="64"/>
  <c r="BI12" i="64"/>
  <c r="BG13" i="64"/>
  <c r="BH13" i="64"/>
  <c r="BI13" i="64"/>
  <c r="BG14" i="64"/>
  <c r="BH14" i="64"/>
  <c r="BI14" i="64"/>
  <c r="BG15" i="64"/>
  <c r="BH15" i="64"/>
  <c r="BI15" i="64"/>
  <c r="BG16" i="64"/>
  <c r="BH16" i="64"/>
  <c r="BI16" i="64"/>
  <c r="BG19" i="64"/>
  <c r="BH19" i="64"/>
  <c r="BI19" i="64"/>
  <c r="BG20" i="64"/>
  <c r="BH20" i="64"/>
  <c r="BI20" i="64"/>
  <c r="BG21" i="64"/>
  <c r="BH21" i="64"/>
  <c r="BI21" i="64"/>
  <c r="BG22" i="64"/>
  <c r="BH22" i="64"/>
  <c r="BI22" i="64"/>
  <c r="AA52" i="64"/>
  <c r="C34" i="64"/>
  <c r="C36" i="64"/>
  <c r="O29" i="63"/>
  <c r="H6" i="18"/>
  <c r="CL34" i="16"/>
  <c r="CM34" i="16"/>
  <c r="CN34" i="16"/>
  <c r="CK34" i="16"/>
  <c r="O28" i="63"/>
  <c r="CA9" i="16"/>
  <c r="CB9" i="16"/>
  <c r="CT9" i="16"/>
  <c r="CA10" i="16"/>
  <c r="CT10" i="16"/>
  <c r="CA7" i="16"/>
  <c r="CB7" i="16"/>
  <c r="CT7" i="16"/>
  <c r="CA8" i="16"/>
  <c r="CB8" i="16"/>
  <c r="CT8" i="16"/>
  <c r="CA11" i="16"/>
  <c r="CB11" i="16"/>
  <c r="CT11" i="16"/>
  <c r="CA12" i="16"/>
  <c r="CB12" i="16"/>
  <c r="CT12" i="16"/>
  <c r="CA13" i="16"/>
  <c r="CT13" i="16"/>
  <c r="CA14" i="16"/>
  <c r="CB14" i="16"/>
  <c r="CT14" i="16"/>
  <c r="CA15" i="16"/>
  <c r="CB15" i="16"/>
  <c r="CT15" i="16"/>
  <c r="CA16" i="16"/>
  <c r="CB16" i="16"/>
  <c r="CT16" i="16"/>
  <c r="CA17" i="16"/>
  <c r="CB17" i="16"/>
  <c r="CT17" i="16"/>
  <c r="CA18" i="16"/>
  <c r="CB18" i="16"/>
  <c r="CT18" i="16"/>
  <c r="CA19" i="16"/>
  <c r="CB19" i="16"/>
  <c r="CT19" i="16"/>
  <c r="CA20" i="16"/>
  <c r="CB20" i="16"/>
  <c r="CT20" i="16"/>
  <c r="CA21" i="16"/>
  <c r="CB21" i="16"/>
  <c r="CT21" i="16"/>
  <c r="CA22" i="16"/>
  <c r="CB22" i="16"/>
  <c r="CT22" i="16"/>
  <c r="CA23" i="16"/>
  <c r="CB23" i="16"/>
  <c r="CT23" i="16"/>
  <c r="CA24" i="16"/>
  <c r="CB24" i="16"/>
  <c r="CT24" i="16"/>
  <c r="CA25" i="16"/>
  <c r="CB25" i="16"/>
  <c r="CT25" i="16"/>
  <c r="CA26" i="16"/>
  <c r="CB26" i="16"/>
  <c r="CT26" i="16"/>
  <c r="CA27" i="16"/>
  <c r="CB27" i="16"/>
  <c r="CT27" i="16"/>
  <c r="CA28" i="16"/>
  <c r="CB28" i="16"/>
  <c r="CT28" i="16"/>
  <c r="CA29" i="16"/>
  <c r="CB29" i="16"/>
  <c r="CT29" i="16"/>
  <c r="CA30" i="16"/>
  <c r="CB30" i="16"/>
  <c r="CT30" i="16"/>
  <c r="CA31" i="16"/>
  <c r="CB31" i="16"/>
  <c r="CT31" i="16"/>
  <c r="CA32" i="16"/>
  <c r="CB32" i="16"/>
  <c r="CT32" i="16"/>
  <c r="CA33" i="16"/>
  <c r="CB33" i="16"/>
  <c r="CT33" i="16"/>
  <c r="Y49" i="64"/>
  <c r="X49" i="64"/>
  <c r="N30" i="64"/>
  <c r="CD34" i="16"/>
  <c r="CE34" i="16"/>
  <c r="CC34" i="16"/>
  <c r="CH34" i="16"/>
  <c r="CI34" i="16"/>
  <c r="CG34" i="16"/>
  <c r="CP34" i="16"/>
  <c r="CQ34" i="16"/>
  <c r="CR34" i="16"/>
  <c r="CS34" i="16"/>
  <c r="CA34" i="16"/>
  <c r="CB34" i="16"/>
  <c r="CT34" i="16"/>
  <c r="DA29" i="16"/>
  <c r="DA28" i="16"/>
  <c r="DA27" i="16"/>
  <c r="DA26" i="16"/>
  <c r="DA25" i="16"/>
  <c r="DA24" i="16"/>
  <c r="DA23" i="16"/>
  <c r="DA22" i="16"/>
  <c r="M9" i="64"/>
  <c r="M10" i="64"/>
  <c r="M11" i="64"/>
  <c r="M12" i="64"/>
  <c r="M13" i="64"/>
  <c r="M14" i="64"/>
  <c r="M15" i="64"/>
  <c r="M16" i="64"/>
  <c r="M17" i="64"/>
  <c r="M18" i="64"/>
  <c r="M19" i="64"/>
  <c r="M20" i="64"/>
  <c r="M21" i="64"/>
  <c r="M22" i="64"/>
  <c r="M23" i="64"/>
  <c r="M24" i="64"/>
  <c r="M25" i="64"/>
  <c r="M26" i="64"/>
  <c r="M27" i="64"/>
  <c r="M28" i="64"/>
  <c r="M29" i="64"/>
  <c r="M30" i="64"/>
  <c r="M31" i="64"/>
  <c r="M32" i="64"/>
  <c r="M33" i="64"/>
  <c r="M34" i="64"/>
  <c r="M35" i="64"/>
  <c r="M36" i="64"/>
  <c r="M8" i="64"/>
  <c r="Y52" i="64"/>
  <c r="Z52" i="64"/>
  <c r="X52" i="64"/>
  <c r="Y51" i="64"/>
  <c r="Z51" i="64"/>
  <c r="X51" i="64"/>
  <c r="Y50" i="64"/>
  <c r="Z50" i="64"/>
  <c r="X50" i="64"/>
  <c r="Z49" i="64"/>
  <c r="Y48" i="64"/>
  <c r="Z48" i="64"/>
  <c r="X48" i="64"/>
  <c r="Y47" i="64"/>
  <c r="Z47" i="64"/>
  <c r="X47" i="64"/>
  <c r="O17" i="16"/>
  <c r="H17" i="16" s="1"/>
  <c r="O16" i="16"/>
  <c r="H16" i="16" s="1"/>
  <c r="Q14" i="82" s="1"/>
  <c r="S14" i="82" s="1"/>
  <c r="O18" i="16"/>
  <c r="H18" i="16" s="1"/>
  <c r="O19" i="16"/>
  <c r="H19" i="16" s="1"/>
  <c r="O20" i="16"/>
  <c r="H20" i="16" s="1"/>
  <c r="O21" i="16"/>
  <c r="H21" i="16" s="1"/>
  <c r="O22" i="16"/>
  <c r="H22" i="16" s="1"/>
  <c r="O23" i="16"/>
  <c r="H23" i="16" s="1"/>
  <c r="O24" i="16"/>
  <c r="H24" i="16" s="1"/>
  <c r="O25" i="16"/>
  <c r="H25" i="16" s="1"/>
  <c r="O26" i="16"/>
  <c r="H26" i="16" s="1"/>
  <c r="O27" i="16"/>
  <c r="H27" i="16" s="1"/>
  <c r="O28" i="16"/>
  <c r="H28" i="16" s="1"/>
  <c r="O29" i="16"/>
  <c r="H29" i="16" s="1"/>
  <c r="O30" i="16"/>
  <c r="H30" i="16" s="1"/>
  <c r="O31" i="16"/>
  <c r="H31" i="16" s="1"/>
  <c r="O32" i="16"/>
  <c r="H32" i="16" s="1"/>
  <c r="O33" i="16"/>
  <c r="H33" i="16" s="1"/>
  <c r="O34" i="16"/>
  <c r="H34" i="16" s="1"/>
  <c r="BU5" i="16"/>
  <c r="BU6" i="16"/>
  <c r="BU7" i="16"/>
  <c r="BU8" i="16"/>
  <c r="BU9" i="16"/>
  <c r="BU10" i="16"/>
  <c r="BU11" i="16"/>
  <c r="BU12" i="16"/>
  <c r="BU13" i="16"/>
  <c r="BU14" i="16"/>
  <c r="BU15" i="16"/>
  <c r="BU16" i="16"/>
  <c r="BU17" i="16"/>
  <c r="BU18" i="16"/>
  <c r="BU19" i="16"/>
  <c r="BU20" i="16"/>
  <c r="BU21" i="16"/>
  <c r="BU22" i="16"/>
  <c r="BU23" i="16"/>
  <c r="BU24" i="16"/>
  <c r="BU25" i="16"/>
  <c r="BU26" i="16"/>
  <c r="BU27" i="16"/>
  <c r="BU28" i="16"/>
  <c r="BU29" i="16"/>
  <c r="BU30" i="16"/>
  <c r="BU31" i="16"/>
  <c r="BU32" i="16"/>
  <c r="BU33" i="16"/>
  <c r="BU34" i="16"/>
  <c r="P6" i="19"/>
  <c r="O6" i="19"/>
  <c r="N6" i="19"/>
  <c r="M6" i="19"/>
  <c r="L6" i="19"/>
  <c r="K6" i="19"/>
  <c r="J6" i="19"/>
  <c r="I6" i="19"/>
  <c r="H6" i="19"/>
  <c r="G6" i="19"/>
  <c r="F6" i="19"/>
  <c r="E6" i="19"/>
  <c r="M3" i="19"/>
  <c r="H3" i="19"/>
  <c r="H2" i="19"/>
  <c r="A13" i="19" s="1"/>
  <c r="E3" i="19"/>
  <c r="C2" i="19"/>
  <c r="D176" i="5"/>
  <c r="E176" i="5"/>
  <c r="D175" i="5"/>
  <c r="O175" i="5" s="1"/>
  <c r="E175" i="5"/>
  <c r="O10" i="7"/>
  <c r="G10" i="7"/>
  <c r="O6" i="7"/>
  <c r="I6" i="7" s="1"/>
  <c r="L6" i="7" s="1"/>
  <c r="O5" i="7"/>
  <c r="H5" i="7" s="1"/>
  <c r="O28" i="19"/>
  <c r="AN28" i="19"/>
  <c r="O27" i="19"/>
  <c r="AV27" i="19"/>
  <c r="AP27" i="19"/>
  <c r="O26" i="19"/>
  <c r="AO26" i="19"/>
  <c r="O25" i="19"/>
  <c r="AP25" i="19"/>
  <c r="D25" i="19"/>
  <c r="O24" i="19"/>
  <c r="AL24" i="19"/>
  <c r="D24" i="19"/>
  <c r="O23" i="19"/>
  <c r="AQ23" i="19"/>
  <c r="D23" i="19"/>
  <c r="O22" i="19"/>
  <c r="AZ22" i="19"/>
  <c r="D22" i="19"/>
  <c r="O21" i="19"/>
  <c r="AP21" i="19"/>
  <c r="D21" i="19"/>
  <c r="O20" i="19"/>
  <c r="D20" i="19"/>
  <c r="O19" i="19"/>
  <c r="AH19" i="19"/>
  <c r="D19" i="19"/>
  <c r="O18" i="19"/>
  <c r="AK18" i="19" s="1"/>
  <c r="D18" i="19"/>
  <c r="O17" i="19"/>
  <c r="AV17" i="19" s="1"/>
  <c r="D17" i="19"/>
  <c r="A12" i="19"/>
  <c r="A11" i="19"/>
  <c r="AB7" i="19"/>
  <c r="AA7" i="19"/>
  <c r="Z7" i="19"/>
  <c r="Y7" i="19"/>
  <c r="W7" i="19"/>
  <c r="X7" i="19"/>
  <c r="AB20" i="19"/>
  <c r="AB27" i="19"/>
  <c r="AB25" i="19"/>
  <c r="AB24" i="19"/>
  <c r="AB18" i="19"/>
  <c r="AB22" i="19"/>
  <c r="AB19" i="19"/>
  <c r="AB23" i="19"/>
  <c r="AB17" i="19"/>
  <c r="AB28" i="19"/>
  <c r="AB21" i="19"/>
  <c r="AB26" i="19"/>
  <c r="R13" i="19"/>
  <c r="R11" i="19"/>
  <c r="R12" i="19"/>
  <c r="I8" i="8"/>
  <c r="I3" i="8"/>
  <c r="I4" i="8"/>
  <c r="I5" i="8"/>
  <c r="H8" i="8"/>
  <c r="H3" i="8"/>
  <c r="H4" i="8"/>
  <c r="H5" i="8"/>
  <c r="G8" i="8"/>
  <c r="G3" i="8"/>
  <c r="G4" i="8"/>
  <c r="P6" i="18"/>
  <c r="O6" i="18"/>
  <c r="N6" i="18"/>
  <c r="M6" i="18"/>
  <c r="L6" i="18"/>
  <c r="K6" i="18"/>
  <c r="J6" i="18"/>
  <c r="I6" i="18"/>
  <c r="G6" i="18"/>
  <c r="F6" i="18"/>
  <c r="E6" i="18"/>
  <c r="M3" i="18"/>
  <c r="E3" i="18"/>
  <c r="H3" i="18"/>
  <c r="CD15" i="18" s="1"/>
  <c r="C2" i="18"/>
  <c r="BI139" i="62"/>
  <c r="BH139" i="62"/>
  <c r="BG139" i="62"/>
  <c r="BF139" i="62"/>
  <c r="BE139" i="62"/>
  <c r="BD139" i="62"/>
  <c r="BC139" i="62"/>
  <c r="BB139" i="62"/>
  <c r="BA139" i="62"/>
  <c r="AZ139" i="62"/>
  <c r="AY139" i="62"/>
  <c r="AX139" i="62"/>
  <c r="BU36" i="62"/>
  <c r="Q108" i="62"/>
  <c r="BO36" i="62"/>
  <c r="P108" i="62"/>
  <c r="BH108" i="62"/>
  <c r="BI36" i="62"/>
  <c r="O108" i="62"/>
  <c r="BC36" i="62"/>
  <c r="N108" i="62"/>
  <c r="AW36" i="62"/>
  <c r="M108" i="62"/>
  <c r="AQ36" i="62"/>
  <c r="L108" i="62"/>
  <c r="AK36" i="62"/>
  <c r="K108" i="62"/>
  <c r="AE36" i="62"/>
  <c r="J108" i="62"/>
  <c r="Y36" i="62"/>
  <c r="I108" i="62"/>
  <c r="BA108" i="62" s="1"/>
  <c r="S36" i="62"/>
  <c r="H108" i="62"/>
  <c r="AD108" i="62" s="1"/>
  <c r="M36" i="62"/>
  <c r="G108" i="62" s="1"/>
  <c r="AC108" i="62" s="1"/>
  <c r="G36" i="62"/>
  <c r="F108" i="62" s="1"/>
  <c r="A15" i="62"/>
  <c r="A14" i="62"/>
  <c r="A13" i="62"/>
  <c r="A12" i="62"/>
  <c r="A11" i="62"/>
  <c r="A10" i="62"/>
  <c r="A9" i="62"/>
  <c r="A8" i="62"/>
  <c r="A7" i="62"/>
  <c r="A6" i="62"/>
  <c r="A5" i="62"/>
  <c r="A4" i="62"/>
  <c r="B32" i="17"/>
  <c r="B31" i="17"/>
  <c r="B30" i="17"/>
  <c r="B29" i="17"/>
  <c r="B28" i="17"/>
  <c r="B27" i="17"/>
  <c r="B26" i="17"/>
  <c r="B25" i="17"/>
  <c r="B24" i="17"/>
  <c r="B23" i="17"/>
  <c r="B22" i="17"/>
  <c r="B21" i="17"/>
  <c r="B15" i="17"/>
  <c r="B14" i="17"/>
  <c r="B13" i="17"/>
  <c r="B12" i="17"/>
  <c r="B11" i="17"/>
  <c r="B10" i="17"/>
  <c r="B9" i="17"/>
  <c r="B8" i="17"/>
  <c r="B7" i="17"/>
  <c r="B6" i="17"/>
  <c r="B5" i="17"/>
  <c r="B4" i="17"/>
  <c r="P34" i="16"/>
  <c r="J34" i="16" s="1"/>
  <c r="P2" i="100" s="1"/>
  <c r="P33" i="16"/>
  <c r="J33" i="16" s="1"/>
  <c r="P2" i="99" s="1"/>
  <c r="P32" i="16"/>
  <c r="J32" i="16" s="1"/>
  <c r="P2" i="98" s="1"/>
  <c r="P31" i="16"/>
  <c r="J31" i="16" s="1"/>
  <c r="P2" i="97" s="1"/>
  <c r="P30" i="16"/>
  <c r="J30" i="16" s="1"/>
  <c r="P2" i="96" s="1"/>
  <c r="P29" i="16"/>
  <c r="J29" i="16" s="1"/>
  <c r="P2" i="95" s="1"/>
  <c r="P28" i="16"/>
  <c r="J28" i="16" s="1"/>
  <c r="P2" i="94" s="1"/>
  <c r="P27" i="16"/>
  <c r="J27" i="16" s="1"/>
  <c r="P2" i="93" s="1"/>
  <c r="P26" i="16"/>
  <c r="J26" i="16" s="1"/>
  <c r="P2" i="92" s="1"/>
  <c r="P25" i="16"/>
  <c r="J25" i="16" s="1"/>
  <c r="P2" i="91" s="1"/>
  <c r="P24" i="16"/>
  <c r="J24" i="16" s="1"/>
  <c r="P2" i="90" s="1"/>
  <c r="P23" i="16"/>
  <c r="J23" i="16" s="1"/>
  <c r="P2" i="89" s="1"/>
  <c r="P22" i="16"/>
  <c r="J22" i="16" s="1"/>
  <c r="P2" i="88" s="1"/>
  <c r="P21" i="16"/>
  <c r="J21" i="16" s="1"/>
  <c r="P2" i="87" s="1"/>
  <c r="P20" i="16"/>
  <c r="J20" i="16" s="1"/>
  <c r="P2" i="86" s="1"/>
  <c r="P19" i="16"/>
  <c r="J19" i="16" s="1"/>
  <c r="P2" i="85" s="1"/>
  <c r="P18" i="16"/>
  <c r="J18" i="16" s="1"/>
  <c r="P2" i="84" s="1"/>
  <c r="P17" i="16"/>
  <c r="J17" i="16" s="1"/>
  <c r="P2" i="83" s="1"/>
  <c r="AE16" i="16"/>
  <c r="P16" i="16"/>
  <c r="J16" i="16" s="1"/>
  <c r="P2" i="82" s="1"/>
  <c r="AE15" i="16"/>
  <c r="AE14" i="16"/>
  <c r="AE13" i="16"/>
  <c r="AE12" i="16"/>
  <c r="AE11" i="16"/>
  <c r="AE10" i="16"/>
  <c r="AE9" i="16"/>
  <c r="AE8" i="16"/>
  <c r="AE7" i="16"/>
  <c r="AE6" i="16"/>
  <c r="AE5" i="16"/>
  <c r="U16" i="61"/>
  <c r="U15" i="61"/>
  <c r="U14" i="61"/>
  <c r="U13" i="61"/>
  <c r="E10" i="61"/>
  <c r="U12" i="61"/>
  <c r="U11" i="61"/>
  <c r="U10" i="61"/>
  <c r="U9" i="61"/>
  <c r="U7" i="61"/>
  <c r="U6" i="61"/>
  <c r="U5" i="61"/>
  <c r="Q24" i="15"/>
  <c r="N22" i="15"/>
  <c r="Q23" i="15"/>
  <c r="N21" i="15"/>
  <c r="Q22" i="15"/>
  <c r="N20" i="15"/>
  <c r="Q21" i="15"/>
  <c r="Q20" i="15"/>
  <c r="Q19" i="15"/>
  <c r="Q18" i="15"/>
  <c r="Q17" i="15"/>
  <c r="Q16" i="15"/>
  <c r="Q14" i="15"/>
  <c r="B16" i="15"/>
  <c r="Q13" i="15"/>
  <c r="B15" i="15"/>
  <c r="Q12" i="15"/>
  <c r="B14" i="15"/>
  <c r="Q11" i="15"/>
  <c r="B13" i="15"/>
  <c r="Q10" i="15"/>
  <c r="B12" i="15"/>
  <c r="Q9" i="15"/>
  <c r="B11" i="15"/>
  <c r="Q8" i="15"/>
  <c r="B10" i="15"/>
  <c r="Q7" i="15"/>
  <c r="N9" i="15"/>
  <c r="B9" i="15"/>
  <c r="Q6" i="15"/>
  <c r="N8" i="15"/>
  <c r="B8" i="15"/>
  <c r="Q5" i="15"/>
  <c r="N7" i="15"/>
  <c r="B7" i="15"/>
  <c r="Q4" i="15"/>
  <c r="N6" i="15"/>
  <c r="B6" i="15"/>
  <c r="N24" i="15"/>
  <c r="N5" i="15"/>
  <c r="B5" i="15"/>
  <c r="T4" i="15"/>
  <c r="U4" i="15"/>
  <c r="V4" i="15"/>
  <c r="N23" i="15"/>
  <c r="N4" i="15"/>
  <c r="L5" i="6"/>
  <c r="L6" i="6"/>
  <c r="L8" i="6"/>
  <c r="O41" i="6"/>
  <c r="L9" i="6"/>
  <c r="F25" i="7"/>
  <c r="O45" i="6"/>
  <c r="L11" i="6"/>
  <c r="F26" i="7"/>
  <c r="O49" i="6"/>
  <c r="L12" i="6"/>
  <c r="K5" i="6"/>
  <c r="E22" i="7"/>
  <c r="K6" i="6"/>
  <c r="E23" i="7"/>
  <c r="K8" i="6"/>
  <c r="E24" i="7"/>
  <c r="K9" i="6"/>
  <c r="N45" i="6"/>
  <c r="K11" i="6"/>
  <c r="N49" i="6"/>
  <c r="K12" i="6"/>
  <c r="E27" i="7"/>
  <c r="N58" i="6"/>
  <c r="C29" i="6"/>
  <c r="F29" i="6"/>
  <c r="C41" i="6"/>
  <c r="G41" i="6"/>
  <c r="C45" i="6"/>
  <c r="D45" i="6"/>
  <c r="C49" i="6"/>
  <c r="G49" i="6"/>
  <c r="C58" i="6"/>
  <c r="G58" i="6"/>
  <c r="F49" i="6"/>
  <c r="F58" i="6"/>
  <c r="E49" i="6"/>
  <c r="E58" i="6"/>
  <c r="D49" i="6"/>
  <c r="D58" i="6"/>
  <c r="R65" i="6"/>
  <c r="S65" i="6"/>
  <c r="R64" i="6"/>
  <c r="R63" i="6"/>
  <c r="R62" i="6"/>
  <c r="S62" i="6"/>
  <c r="R61" i="6"/>
  <c r="R60" i="6"/>
  <c r="S60" i="6"/>
  <c r="R59" i="6"/>
  <c r="R58" i="6"/>
  <c r="S58" i="6"/>
  <c r="R56" i="6"/>
  <c r="S56" i="6"/>
  <c r="R55" i="6"/>
  <c r="S55" i="6"/>
  <c r="R54" i="6"/>
  <c r="R53" i="6"/>
  <c r="R52" i="6"/>
  <c r="R50" i="6"/>
  <c r="S50" i="6"/>
  <c r="R49" i="6"/>
  <c r="R47" i="6"/>
  <c r="R46" i="6"/>
  <c r="S46" i="6"/>
  <c r="R45" i="6"/>
  <c r="S45" i="6"/>
  <c r="R43" i="6"/>
  <c r="S43" i="6"/>
  <c r="R39" i="6"/>
  <c r="S39" i="6"/>
  <c r="R38" i="6"/>
  <c r="S38" i="6"/>
  <c r="R37" i="6"/>
  <c r="R36" i="6"/>
  <c r="R35" i="6"/>
  <c r="S35" i="6"/>
  <c r="C35" i="6"/>
  <c r="G35" i="6"/>
  <c r="R33" i="6"/>
  <c r="S33" i="6"/>
  <c r="R31" i="6"/>
  <c r="R30" i="6"/>
  <c r="S30" i="6"/>
  <c r="L15" i="6"/>
  <c r="F28" i="7"/>
  <c r="L16" i="6"/>
  <c r="F29" i="7"/>
  <c r="L17" i="6"/>
  <c r="L19" i="6" s="1"/>
  <c r="F30" i="7"/>
  <c r="L18" i="6"/>
  <c r="F31" i="7"/>
  <c r="K15" i="6"/>
  <c r="E28" i="7"/>
  <c r="K16" i="6"/>
  <c r="E29" i="7"/>
  <c r="K17" i="6"/>
  <c r="E30" i="7"/>
  <c r="K18" i="6"/>
  <c r="E31" i="7"/>
  <c r="I18" i="6"/>
  <c r="G31" i="7"/>
  <c r="N19" i="15"/>
  <c r="I17" i="6"/>
  <c r="G30" i="7"/>
  <c r="D173" i="5"/>
  <c r="E173" i="5"/>
  <c r="I16" i="6"/>
  <c r="G29" i="7"/>
  <c r="M12" i="6"/>
  <c r="N60" i="6" s="1"/>
  <c r="N65" i="6"/>
  <c r="I12" i="6"/>
  <c r="L58" i="6"/>
  <c r="M9" i="6"/>
  <c r="M46" i="6"/>
  <c r="K46" i="6"/>
  <c r="I9" i="6"/>
  <c r="G25" i="7"/>
  <c r="M6" i="6"/>
  <c r="L39" i="6"/>
  <c r="I6" i="6"/>
  <c r="I28" i="8"/>
  <c r="H28" i="8"/>
  <c r="G28" i="8"/>
  <c r="I27" i="8"/>
  <c r="H27" i="8"/>
  <c r="G27" i="8"/>
  <c r="I26" i="8"/>
  <c r="H26" i="8"/>
  <c r="G26" i="8"/>
  <c r="I25" i="8"/>
  <c r="H25" i="8"/>
  <c r="G25" i="8"/>
  <c r="G29" i="8" s="1"/>
  <c r="AX67" i="5" s="1"/>
  <c r="AX76" i="5" s="1"/>
  <c r="I24" i="8"/>
  <c r="H24" i="8"/>
  <c r="G24" i="8"/>
  <c r="I23" i="8"/>
  <c r="H23" i="8"/>
  <c r="G23" i="8"/>
  <c r="I22" i="8"/>
  <c r="H22" i="8"/>
  <c r="G22" i="8"/>
  <c r="I21" i="8"/>
  <c r="H21" i="8"/>
  <c r="G21" i="8"/>
  <c r="I20" i="8"/>
  <c r="H20" i="8"/>
  <c r="G20" i="8"/>
  <c r="I19" i="8"/>
  <c r="H19" i="8"/>
  <c r="G19" i="8"/>
  <c r="I18" i="8"/>
  <c r="H18" i="8"/>
  <c r="G18" i="8"/>
  <c r="I17" i="8"/>
  <c r="H17" i="8"/>
  <c r="G17" i="8"/>
  <c r="I16" i="8"/>
  <c r="H16" i="8"/>
  <c r="G16" i="8"/>
  <c r="I15" i="8"/>
  <c r="H15" i="8"/>
  <c r="G15" i="8"/>
  <c r="I14" i="8"/>
  <c r="H14" i="8"/>
  <c r="G14" i="8"/>
  <c r="I13" i="8"/>
  <c r="H13" i="8"/>
  <c r="G13" i="8"/>
  <c r="I12" i="8"/>
  <c r="H12" i="8"/>
  <c r="G12" i="8"/>
  <c r="I11" i="8"/>
  <c r="H11" i="8"/>
  <c r="G11" i="8"/>
  <c r="I10" i="8"/>
  <c r="H10" i="8"/>
  <c r="G10" i="8"/>
  <c r="H9" i="8"/>
  <c r="H29" i="8" s="1"/>
  <c r="AO12" i="5" s="1"/>
  <c r="I7" i="8"/>
  <c r="H7" i="8"/>
  <c r="G7" i="8"/>
  <c r="I6" i="8"/>
  <c r="H6" i="8"/>
  <c r="G6" i="8"/>
  <c r="J200" i="5"/>
  <c r="P200" i="5" s="1"/>
  <c r="I200" i="5"/>
  <c r="H200" i="5"/>
  <c r="G200" i="5"/>
  <c r="D200" i="5"/>
  <c r="C200" i="5"/>
  <c r="R24" i="15"/>
  <c r="J199" i="5"/>
  <c r="I199" i="5"/>
  <c r="H199" i="5"/>
  <c r="G199" i="5"/>
  <c r="D199" i="5"/>
  <c r="C199" i="5"/>
  <c r="R23" i="15"/>
  <c r="J198" i="5"/>
  <c r="I198" i="5"/>
  <c r="H198" i="5"/>
  <c r="D198" i="5"/>
  <c r="E198" i="5"/>
  <c r="C198" i="5"/>
  <c r="J197" i="5"/>
  <c r="I197" i="5"/>
  <c r="H197" i="5"/>
  <c r="G197" i="5" s="1"/>
  <c r="D197" i="5"/>
  <c r="E197" i="5"/>
  <c r="C197" i="5"/>
  <c r="J196" i="5"/>
  <c r="I196" i="5"/>
  <c r="H196" i="5"/>
  <c r="G196" i="5"/>
  <c r="D196" i="5"/>
  <c r="E196" i="5"/>
  <c r="C196" i="5"/>
  <c r="R20" i="15"/>
  <c r="J195" i="5"/>
  <c r="I195" i="5"/>
  <c r="H195" i="5"/>
  <c r="G195" i="5"/>
  <c r="D195" i="5"/>
  <c r="C195" i="5"/>
  <c r="J194" i="5"/>
  <c r="I194" i="5"/>
  <c r="H194" i="5"/>
  <c r="G194" i="5"/>
  <c r="D194" i="5"/>
  <c r="N194" i="5"/>
  <c r="C194" i="5"/>
  <c r="R18" i="15"/>
  <c r="J193" i="5"/>
  <c r="I193" i="5"/>
  <c r="H193" i="5"/>
  <c r="G193" i="5"/>
  <c r="D193" i="5"/>
  <c r="E193" i="5"/>
  <c r="C193" i="5"/>
  <c r="R17" i="15"/>
  <c r="J192" i="5"/>
  <c r="I192" i="5"/>
  <c r="H192" i="5"/>
  <c r="F192" i="5"/>
  <c r="D192" i="5"/>
  <c r="C192" i="5"/>
  <c r="R16" i="15"/>
  <c r="J191" i="5"/>
  <c r="I191" i="5"/>
  <c r="H191" i="5"/>
  <c r="G191" i="5"/>
  <c r="D191" i="5"/>
  <c r="C191" i="5"/>
  <c r="R15" i="15"/>
  <c r="J190" i="5"/>
  <c r="I190" i="5"/>
  <c r="H190" i="5"/>
  <c r="G190" i="5"/>
  <c r="F190" i="5"/>
  <c r="D190" i="5"/>
  <c r="C190" i="5"/>
  <c r="J189" i="5"/>
  <c r="I189" i="5"/>
  <c r="H189" i="5"/>
  <c r="F189" i="5"/>
  <c r="D189" i="5"/>
  <c r="E189" i="5"/>
  <c r="C189" i="5"/>
  <c r="R13" i="15"/>
  <c r="J188" i="5"/>
  <c r="I188" i="5"/>
  <c r="H188" i="5"/>
  <c r="G188" i="5"/>
  <c r="D188" i="5"/>
  <c r="P188" i="5"/>
  <c r="C188" i="5"/>
  <c r="R12" i="15"/>
  <c r="J187" i="5"/>
  <c r="I187" i="5"/>
  <c r="H187" i="5"/>
  <c r="G187" i="5"/>
  <c r="D187" i="5"/>
  <c r="E187" i="5"/>
  <c r="C187" i="5"/>
  <c r="J186" i="5"/>
  <c r="I186" i="5"/>
  <c r="H186" i="5"/>
  <c r="G186" i="5"/>
  <c r="D186" i="5"/>
  <c r="E186" i="5"/>
  <c r="C186" i="5"/>
  <c r="J185" i="5"/>
  <c r="I185" i="5"/>
  <c r="H185" i="5"/>
  <c r="G185" i="5"/>
  <c r="D185" i="5"/>
  <c r="E185" i="5"/>
  <c r="C185" i="5"/>
  <c r="R9" i="15"/>
  <c r="J184" i="5"/>
  <c r="I184" i="5"/>
  <c r="H184" i="5"/>
  <c r="G184" i="5"/>
  <c r="D184" i="5"/>
  <c r="N184" i="5"/>
  <c r="C184" i="5"/>
  <c r="R8" i="15"/>
  <c r="J183" i="5"/>
  <c r="I183" i="5"/>
  <c r="H183" i="5"/>
  <c r="G183" i="5"/>
  <c r="D183" i="5"/>
  <c r="C183" i="5"/>
  <c r="J182" i="5"/>
  <c r="D182" i="5"/>
  <c r="P182" i="5"/>
  <c r="I182" i="5"/>
  <c r="H182" i="5"/>
  <c r="F182" i="5"/>
  <c r="E182" i="5"/>
  <c r="C182" i="5"/>
  <c r="R6" i="15"/>
  <c r="J181" i="5"/>
  <c r="I181" i="5"/>
  <c r="H181" i="5"/>
  <c r="G181" i="5"/>
  <c r="C181" i="5"/>
  <c r="R5" i="15"/>
  <c r="D180" i="5"/>
  <c r="J180" i="5"/>
  <c r="I180" i="5"/>
  <c r="H180" i="5"/>
  <c r="F180" i="5"/>
  <c r="C180" i="5"/>
  <c r="R4" i="15"/>
  <c r="J179" i="5"/>
  <c r="I179" i="5"/>
  <c r="H179" i="5"/>
  <c r="F179" i="5"/>
  <c r="D179" i="5"/>
  <c r="E179" i="5"/>
  <c r="C179" i="5"/>
  <c r="J178" i="5"/>
  <c r="I178" i="5"/>
  <c r="H178" i="5"/>
  <c r="G178" i="5"/>
  <c r="D178" i="5"/>
  <c r="C178" i="5"/>
  <c r="J177" i="5"/>
  <c r="P177" i="5"/>
  <c r="I177" i="5"/>
  <c r="O177" i="5"/>
  <c r="H177" i="5"/>
  <c r="N177" i="5"/>
  <c r="G177" i="5"/>
  <c r="C177" i="5"/>
  <c r="O22" i="15"/>
  <c r="J176" i="5"/>
  <c r="P176" i="5"/>
  <c r="I176" i="5"/>
  <c r="O176" i="5"/>
  <c r="H176" i="5"/>
  <c r="C176" i="5"/>
  <c r="J175" i="5"/>
  <c r="I175" i="5"/>
  <c r="H175" i="5"/>
  <c r="G175" i="5"/>
  <c r="C175" i="5"/>
  <c r="O20" i="15"/>
  <c r="M174" i="5"/>
  <c r="L174" i="5"/>
  <c r="K174" i="5"/>
  <c r="M173" i="5"/>
  <c r="L173" i="5"/>
  <c r="K173" i="5"/>
  <c r="M172" i="5"/>
  <c r="L172" i="5"/>
  <c r="K172" i="5"/>
  <c r="M171" i="5"/>
  <c r="L171" i="5"/>
  <c r="K171" i="5"/>
  <c r="M170" i="5"/>
  <c r="M169" i="5"/>
  <c r="M168" i="5"/>
  <c r="M167" i="5"/>
  <c r="M166" i="5"/>
  <c r="M165" i="5"/>
  <c r="L164" i="5"/>
  <c r="K164" i="5"/>
  <c r="E164" i="5"/>
  <c r="L163" i="5"/>
  <c r="K163" i="5"/>
  <c r="L162" i="5"/>
  <c r="E162" i="5"/>
  <c r="L161" i="5"/>
  <c r="L160" i="5"/>
  <c r="M159" i="5"/>
  <c r="L159" i="5"/>
  <c r="AK153" i="5"/>
  <c r="B153" i="5"/>
  <c r="AK152" i="5"/>
  <c r="B152" i="5"/>
  <c r="AK151" i="5"/>
  <c r="B151" i="5"/>
  <c r="AK150" i="5"/>
  <c r="B150" i="5"/>
  <c r="AK149" i="5"/>
  <c r="B149" i="5"/>
  <c r="AK148" i="5"/>
  <c r="B148" i="5"/>
  <c r="AK147" i="5"/>
  <c r="B147" i="5"/>
  <c r="AK146" i="5"/>
  <c r="B146" i="5"/>
  <c r="AK145" i="5"/>
  <c r="B145" i="5"/>
  <c r="AK144" i="5"/>
  <c r="B144" i="5"/>
  <c r="AK143" i="5"/>
  <c r="B143" i="5"/>
  <c r="AK142" i="5"/>
  <c r="B142" i="5"/>
  <c r="AK141" i="5"/>
  <c r="B141" i="5"/>
  <c r="AK140" i="5"/>
  <c r="B140" i="5"/>
  <c r="AK139" i="5"/>
  <c r="B139" i="5"/>
  <c r="AK138" i="5"/>
  <c r="B138" i="5"/>
  <c r="AK137" i="5"/>
  <c r="B137" i="5"/>
  <c r="AK136" i="5"/>
  <c r="B136" i="5"/>
  <c r="AK135" i="5"/>
  <c r="B135" i="5"/>
  <c r="AK134" i="5"/>
  <c r="B134" i="5"/>
  <c r="AK133" i="5"/>
  <c r="B133" i="5"/>
  <c r="AK132" i="5"/>
  <c r="B132" i="5"/>
  <c r="AK131" i="5"/>
  <c r="B131" i="5"/>
  <c r="AK130" i="5"/>
  <c r="B130" i="5"/>
  <c r="AK129" i="5"/>
  <c r="B129" i="5"/>
  <c r="AK128" i="5"/>
  <c r="B128" i="5"/>
  <c r="AK127" i="5"/>
  <c r="B127" i="5"/>
  <c r="AK126" i="5"/>
  <c r="B126" i="5"/>
  <c r="AK125" i="5"/>
  <c r="B125" i="5"/>
  <c r="AK124" i="5"/>
  <c r="B124" i="5"/>
  <c r="AK123" i="5"/>
  <c r="B123" i="5"/>
  <c r="AK122" i="5"/>
  <c r="B122" i="5"/>
  <c r="AK121" i="5"/>
  <c r="B121" i="5"/>
  <c r="AK120" i="5"/>
  <c r="B120" i="5"/>
  <c r="AK119" i="5"/>
  <c r="B119" i="5"/>
  <c r="AK118" i="5"/>
  <c r="B118" i="5"/>
  <c r="AK117" i="5"/>
  <c r="B117" i="5"/>
  <c r="AK116" i="5"/>
  <c r="B116" i="5"/>
  <c r="AK115" i="5"/>
  <c r="B115" i="5"/>
  <c r="AK114" i="5"/>
  <c r="B113" i="5"/>
  <c r="B112" i="5"/>
  <c r="B111" i="5"/>
  <c r="B110" i="5"/>
  <c r="AK109" i="5"/>
  <c r="B109" i="5"/>
  <c r="AK108" i="5"/>
  <c r="B108" i="5"/>
  <c r="AK107" i="5"/>
  <c r="B107" i="5"/>
  <c r="AK106" i="5"/>
  <c r="B106" i="5"/>
  <c r="AK105" i="5"/>
  <c r="B105" i="5"/>
  <c r="AK104" i="5"/>
  <c r="B104" i="5"/>
  <c r="B103" i="5"/>
  <c r="B102" i="5"/>
  <c r="B101" i="5"/>
  <c r="B100" i="5"/>
  <c r="B99" i="5"/>
  <c r="B98" i="5"/>
  <c r="AK97" i="5"/>
  <c r="AK96" i="5"/>
  <c r="B96" i="5"/>
  <c r="AK95" i="5"/>
  <c r="B95" i="5"/>
  <c r="AK94" i="5"/>
  <c r="B94" i="5"/>
  <c r="AK93" i="5"/>
  <c r="B93" i="5"/>
  <c r="AK92" i="5"/>
  <c r="B92" i="5"/>
  <c r="AK91" i="5"/>
  <c r="B91" i="5"/>
  <c r="AK90" i="5"/>
  <c r="B90" i="5"/>
  <c r="AK89" i="5"/>
  <c r="B89" i="5"/>
  <c r="AK88" i="5"/>
  <c r="B88" i="5"/>
  <c r="AK87" i="5"/>
  <c r="B87" i="5"/>
  <c r="AK86" i="5"/>
  <c r="B86" i="5"/>
  <c r="AK85" i="5"/>
  <c r="B85" i="5"/>
  <c r="AK83" i="5"/>
  <c r="B83" i="5"/>
  <c r="AK82" i="5"/>
  <c r="B82" i="5"/>
  <c r="AK81" i="5"/>
  <c r="B81" i="5"/>
  <c r="B80" i="5"/>
  <c r="B79" i="5"/>
  <c r="B78" i="5"/>
  <c r="B77" i="5"/>
  <c r="AK76" i="5"/>
  <c r="B76" i="5"/>
  <c r="AK75" i="5"/>
  <c r="B75" i="5"/>
  <c r="AK74" i="5"/>
  <c r="B74" i="5"/>
  <c r="AK72" i="5"/>
  <c r="N45" i="5"/>
  <c r="Q59" i="5"/>
  <c r="B72" i="5"/>
  <c r="AK71" i="5"/>
  <c r="B71" i="5"/>
  <c r="AK70" i="5"/>
  <c r="B70" i="5"/>
  <c r="AK69" i="5"/>
  <c r="B69" i="5"/>
  <c r="AK68" i="5"/>
  <c r="B68" i="5"/>
  <c r="AK67" i="5"/>
  <c r="B67" i="5"/>
  <c r="B66" i="5"/>
  <c r="B65" i="5"/>
  <c r="B64" i="5"/>
  <c r="B63" i="5"/>
  <c r="B62" i="5"/>
  <c r="B61" i="5"/>
  <c r="B60" i="5"/>
  <c r="B59" i="5"/>
  <c r="B58" i="5"/>
  <c r="B57" i="5"/>
  <c r="B56" i="5"/>
  <c r="B55" i="5"/>
  <c r="B54" i="5"/>
  <c r="B53" i="5"/>
  <c r="AX52" i="5"/>
  <c r="B52" i="5"/>
  <c r="B51" i="5"/>
  <c r="B50" i="5"/>
  <c r="B49" i="5"/>
  <c r="B48" i="5"/>
  <c r="B47" i="5"/>
  <c r="B46" i="5"/>
  <c r="AK44" i="5"/>
  <c r="AL44" i="5"/>
  <c r="B44" i="5"/>
  <c r="AK43" i="5"/>
  <c r="AL43" i="5"/>
  <c r="B43" i="5"/>
  <c r="AK42" i="5"/>
  <c r="AL42" i="5"/>
  <c r="B42" i="5"/>
  <c r="AK41" i="5"/>
  <c r="AL41" i="5"/>
  <c r="B41" i="5"/>
  <c r="AK40" i="5"/>
  <c r="AL40" i="5"/>
  <c r="B40" i="5"/>
  <c r="AK39" i="5"/>
  <c r="AL39" i="5"/>
  <c r="B39" i="5"/>
  <c r="AK38" i="5"/>
  <c r="AL38" i="5"/>
  <c r="B38" i="5"/>
  <c r="AK37" i="5"/>
  <c r="AL37" i="5"/>
  <c r="B37" i="5"/>
  <c r="AK36" i="5"/>
  <c r="AL36" i="5"/>
  <c r="B36" i="5"/>
  <c r="AK35" i="5"/>
  <c r="AL35" i="5"/>
  <c r="B35" i="5"/>
  <c r="AK34" i="5"/>
  <c r="AL34" i="5"/>
  <c r="B34" i="5"/>
  <c r="AK33" i="5"/>
  <c r="AL33" i="5"/>
  <c r="B33" i="5"/>
  <c r="AK32" i="5"/>
  <c r="AL32" i="5"/>
  <c r="B32" i="5"/>
  <c r="AK31" i="5"/>
  <c r="AL31" i="5"/>
  <c r="B31" i="5"/>
  <c r="BA23" i="5"/>
  <c r="BA24" i="5"/>
  <c r="BA25" i="5"/>
  <c r="BA26" i="5"/>
  <c r="BA27" i="5"/>
  <c r="AZ23" i="5"/>
  <c r="AZ24" i="5"/>
  <c r="AZ25" i="5"/>
  <c r="AZ26" i="5"/>
  <c r="AZ27" i="5"/>
  <c r="AK30" i="5"/>
  <c r="AL30" i="5"/>
  <c r="B30" i="5"/>
  <c r="AK29" i="5"/>
  <c r="AL29" i="5"/>
  <c r="B29" i="5"/>
  <c r="AK28" i="5"/>
  <c r="AL28" i="5"/>
  <c r="B28" i="5"/>
  <c r="AK27" i="5"/>
  <c r="AL27" i="5"/>
  <c r="B27" i="5"/>
  <c r="AK26" i="5"/>
  <c r="AL26" i="5"/>
  <c r="B26" i="5"/>
  <c r="AK25" i="5"/>
  <c r="AL25" i="5"/>
  <c r="B25" i="5"/>
  <c r="DD11" i="5"/>
  <c r="AK24" i="5"/>
  <c r="AL24" i="5"/>
  <c r="B24" i="5"/>
  <c r="AL23" i="5"/>
  <c r="B23" i="5"/>
  <c r="AL22" i="5"/>
  <c r="B22" i="5"/>
  <c r="AL21" i="5"/>
  <c r="B21" i="5"/>
  <c r="BR19" i="5"/>
  <c r="BR11" i="5"/>
  <c r="DB11" i="5"/>
  <c r="BC11" i="5"/>
  <c r="BR14" i="5"/>
  <c r="BR12" i="5"/>
  <c r="BR13" i="5"/>
  <c r="BR15" i="5"/>
  <c r="BR16" i="5"/>
  <c r="BR17" i="5"/>
  <c r="BR18" i="5"/>
  <c r="AL20" i="5"/>
  <c r="B20" i="5"/>
  <c r="BP19" i="5"/>
  <c r="AL19" i="5"/>
  <c r="B19" i="5"/>
  <c r="BP18" i="5"/>
  <c r="AL18" i="5"/>
  <c r="B18" i="5"/>
  <c r="BP17" i="5"/>
  <c r="AK17" i="5"/>
  <c r="AL17" i="5"/>
  <c r="B17" i="5"/>
  <c r="BP16" i="5"/>
  <c r="AK16" i="5"/>
  <c r="AL16" i="5"/>
  <c r="B16" i="5"/>
  <c r="BP15" i="5"/>
  <c r="AK15" i="5"/>
  <c r="AL15" i="5"/>
  <c r="B15" i="5"/>
  <c r="BP14" i="5"/>
  <c r="AO14" i="5"/>
  <c r="AN14" i="5"/>
  <c r="AL14" i="5"/>
  <c r="B14" i="5"/>
  <c r="BP13" i="5"/>
  <c r="AL13" i="5"/>
  <c r="B13" i="5"/>
  <c r="BP12" i="5"/>
  <c r="AL12" i="5"/>
  <c r="B12" i="5"/>
  <c r="DH11" i="5"/>
  <c r="BP11" i="5"/>
  <c r="AO11" i="5"/>
  <c r="AL11" i="5"/>
  <c r="B11" i="5"/>
  <c r="AL10" i="5"/>
  <c r="B10" i="5"/>
  <c r="AL9" i="5"/>
  <c r="B9" i="5"/>
  <c r="AL8" i="5"/>
  <c r="AK8" i="5"/>
  <c r="B8" i="5"/>
  <c r="AK7" i="5"/>
  <c r="AL7" i="5"/>
  <c r="B7" i="5"/>
  <c r="AK6" i="5"/>
  <c r="AL6" i="5"/>
  <c r="B6" i="5"/>
  <c r="B75" i="7"/>
  <c r="B74" i="7"/>
  <c r="B73" i="7"/>
  <c r="B72" i="7"/>
  <c r="B71" i="7"/>
  <c r="B70" i="7"/>
  <c r="B69" i="7"/>
  <c r="B68" i="7"/>
  <c r="B67" i="7"/>
  <c r="B66" i="7"/>
  <c r="B65" i="7"/>
  <c r="B64" i="7"/>
  <c r="B63" i="7"/>
  <c r="B62" i="7"/>
  <c r="B61" i="7"/>
  <c r="AY22" i="7"/>
  <c r="AX22" i="7"/>
  <c r="AS22" i="7"/>
  <c r="AR22" i="7"/>
  <c r="AM22" i="7"/>
  <c r="AL22" i="7"/>
  <c r="AG22" i="7"/>
  <c r="AF22" i="7"/>
  <c r="L19" i="7"/>
  <c r="I164" i="5" s="1"/>
  <c r="O164" i="5" s="1"/>
  <c r="BG48" i="5"/>
  <c r="BJ48" i="5"/>
  <c r="L29" i="4"/>
  <c r="M19" i="7"/>
  <c r="BH48" i="5" s="1"/>
  <c r="BK48" i="5" s="1"/>
  <c r="M29" i="4" s="1"/>
  <c r="AB10" i="7"/>
  <c r="O8" i="7"/>
  <c r="K8" i="7" s="1"/>
  <c r="O7" i="7"/>
  <c r="J7" i="7"/>
  <c r="L7" i="7"/>
  <c r="Y9" i="4"/>
  <c r="X9" i="4"/>
  <c r="W9" i="4"/>
  <c r="C29" i="4"/>
  <c r="F29" i="4"/>
  <c r="Y8" i="4"/>
  <c r="X8" i="4"/>
  <c r="W8" i="4"/>
  <c r="C28" i="4"/>
  <c r="F28" i="4"/>
  <c r="Y7" i="4"/>
  <c r="X7" i="4"/>
  <c r="W7" i="4"/>
  <c r="C27" i="4"/>
  <c r="G27" i="4"/>
  <c r="Y6" i="4"/>
  <c r="X6" i="4"/>
  <c r="W6" i="4"/>
  <c r="C26" i="4"/>
  <c r="H26" i="4"/>
  <c r="Y5" i="4"/>
  <c r="X5" i="4"/>
  <c r="W5" i="4"/>
  <c r="C25" i="4"/>
  <c r="F25" i="4"/>
  <c r="C24" i="4"/>
  <c r="H24" i="4"/>
  <c r="A34" i="2"/>
  <c r="A32" i="2"/>
  <c r="A30" i="2"/>
  <c r="BF48" i="5"/>
  <c r="BI48" i="5" s="1"/>
  <c r="I29" i="4" s="1"/>
  <c r="T16" i="15"/>
  <c r="F16" i="15"/>
  <c r="L16" i="15"/>
  <c r="U16" i="15" s="1"/>
  <c r="V16" i="15" s="1"/>
  <c r="K16" i="15"/>
  <c r="J16" i="15"/>
  <c r="E16" i="15"/>
  <c r="F161" i="5"/>
  <c r="BF45" i="5"/>
  <c r="BI45" i="5" s="1"/>
  <c r="I26" i="4" s="1"/>
  <c r="BC30" i="66"/>
  <c r="BC25" i="68"/>
  <c r="AS30" i="66"/>
  <c r="BD25" i="68"/>
  <c r="BE25" i="68"/>
  <c r="BF25" i="68"/>
  <c r="BG25" i="68"/>
  <c r="BD27" i="73"/>
  <c r="BH25" i="68"/>
  <c r="BE27" i="73"/>
  <c r="BH29" i="68"/>
  <c r="AR24" i="67"/>
  <c r="BG27" i="73"/>
  <c r="BD25" i="67"/>
  <c r="BE25" i="67"/>
  <c r="BE28" i="70"/>
  <c r="BC28" i="70"/>
  <c r="BF25" i="67"/>
  <c r="BC25" i="67"/>
  <c r="BG25" i="67"/>
  <c r="AO24" i="19"/>
  <c r="BH25" i="67"/>
  <c r="BF31" i="67"/>
  <c r="BA25" i="68"/>
  <c r="AZ25" i="68"/>
  <c r="AX25" i="68"/>
  <c r="AP28" i="68"/>
  <c r="AW25" i="68"/>
  <c r="BF27" i="72"/>
  <c r="AO26" i="68"/>
  <c r="AT25" i="67"/>
  <c r="AP30" i="74"/>
  <c r="BE26" i="68"/>
  <c r="BF26" i="68"/>
  <c r="BE30" i="66"/>
  <c r="AZ26" i="19"/>
  <c r="BH30" i="66"/>
  <c r="AR28" i="71"/>
  <c r="AY25" i="68"/>
  <c r="AS29" i="67"/>
  <c r="AV25" i="68"/>
  <c r="AT25" i="68"/>
  <c r="BC29" i="67"/>
  <c r="BG30" i="66"/>
  <c r="BD29" i="67"/>
  <c r="AH27" i="19"/>
  <c r="BE29" i="67"/>
  <c r="BF29" i="67"/>
  <c r="BA30" i="66"/>
  <c r="AU24" i="19"/>
  <c r="BG29" i="67"/>
  <c r="BD25" i="69"/>
  <c r="AZ30" i="66"/>
  <c r="BH29" i="67"/>
  <c r="BE25" i="69"/>
  <c r="AY30" i="66"/>
  <c r="AY25" i="19"/>
  <c r="AG22" i="19"/>
  <c r="BF25" i="69"/>
  <c r="AX30" i="66"/>
  <c r="AV25" i="66"/>
  <c r="BG25" i="69"/>
  <c r="AW30" i="66"/>
  <c r="BF30" i="66"/>
  <c r="BG29" i="68"/>
  <c r="BH25" i="69"/>
  <c r="AV30" i="66"/>
  <c r="BC26" i="68"/>
  <c r="AX26" i="68"/>
  <c r="AT24" i="67"/>
  <c r="BD26" i="68"/>
  <c r="AP26" i="68"/>
  <c r="BC30" i="68"/>
  <c r="BF26" i="67"/>
  <c r="AR27" i="74"/>
  <c r="BH26" i="68"/>
  <c r="BH26" i="67"/>
  <c r="BC30" i="74"/>
  <c r="BD30" i="74"/>
  <c r="BD24" i="67"/>
  <c r="BE24" i="67"/>
  <c r="AY24" i="67"/>
  <c r="BC24" i="67"/>
  <c r="BF24" i="67"/>
  <c r="AX24" i="67"/>
  <c r="BG26" i="68"/>
  <c r="BA26" i="68"/>
  <c r="AW24" i="67"/>
  <c r="BH24" i="67"/>
  <c r="AV24" i="67"/>
  <c r="AO21" i="19"/>
  <c r="BH25" i="72"/>
  <c r="BH27" i="68"/>
  <c r="AO29" i="72"/>
  <c r="BC28" i="67"/>
  <c r="BC28" i="68"/>
  <c r="BF28" i="67"/>
  <c r="BA27" i="68"/>
  <c r="BE28" i="67"/>
  <c r="BH28" i="67"/>
  <c r="AZ27" i="68"/>
  <c r="BG23" i="67"/>
  <c r="AZ24" i="66"/>
  <c r="AN21" i="19"/>
  <c r="BA23" i="67"/>
  <c r="AL25" i="19"/>
  <c r="BE27" i="68"/>
  <c r="AR29" i="72"/>
  <c r="AV28" i="68"/>
  <c r="AX19" i="19"/>
  <c r="AK21" i="19"/>
  <c r="AN25" i="19"/>
  <c r="BF27" i="68"/>
  <c r="BA30" i="68"/>
  <c r="AT28" i="68"/>
  <c r="AL21" i="19"/>
  <c r="BG27" i="68"/>
  <c r="AP29" i="72"/>
  <c r="AQ28" i="68"/>
  <c r="BD28" i="68"/>
  <c r="BC30" i="67"/>
  <c r="BE28" i="68"/>
  <c r="AY30" i="71"/>
  <c r="AR29" i="68"/>
  <c r="AY27" i="68"/>
  <c r="BD30" i="67"/>
  <c r="BF28" i="68"/>
  <c r="AV31" i="68"/>
  <c r="AX27" i="68"/>
  <c r="AS25" i="68"/>
  <c r="AQ24" i="67"/>
  <c r="BG28" i="68"/>
  <c r="AW27" i="68"/>
  <c r="AR25" i="68"/>
  <c r="AP24" i="67"/>
  <c r="BF30" i="67"/>
  <c r="BH28" i="68"/>
  <c r="AW29" i="67"/>
  <c r="AV27" i="68"/>
  <c r="AQ25" i="68"/>
  <c r="AP23" i="19"/>
  <c r="AV29" i="67"/>
  <c r="AT27" i="68"/>
  <c r="AO25" i="68"/>
  <c r="AI25" i="19"/>
  <c r="AZ25" i="19"/>
  <c r="AT29" i="67"/>
  <c r="AO27" i="68"/>
  <c r="BD30" i="68"/>
  <c r="BF30" i="71"/>
  <c r="AW26" i="19"/>
  <c r="AW25" i="19"/>
  <c r="AP24" i="19"/>
  <c r="BG27" i="67"/>
  <c r="AH25" i="19"/>
  <c r="AV25" i="19"/>
  <c r="AW24" i="19"/>
  <c r="AG25" i="19"/>
  <c r="AU25" i="19"/>
  <c r="AX24" i="19"/>
  <c r="AY27" i="67"/>
  <c r="AS25" i="19"/>
  <c r="AQ25" i="19"/>
  <c r="AY24" i="19"/>
  <c r="AX27" i="67"/>
  <c r="BA25" i="69"/>
  <c r="AW27" i="67"/>
  <c r="AX25" i="19"/>
  <c r="AX21" i="19"/>
  <c r="AR25" i="19"/>
  <c r="AY28" i="68"/>
  <c r="AY25" i="69"/>
  <c r="AJ25" i="19"/>
  <c r="BC27" i="68"/>
  <c r="AJ27" i="68" s="1"/>
  <c r="AZ28" i="71"/>
  <c r="AX28" i="68"/>
  <c r="AT27" i="67"/>
  <c r="BA24" i="67"/>
  <c r="AO25" i="19"/>
  <c r="AK25" i="19"/>
  <c r="BD27" i="68"/>
  <c r="AW28" i="68"/>
  <c r="BB108" i="62"/>
  <c r="AF108" i="62"/>
  <c r="BC108" i="62"/>
  <c r="AG108" i="62"/>
  <c r="AG23" i="19"/>
  <c r="AU23" i="19"/>
  <c r="AQ28" i="19"/>
  <c r="AL23" i="19"/>
  <c r="AP26" i="19"/>
  <c r="BC27" i="72"/>
  <c r="AQ30" i="67"/>
  <c r="AX29" i="67"/>
  <c r="AQ27" i="72"/>
  <c r="AO26" i="72"/>
  <c r="AN23" i="19"/>
  <c r="AZ31" i="68"/>
  <c r="AO23" i="19"/>
  <c r="BE27" i="72"/>
  <c r="AW31" i="68"/>
  <c r="BG27" i="72"/>
  <c r="AG27" i="19"/>
  <c r="AN24" i="19"/>
  <c r="AY27" i="73"/>
  <c r="AV24" i="66"/>
  <c r="AR27" i="19"/>
  <c r="BG28" i="72"/>
  <c r="AJ27" i="19"/>
  <c r="AX31" i="73"/>
  <c r="AP27" i="73"/>
  <c r="BG30" i="67"/>
  <c r="AZ30" i="67"/>
  <c r="AZ27" i="72"/>
  <c r="AY22" i="19"/>
  <c r="AR31" i="71"/>
  <c r="AY30" i="70"/>
  <c r="AY30" i="67"/>
  <c r="AQ29" i="68"/>
  <c r="AY27" i="72"/>
  <c r="AY26" i="67"/>
  <c r="BC26" i="72"/>
  <c r="AP31" i="71"/>
  <c r="AX30" i="67"/>
  <c r="AP29" i="68"/>
  <c r="AX26" i="67"/>
  <c r="AX25" i="69"/>
  <c r="AV25" i="67"/>
  <c r="AW30" i="67"/>
  <c r="AR28" i="67"/>
  <c r="AW26" i="67"/>
  <c r="AW25" i="69"/>
  <c r="BC31" i="68"/>
  <c r="BE26" i="72"/>
  <c r="AV30" i="67"/>
  <c r="AQ28" i="67"/>
  <c r="AV26" i="67"/>
  <c r="AV25" i="69"/>
  <c r="AS25" i="67"/>
  <c r="AN27" i="19"/>
  <c r="AH23" i="19"/>
  <c r="AL26" i="19"/>
  <c r="BD31" i="68"/>
  <c r="AT30" i="67"/>
  <c r="BA29" i="67"/>
  <c r="AT27" i="72"/>
  <c r="AS26" i="67"/>
  <c r="AT25" i="69"/>
  <c r="AQ25" i="67"/>
  <c r="AQ27" i="19"/>
  <c r="AX26" i="19"/>
  <c r="AS27" i="19"/>
  <c r="AI23" i="19"/>
  <c r="AN26" i="19"/>
  <c r="BE31" i="68"/>
  <c r="AS30" i="67"/>
  <c r="AZ29" i="67"/>
  <c r="AO28" i="67"/>
  <c r="AO25" i="69"/>
  <c r="AP25" i="67"/>
  <c r="AK23" i="19"/>
  <c r="BF31" i="68"/>
  <c r="AR30" i="67"/>
  <c r="AY29" i="67"/>
  <c r="BF108" i="62"/>
  <c r="AJ108" i="62"/>
  <c r="AI108" i="62"/>
  <c r="BE108" i="62"/>
  <c r="BG31" i="70"/>
  <c r="BH26" i="74"/>
  <c r="AW26" i="74"/>
  <c r="AW27" i="74"/>
  <c r="AX27" i="74"/>
  <c r="AY27" i="74"/>
  <c r="AZ27" i="74"/>
  <c r="BA27" i="74"/>
  <c r="AO27" i="74"/>
  <c r="AP27" i="74"/>
  <c r="AS27" i="74"/>
  <c r="AT27" i="74"/>
  <c r="AV27" i="74"/>
  <c r="BH27" i="74"/>
  <c r="BF27" i="74"/>
  <c r="BE27" i="74"/>
  <c r="BD27" i="74"/>
  <c r="AS29" i="68"/>
  <c r="BE29" i="68"/>
  <c r="AT29" i="68"/>
  <c r="BD29" i="68"/>
  <c r="BC29" i="68"/>
  <c r="AJ29" i="68" s="1"/>
  <c r="AV29" i="68"/>
  <c r="AW29" i="68"/>
  <c r="AX29" i="68"/>
  <c r="AY29" i="68"/>
  <c r="AZ29" i="68"/>
  <c r="BA29" i="68"/>
  <c r="BA29" i="66"/>
  <c r="AX22" i="19"/>
  <c r="AW22" i="19"/>
  <c r="AV22" i="19"/>
  <c r="AH22" i="19"/>
  <c r="AU22" i="19"/>
  <c r="AJ22" i="19"/>
  <c r="AP22" i="19"/>
  <c r="AO22" i="19"/>
  <c r="AN22" i="19"/>
  <c r="AL22" i="19"/>
  <c r="AQ22" i="19"/>
  <c r="AK22" i="19"/>
  <c r="AR22" i="19"/>
  <c r="AI22" i="19"/>
  <c r="AS22" i="19"/>
  <c r="AK26" i="19"/>
  <c r="AJ26" i="19"/>
  <c r="AI26" i="19"/>
  <c r="AH26" i="19"/>
  <c r="AG26" i="19"/>
  <c r="AQ26" i="19"/>
  <c r="AV26" i="19"/>
  <c r="AY26" i="19"/>
  <c r="AR26" i="19"/>
  <c r="AS26" i="19"/>
  <c r="AT29" i="72"/>
  <c r="AV29" i="72"/>
  <c r="AX29" i="72"/>
  <c r="AY29" i="72"/>
  <c r="AZ29" i="72"/>
  <c r="BG29" i="72"/>
  <c r="BE29" i="72"/>
  <c r="BH31" i="70"/>
  <c r="AZ28" i="72"/>
  <c r="AR28" i="72"/>
  <c r="AO28" i="72"/>
  <c r="AX28" i="72"/>
  <c r="BG108" i="62"/>
  <c r="AK108" i="62"/>
  <c r="AU26" i="19"/>
  <c r="AT30" i="69"/>
  <c r="AO30" i="68"/>
  <c r="AP30" i="68"/>
  <c r="AQ30" i="68"/>
  <c r="AR30" i="68"/>
  <c r="AS30" i="68"/>
  <c r="AT30" i="68"/>
  <c r="AV30" i="68"/>
  <c r="AW30" i="68"/>
  <c r="AX30" i="68"/>
  <c r="AY30" i="68"/>
  <c r="AZ30" i="68"/>
  <c r="BH30" i="68"/>
  <c r="BG30" i="68"/>
  <c r="BF30" i="68"/>
  <c r="BC27" i="74"/>
  <c r="BD108" i="62"/>
  <c r="AH108" i="62"/>
  <c r="AJ21" i="19"/>
  <c r="AU21" i="19"/>
  <c r="AR21" i="19"/>
  <c r="AI21" i="19"/>
  <c r="AH21" i="19"/>
  <c r="AG21" i="19"/>
  <c r="AW21" i="19"/>
  <c r="AV21" i="19"/>
  <c r="AQ21" i="19"/>
  <c r="AS21" i="19"/>
  <c r="AZ21" i="19"/>
  <c r="AY21" i="19"/>
  <c r="BG27" i="74"/>
  <c r="BF29" i="68"/>
  <c r="AS31" i="70"/>
  <c r="AQ24" i="19"/>
  <c r="AJ23" i="19"/>
  <c r="AZ24" i="19"/>
  <c r="AO27" i="19"/>
  <c r="AY31" i="68"/>
  <c r="AX31" i="68"/>
  <c r="AP31" i="68"/>
  <c r="AO31" i="68"/>
  <c r="AR27" i="73"/>
  <c r="AS27" i="73"/>
  <c r="AT27" i="73"/>
  <c r="AL108" i="62"/>
  <c r="AS24" i="19"/>
  <c r="AZ27" i="19"/>
  <c r="AV24" i="19"/>
  <c r="AQ31" i="71"/>
  <c r="AZ28" i="68"/>
  <c r="BA28" i="68"/>
  <c r="AR28" i="68"/>
  <c r="AS28" i="68"/>
  <c r="AQ26" i="68"/>
  <c r="AR26" i="68"/>
  <c r="AS26" i="68"/>
  <c r="AT26" i="68"/>
  <c r="AV26" i="68"/>
  <c r="AW26" i="68"/>
  <c r="AY26" i="68"/>
  <c r="AY27" i="19"/>
  <c r="AZ23" i="19"/>
  <c r="AX27" i="19"/>
  <c r="AG24" i="19"/>
  <c r="AO31" i="71"/>
  <c r="AR30" i="66"/>
  <c r="AY23" i="19"/>
  <c r="AW27" i="19"/>
  <c r="AH24" i="19"/>
  <c r="AQ30" i="66"/>
  <c r="AR29" i="67"/>
  <c r="AX28" i="66"/>
  <c r="AY28" i="66"/>
  <c r="AR24" i="19"/>
  <c r="AX23" i="19"/>
  <c r="AS23" i="19"/>
  <c r="AU27" i="19"/>
  <c r="AI24" i="19"/>
  <c r="AP30" i="66"/>
  <c r="AQ29" i="67"/>
  <c r="AQ26" i="72"/>
  <c r="AW23" i="19"/>
  <c r="AR23" i="19"/>
  <c r="AJ24" i="19"/>
  <c r="AP29" i="67"/>
  <c r="AL27" i="19"/>
  <c r="AV23" i="19"/>
  <c r="AK24" i="19"/>
  <c r="AK27" i="19"/>
  <c r="AI27" i="19"/>
  <c r="BA26" i="67"/>
  <c r="AY25" i="67"/>
  <c r="AZ25" i="67"/>
  <c r="BA25" i="67"/>
  <c r="AR25" i="67"/>
  <c r="AV21" i="71"/>
  <c r="AR21" i="71"/>
  <c r="AT26" i="67"/>
  <c r="BA28" i="67"/>
  <c r="AS27" i="68"/>
  <c r="AR26" i="67"/>
  <c r="AZ28" i="67"/>
  <c r="AR27" i="68"/>
  <c r="AQ26" i="67"/>
  <c r="AY28" i="67"/>
  <c r="AQ27" i="68"/>
  <c r="AZ26" i="73"/>
  <c r="AP26" i="67"/>
  <c r="AX28" i="67"/>
  <c r="AW28" i="67"/>
  <c r="AX25" i="67"/>
  <c r="AW25" i="67"/>
  <c r="AT24" i="72"/>
  <c r="AS23" i="67"/>
  <c r="AR25" i="69"/>
  <c r="AQ25" i="69"/>
  <c r="AO22" i="71"/>
  <c r="P196" i="5"/>
  <c r="F200" i="5"/>
  <c r="P179" i="5"/>
  <c r="O179" i="5"/>
  <c r="F177" i="5"/>
  <c r="O7" i="15"/>
  <c r="P198" i="5"/>
  <c r="B28" i="4"/>
  <c r="BF25" i="5"/>
  <c r="P178" i="5"/>
  <c r="N198" i="5"/>
  <c r="G180" i="5"/>
  <c r="F184" i="5"/>
  <c r="O198" i="5"/>
  <c r="B26" i="4"/>
  <c r="N176" i="5"/>
  <c r="G192" i="5"/>
  <c r="N190" i="5"/>
  <c r="P193" i="5"/>
  <c r="R53" i="5"/>
  <c r="E194" i="5"/>
  <c r="O189" i="5"/>
  <c r="P183" i="5"/>
  <c r="F183" i="5"/>
  <c r="F175" i="5"/>
  <c r="F187" i="5"/>
  <c r="N191" i="5"/>
  <c r="F191" i="5"/>
  <c r="DD9" i="5"/>
  <c r="P189" i="5"/>
  <c r="N192" i="5"/>
  <c r="G29" i="4"/>
  <c r="AB9" i="7"/>
  <c r="H29" i="4"/>
  <c r="AB7" i="7"/>
  <c r="H27" i="4"/>
  <c r="H28" i="4"/>
  <c r="D27" i="4"/>
  <c r="E27" i="4"/>
  <c r="F27" i="4"/>
  <c r="AE58" i="7"/>
  <c r="F19" i="7"/>
  <c r="L10" i="7"/>
  <c r="AD58" i="7"/>
  <c r="E19" i="7"/>
  <c r="AC58" i="7"/>
  <c r="D19" i="7"/>
  <c r="D29" i="4"/>
  <c r="E29" i="4"/>
  <c r="AB6" i="7"/>
  <c r="G25" i="4"/>
  <c r="G28" i="4"/>
  <c r="AB8" i="7"/>
  <c r="H25" i="4"/>
  <c r="N56" i="6"/>
  <c r="N55" i="6"/>
  <c r="N54" i="6"/>
  <c r="N52" i="6"/>
  <c r="M30" i="6"/>
  <c r="M51" i="6"/>
  <c r="L61" i="6"/>
  <c r="G171" i="5"/>
  <c r="N63" i="6"/>
  <c r="O53" i="6"/>
  <c r="O32" i="6"/>
  <c r="L59" i="6"/>
  <c r="O38" i="6"/>
  <c r="M36" i="6"/>
  <c r="U36" i="6"/>
  <c r="S59" i="6"/>
  <c r="S64" i="6"/>
  <c r="S31" i="6"/>
  <c r="S42" i="6"/>
  <c r="L46" i="6"/>
  <c r="L47" i="6"/>
  <c r="S36" i="6"/>
  <c r="S49" i="6"/>
  <c r="E29" i="6"/>
  <c r="N32" i="6"/>
  <c r="S51" i="6"/>
  <c r="S47" i="6"/>
  <c r="N31" i="6"/>
  <c r="S61" i="6"/>
  <c r="N30" i="6"/>
  <c r="O39" i="6"/>
  <c r="M61" i="6"/>
  <c r="V61" i="6" s="1"/>
  <c r="W61" i="6"/>
  <c r="M33" i="6"/>
  <c r="L32" i="6"/>
  <c r="M31" i="6"/>
  <c r="O46" i="6"/>
  <c r="O31" i="6"/>
  <c r="S41" i="6"/>
  <c r="L31" i="6"/>
  <c r="O33" i="6"/>
  <c r="O29" i="6"/>
  <c r="M39" i="6"/>
  <c r="L29" i="6"/>
  <c r="S52" i="6"/>
  <c r="O37" i="6"/>
  <c r="L33" i="6"/>
  <c r="S63" i="6"/>
  <c r="S53" i="6"/>
  <c r="N59" i="6"/>
  <c r="O65" i="6"/>
  <c r="S32" i="6"/>
  <c r="M63" i="6"/>
  <c r="W63" i="6" s="1"/>
  <c r="K63" i="6"/>
  <c r="M32" i="6"/>
  <c r="W32" i="6"/>
  <c r="S37" i="6"/>
  <c r="S54" i="6"/>
  <c r="M29" i="6"/>
  <c r="O30" i="6"/>
  <c r="L30" i="6"/>
  <c r="S29" i="6"/>
  <c r="F172" i="5"/>
  <c r="D174" i="5"/>
  <c r="E174" i="5"/>
  <c r="P174" i="5"/>
  <c r="N18" i="15"/>
  <c r="G172" i="5"/>
  <c r="H172" i="5"/>
  <c r="D172" i="5"/>
  <c r="E172" i="5"/>
  <c r="N17" i="15"/>
  <c r="O173" i="5"/>
  <c r="P173" i="5"/>
  <c r="T177" i="5" s="1"/>
  <c r="D27" i="7"/>
  <c r="K43" i="6"/>
  <c r="U43" i="6"/>
  <c r="V43" i="6"/>
  <c r="W43" i="6"/>
  <c r="O47" i="6"/>
  <c r="M42" i="6"/>
  <c r="L42" i="6"/>
  <c r="O42" i="6"/>
  <c r="O43" i="6"/>
  <c r="L43" i="6"/>
  <c r="N47" i="6"/>
  <c r="N46" i="6"/>
  <c r="M47" i="6"/>
  <c r="N43" i="6"/>
  <c r="N42" i="6"/>
  <c r="D24" i="7"/>
  <c r="F24" i="7"/>
  <c r="N10" i="15"/>
  <c r="D165" i="5"/>
  <c r="E165" i="5"/>
  <c r="O165" i="5"/>
  <c r="O36" i="6"/>
  <c r="O35" i="6"/>
  <c r="M38" i="6"/>
  <c r="W38" i="6"/>
  <c r="W30" i="6"/>
  <c r="L36" i="6"/>
  <c r="N39" i="6"/>
  <c r="M37" i="6"/>
  <c r="K37" i="6"/>
  <c r="N38" i="6"/>
  <c r="N37" i="6"/>
  <c r="L37" i="6"/>
  <c r="N36" i="6"/>
  <c r="N35" i="6"/>
  <c r="L38" i="6"/>
  <c r="L35" i="6"/>
  <c r="M35" i="6"/>
  <c r="U35" i="6"/>
  <c r="D29" i="6"/>
  <c r="F23" i="7"/>
  <c r="G23" i="7"/>
  <c r="F22" i="7"/>
  <c r="K49" i="6"/>
  <c r="G27" i="7"/>
  <c r="N15" i="15"/>
  <c r="W55" i="6"/>
  <c r="V55" i="6"/>
  <c r="V46" i="6"/>
  <c r="U46" i="6"/>
  <c r="G24" i="7"/>
  <c r="F41" i="6"/>
  <c r="L45" i="6"/>
  <c r="W46" i="6"/>
  <c r="D25" i="7"/>
  <c r="E25" i="7"/>
  <c r="D41" i="6"/>
  <c r="BE22" i="71"/>
  <c r="BH22" i="71"/>
  <c r="D171" i="5"/>
  <c r="E171" i="5"/>
  <c r="N16" i="15"/>
  <c r="I58" i="6"/>
  <c r="H58" i="6"/>
  <c r="J58" i="6"/>
  <c r="W58" i="6"/>
  <c r="V58" i="6"/>
  <c r="O58" i="6"/>
  <c r="F27" i="7"/>
  <c r="N14" i="15"/>
  <c r="D169" i="5"/>
  <c r="E169" i="5"/>
  <c r="H49" i="6"/>
  <c r="J49" i="6"/>
  <c r="I49" i="6"/>
  <c r="U49" i="6"/>
  <c r="E26" i="7"/>
  <c r="V49" i="6"/>
  <c r="D168" i="5"/>
  <c r="E168" i="5"/>
  <c r="N13" i="15"/>
  <c r="V45" i="6"/>
  <c r="W45" i="6"/>
  <c r="K45" i="6"/>
  <c r="U45" i="6"/>
  <c r="E45" i="6"/>
  <c r="G45" i="6"/>
  <c r="F45" i="6"/>
  <c r="J41" i="6"/>
  <c r="I41" i="6"/>
  <c r="H41" i="6"/>
  <c r="E41" i="6"/>
  <c r="N41" i="6"/>
  <c r="U41" i="6"/>
  <c r="V41" i="6"/>
  <c r="W41" i="6"/>
  <c r="H35" i="6"/>
  <c r="J35" i="6"/>
  <c r="I35" i="6"/>
  <c r="D35" i="6"/>
  <c r="F35" i="6"/>
  <c r="K19" i="6"/>
  <c r="J19" i="6"/>
  <c r="E35" i="6"/>
  <c r="N29" i="6"/>
  <c r="G29" i="6"/>
  <c r="F194" i="5"/>
  <c r="G189" i="5"/>
  <c r="E192" i="5"/>
  <c r="P195" i="5"/>
  <c r="P199" i="5"/>
  <c r="O193" i="5"/>
  <c r="F199" i="5"/>
  <c r="P184" i="5"/>
  <c r="G182" i="5"/>
  <c r="P185" i="5"/>
  <c r="P187" i="5"/>
  <c r="N196" i="5"/>
  <c r="E184" i="5"/>
  <c r="O187" i="5"/>
  <c r="F185" i="5"/>
  <c r="G176" i="5"/>
  <c r="AP28" i="19"/>
  <c r="BH31" i="68"/>
  <c r="AV31" i="70"/>
  <c r="AR31" i="67"/>
  <c r="BE31" i="73"/>
  <c r="AQ31" i="67"/>
  <c r="BC31" i="73"/>
  <c r="BA31" i="71"/>
  <c r="BC31" i="71"/>
  <c r="AJ31" i="71" s="1"/>
  <c r="AZ31" i="71"/>
  <c r="BD31" i="71"/>
  <c r="BH31" i="73"/>
  <c r="AX31" i="71"/>
  <c r="BE31" i="71"/>
  <c r="AW31" i="71"/>
  <c r="BF31" i="71"/>
  <c r="AV31" i="71"/>
  <c r="BG31" i="68"/>
  <c r="BG31" i="71"/>
  <c r="AT31" i="71"/>
  <c r="BH31" i="71"/>
  <c r="AS31" i="71"/>
  <c r="P175" i="5"/>
  <c r="F176" i="5"/>
  <c r="P186" i="5"/>
  <c r="E188" i="5"/>
  <c r="N195" i="5"/>
  <c r="N200" i="5"/>
  <c r="O194" i="5"/>
  <c r="F186" i="5"/>
  <c r="P192" i="5"/>
  <c r="F198" i="5"/>
  <c r="O180" i="5"/>
  <c r="G179" i="5"/>
  <c r="O184" i="5"/>
  <c r="P191" i="5"/>
  <c r="G198" i="5"/>
  <c r="O24" i="15"/>
  <c r="R7" i="15"/>
  <c r="R22" i="15"/>
  <c r="O185" i="5"/>
  <c r="P194" i="5"/>
  <c r="N185" i="5"/>
  <c r="N186" i="5"/>
  <c r="N188" i="5"/>
  <c r="R14" i="15"/>
  <c r="O197" i="5"/>
  <c r="P197" i="5"/>
  <c r="F196" i="5"/>
  <c r="N182" i="5"/>
  <c r="O192" i="5"/>
  <c r="O182" i="5"/>
  <c r="O196" i="5"/>
  <c r="E199" i="5"/>
  <c r="O21" i="15"/>
  <c r="N197" i="5"/>
  <c r="N187" i="5"/>
  <c r="F178" i="5"/>
  <c r="F181" i="5"/>
  <c r="F188" i="5"/>
  <c r="E191" i="5"/>
  <c r="E178" i="5"/>
  <c r="N179" i="5"/>
  <c r="N193" i="5"/>
  <c r="O191" i="5"/>
  <c r="E190" i="5"/>
  <c r="F193" i="5"/>
  <c r="F195" i="5"/>
  <c r="F197" i="5"/>
  <c r="E183" i="5"/>
  <c r="R10" i="15"/>
  <c r="R19" i="15"/>
  <c r="E200" i="5"/>
  <c r="N178" i="5"/>
  <c r="O188" i="5"/>
  <c r="R11" i="15"/>
  <c r="N183" i="5"/>
  <c r="O190" i="5"/>
  <c r="O23" i="15"/>
  <c r="P180" i="5"/>
  <c r="O195" i="5"/>
  <c r="N189" i="5"/>
  <c r="O183" i="5"/>
  <c r="P190" i="5"/>
  <c r="O199" i="5"/>
  <c r="R21" i="15"/>
  <c r="O200" i="5"/>
  <c r="N199" i="5"/>
  <c r="O186" i="5"/>
  <c r="N180" i="5"/>
  <c r="E180" i="5"/>
  <c r="O178" i="5"/>
  <c r="E195" i="5"/>
  <c r="BE24" i="5"/>
  <c r="BL25" i="5"/>
  <c r="BK24" i="5"/>
  <c r="DB15" i="5"/>
  <c r="BC15" i="5"/>
  <c r="DD16" i="5"/>
  <c r="DH16" i="5"/>
  <c r="DB16" i="5"/>
  <c r="BC16" i="5"/>
  <c r="O70" i="5"/>
  <c r="DH18" i="5"/>
  <c r="DF15" i="5"/>
  <c r="AS23" i="5"/>
  <c r="AS28" i="5"/>
  <c r="DF12" i="5"/>
  <c r="BB12" i="5"/>
  <c r="R62" i="5"/>
  <c r="D25" i="4"/>
  <c r="DB19" i="5"/>
  <c r="BC19" i="5"/>
  <c r="DD19" i="5"/>
  <c r="E25" i="4"/>
  <c r="BJ23" i="5"/>
  <c r="Q53" i="5"/>
  <c r="BF12" i="5"/>
  <c r="D24" i="4"/>
  <c r="O46" i="5"/>
  <c r="E24" i="4"/>
  <c r="D26" i="4"/>
  <c r="D68" i="7"/>
  <c r="BG26" i="5"/>
  <c r="F24" i="4"/>
  <c r="E26" i="4"/>
  <c r="R59" i="5"/>
  <c r="DF19" i="5"/>
  <c r="G24" i="4"/>
  <c r="F26" i="4"/>
  <c r="D28" i="4"/>
  <c r="R48" i="5"/>
  <c r="R66" i="5"/>
  <c r="G26" i="4"/>
  <c r="E28" i="4"/>
  <c r="R60" i="5"/>
  <c r="AR19" i="5"/>
  <c r="BJ19" i="5"/>
  <c r="P75" i="7"/>
  <c r="DB14" i="5"/>
  <c r="BC14" i="5"/>
  <c r="BD23" i="5"/>
  <c r="AV19" i="5"/>
  <c r="I75" i="7"/>
  <c r="DH13" i="5"/>
  <c r="Q47" i="5"/>
  <c r="O61" i="5"/>
  <c r="Q71" i="5"/>
  <c r="R47" i="5"/>
  <c r="R71" i="5"/>
  <c r="R54" i="5"/>
  <c r="Q62" i="5"/>
  <c r="BM26" i="5"/>
  <c r="DB12" i="5"/>
  <c r="BC12" i="5"/>
  <c r="DF7" i="5"/>
  <c r="O55" i="5"/>
  <c r="R72" i="5"/>
  <c r="J12" i="4"/>
  <c r="I68" i="7"/>
  <c r="O49" i="5"/>
  <c r="O67" i="5"/>
  <c r="Q56" i="5"/>
  <c r="R63" i="5"/>
  <c r="Q50" i="5"/>
  <c r="R56" i="5"/>
  <c r="O64" i="5"/>
  <c r="Q68" i="5"/>
  <c r="DD12" i="5"/>
  <c r="R50" i="5"/>
  <c r="R51" i="5"/>
  <c r="AY12" i="5"/>
  <c r="O58" i="5"/>
  <c r="R65" i="5"/>
  <c r="R57" i="5"/>
  <c r="Q65" i="5"/>
  <c r="AZ12" i="5"/>
  <c r="O52" i="5"/>
  <c r="R69" i="5"/>
  <c r="DD13" i="5"/>
  <c r="R68" i="5"/>
  <c r="DH12" i="5"/>
  <c r="AQ10" i="5"/>
  <c r="D66" i="7"/>
  <c r="DD10" i="5"/>
  <c r="DF10" i="5"/>
  <c r="DH10" i="5"/>
  <c r="AQ18" i="5"/>
  <c r="D74" i="7"/>
  <c r="DB18" i="5"/>
  <c r="BC18" i="5"/>
  <c r="DD18" i="5"/>
  <c r="AQ17" i="5"/>
  <c r="AZ17" i="5"/>
  <c r="AR17" i="5"/>
  <c r="BE17" i="5"/>
  <c r="DB17" i="5"/>
  <c r="BC17" i="5"/>
  <c r="DD17" i="5"/>
  <c r="DH17" i="5"/>
  <c r="DB9" i="5"/>
  <c r="BC9" i="5"/>
  <c r="DH9" i="5"/>
  <c r="AT50" i="5"/>
  <c r="AQ15" i="5"/>
  <c r="AR15" i="5"/>
  <c r="AQ14" i="5"/>
  <c r="BA14" i="5"/>
  <c r="AR50" i="5"/>
  <c r="AT28" i="5"/>
  <c r="G77" i="7"/>
  <c r="BA13" i="5"/>
  <c r="DD14" i="5"/>
  <c r="AR13" i="5"/>
  <c r="J13" i="4" s="1"/>
  <c r="DF9" i="5"/>
  <c r="DH6" i="5"/>
  <c r="DH14" i="5"/>
  <c r="DH19" i="5"/>
  <c r="BB19" i="5"/>
  <c r="AY19" i="5"/>
  <c r="AZ19" i="5"/>
  <c r="BA19" i="5"/>
  <c r="AQ11" i="5"/>
  <c r="AR11" i="5" s="1"/>
  <c r="DF11" i="5"/>
  <c r="DD15" i="5"/>
  <c r="AQ16" i="5"/>
  <c r="AM108" i="62"/>
  <c r="BI108" i="62"/>
  <c r="AR28" i="19"/>
  <c r="AO28" i="19"/>
  <c r="AO31" i="69"/>
  <c r="AQ31" i="68"/>
  <c r="AS31" i="67"/>
  <c r="AY28" i="19"/>
  <c r="AW28" i="19"/>
  <c r="AX28" i="19"/>
  <c r="AO31" i="67"/>
  <c r="AV28" i="19"/>
  <c r="BA31" i="69"/>
  <c r="AU28" i="19"/>
  <c r="AZ31" i="69"/>
  <c r="BA31" i="68"/>
  <c r="AG28" i="19"/>
  <c r="AZ28" i="19"/>
  <c r="AH28" i="19"/>
  <c r="AY31" i="67"/>
  <c r="AI28" i="19"/>
  <c r="BG31" i="69"/>
  <c r="AT31" i="69"/>
  <c r="AX31" i="67"/>
  <c r="AJ28" i="19"/>
  <c r="BH31" i="69"/>
  <c r="AW31" i="67"/>
  <c r="AK28" i="19"/>
  <c r="AT31" i="68"/>
  <c r="AL28" i="19"/>
  <c r="AS31" i="68"/>
  <c r="AS28" i="19"/>
  <c r="Z21" i="19"/>
  <c r="Z25" i="19"/>
  <c r="AA25" i="19"/>
  <c r="AC25" i="19"/>
  <c r="AA21" i="19"/>
  <c r="AA28" i="19"/>
  <c r="AA27" i="19"/>
  <c r="Z23" i="19"/>
  <c r="AA23" i="19"/>
  <c r="AC23" i="19"/>
  <c r="Z27" i="19"/>
  <c r="AA24" i="19"/>
  <c r="Z22" i="19"/>
  <c r="AA26" i="19"/>
  <c r="Z24" i="19"/>
  <c r="Z26" i="19"/>
  <c r="AC21" i="19"/>
  <c r="AA22" i="19"/>
  <c r="BJ12" i="5"/>
  <c r="AS19" i="5"/>
  <c r="BM19" i="5"/>
  <c r="S75" i="7"/>
  <c r="BK19" i="5"/>
  <c r="Q75" i="7"/>
  <c r="BA15" i="5"/>
  <c r="BH12" i="5"/>
  <c r="AZ15" i="5"/>
  <c r="BE19" i="5"/>
  <c r="L75" i="7"/>
  <c r="E68" i="7"/>
  <c r="V29" i="6"/>
  <c r="K50" i="6"/>
  <c r="K30" i="6"/>
  <c r="G70" i="6"/>
  <c r="U30" i="6"/>
  <c r="V30" i="6"/>
  <c r="K29" i="6"/>
  <c r="H171" i="5"/>
  <c r="N171" i="5"/>
  <c r="U29" i="6"/>
  <c r="N8" i="6"/>
  <c r="N9" i="6"/>
  <c r="O174" i="5"/>
  <c r="V32" i="6"/>
  <c r="N5" i="6"/>
  <c r="V38" i="6"/>
  <c r="W36" i="6"/>
  <c r="V36" i="6"/>
  <c r="K36" i="6"/>
  <c r="U38" i="6"/>
  <c r="W37" i="6"/>
  <c r="W29" i="6"/>
  <c r="V63" i="6"/>
  <c r="K38" i="6"/>
  <c r="V39" i="6"/>
  <c r="U39" i="6"/>
  <c r="U33" i="6"/>
  <c r="K39" i="6"/>
  <c r="K31" i="6"/>
  <c r="E70" i="6"/>
  <c r="V31" i="6"/>
  <c r="W31" i="6"/>
  <c r="U31" i="6"/>
  <c r="K33" i="6"/>
  <c r="F70" i="6"/>
  <c r="W33" i="6"/>
  <c r="W39" i="6"/>
  <c r="V37" i="6"/>
  <c r="N6" i="6"/>
  <c r="K32" i="6"/>
  <c r="U32" i="6"/>
  <c r="V33" i="6"/>
  <c r="D170" i="5"/>
  <c r="E170" i="5"/>
  <c r="P170" i="5"/>
  <c r="P165" i="5"/>
  <c r="H174" i="5"/>
  <c r="N174" i="5"/>
  <c r="G174" i="5"/>
  <c r="P172" i="5"/>
  <c r="N172" i="5"/>
  <c r="O172" i="5"/>
  <c r="H173" i="5"/>
  <c r="N173" i="5"/>
  <c r="G173" i="5"/>
  <c r="K47" i="6"/>
  <c r="U47" i="6"/>
  <c r="U48" i="6"/>
  <c r="J25" i="7"/>
  <c r="G168" i="5"/>
  <c r="V47" i="6"/>
  <c r="V48" i="6"/>
  <c r="K25" i="7"/>
  <c r="H168" i="5"/>
  <c r="N168" i="5"/>
  <c r="W47" i="6"/>
  <c r="W48" i="6"/>
  <c r="N25" i="7"/>
  <c r="K168" i="5"/>
  <c r="K42" i="6"/>
  <c r="U42" i="6"/>
  <c r="U44" i="6"/>
  <c r="J24" i="7"/>
  <c r="G167" i="5"/>
  <c r="V42" i="6"/>
  <c r="V44" i="6"/>
  <c r="K24" i="7"/>
  <c r="H167" i="5"/>
  <c r="W42" i="6"/>
  <c r="W44" i="6"/>
  <c r="N24" i="7"/>
  <c r="K167" i="5"/>
  <c r="W35" i="6"/>
  <c r="E67" i="6"/>
  <c r="U37" i="6"/>
  <c r="N11" i="15"/>
  <c r="D166" i="5"/>
  <c r="E166" i="5"/>
  <c r="D67" i="6"/>
  <c r="V35" i="6"/>
  <c r="K35" i="6"/>
  <c r="F67" i="6"/>
  <c r="N12" i="15"/>
  <c r="D167" i="5"/>
  <c r="E167" i="5"/>
  <c r="P171" i="5"/>
  <c r="O171" i="5"/>
  <c r="P169" i="5"/>
  <c r="O169" i="5"/>
  <c r="I45" i="6"/>
  <c r="J45" i="6"/>
  <c r="H45" i="6"/>
  <c r="P168" i="5"/>
  <c r="O168" i="5"/>
  <c r="J29" i="6"/>
  <c r="H29" i="6"/>
  <c r="I29" i="6"/>
  <c r="Z28" i="19"/>
  <c r="BG19" i="5"/>
  <c r="AQ50" i="5"/>
  <c r="BD19" i="5"/>
  <c r="CH19" i="5"/>
  <c r="BU19" i="5"/>
  <c r="CE19" i="5"/>
  <c r="BH19" i="5"/>
  <c r="AW19" i="5"/>
  <c r="J75" i="7"/>
  <c r="BT19" i="5"/>
  <c r="J19" i="4"/>
  <c r="AT19" i="5"/>
  <c r="E75" i="7"/>
  <c r="BN12" i="5"/>
  <c r="T68" i="7"/>
  <c r="BD17" i="5"/>
  <c r="K73" i="7"/>
  <c r="BD12" i="5"/>
  <c r="K68" i="7"/>
  <c r="BM12" i="5"/>
  <c r="S68" i="7"/>
  <c r="DC12" i="5"/>
  <c r="BG12" i="5"/>
  <c r="BE12" i="5"/>
  <c r="L68" i="7"/>
  <c r="BL12" i="5"/>
  <c r="R68" i="7"/>
  <c r="G68" i="7"/>
  <c r="BK12" i="5"/>
  <c r="Q68" i="7"/>
  <c r="CT12" i="5"/>
  <c r="DC19" i="5"/>
  <c r="AU19" i="5"/>
  <c r="BL19" i="5"/>
  <c r="BF19" i="5"/>
  <c r="BG17" i="5"/>
  <c r="N73" i="7"/>
  <c r="BN19" i="5"/>
  <c r="AZ18" i="5"/>
  <c r="M75" i="7"/>
  <c r="AV17" i="5"/>
  <c r="I73" i="7"/>
  <c r="AY18" i="5"/>
  <c r="BB18" i="5"/>
  <c r="BF17" i="5"/>
  <c r="M73" i="7"/>
  <c r="BA9" i="5"/>
  <c r="BB9" i="5"/>
  <c r="D65" i="7"/>
  <c r="BA18" i="5"/>
  <c r="AY14" i="5"/>
  <c r="AR14" i="5"/>
  <c r="BH14" i="5"/>
  <c r="AU17" i="5"/>
  <c r="E71" i="7"/>
  <c r="BU15" i="5"/>
  <c r="BT15" i="5"/>
  <c r="J15" i="4"/>
  <c r="BG15" i="5"/>
  <c r="BH15" i="5"/>
  <c r="BL15" i="5"/>
  <c r="BN15" i="5"/>
  <c r="BJ15" i="5"/>
  <c r="DC15" i="5"/>
  <c r="BM15" i="5"/>
  <c r="AW15" i="5"/>
  <c r="AV15" i="5"/>
  <c r="AT15" i="5"/>
  <c r="AU15" i="5"/>
  <c r="BF15" i="5"/>
  <c r="AS15" i="5"/>
  <c r="BD15" i="5"/>
  <c r="BE15" i="5"/>
  <c r="BK15" i="5"/>
  <c r="L73" i="7"/>
  <c r="H73" i="7"/>
  <c r="F68" i="7"/>
  <c r="H68" i="7"/>
  <c r="F75" i="7"/>
  <c r="AY15" i="5"/>
  <c r="M68" i="7"/>
  <c r="BK17" i="5"/>
  <c r="AY16" i="5"/>
  <c r="AZ16" i="5"/>
  <c r="BA16" i="5"/>
  <c r="AR16" i="5"/>
  <c r="D72" i="7"/>
  <c r="BB16" i="5"/>
  <c r="BB11" i="5"/>
  <c r="D67" i="7"/>
  <c r="AZ11" i="5"/>
  <c r="AY11" i="5"/>
  <c r="D73" i="7"/>
  <c r="BB17" i="5"/>
  <c r="F77" i="7"/>
  <c r="E73" i="7"/>
  <c r="J17" i="4"/>
  <c r="DC17" i="5"/>
  <c r="BU17" i="5"/>
  <c r="BT17" i="5"/>
  <c r="BJ17" i="5"/>
  <c r="AS17" i="5"/>
  <c r="BA11" i="5"/>
  <c r="BA17" i="5"/>
  <c r="P68" i="7"/>
  <c r="BY19" i="5"/>
  <c r="CK19" i="5"/>
  <c r="BN17" i="5"/>
  <c r="AW17" i="5"/>
  <c r="BB15" i="5"/>
  <c r="D71" i="7"/>
  <c r="BM17" i="5"/>
  <c r="AT17" i="5"/>
  <c r="AR18" i="5"/>
  <c r="DC13" i="5"/>
  <c r="E69" i="7"/>
  <c r="BL13" i="5"/>
  <c r="CO13" i="5" s="1"/>
  <c r="BT13" i="5"/>
  <c r="BJ13" i="5"/>
  <c r="CM13" i="5" s="1"/>
  <c r="O68" i="7"/>
  <c r="BL17" i="5"/>
  <c r="AY17" i="5"/>
  <c r="BB14" i="5"/>
  <c r="AZ14" i="5"/>
  <c r="D70" i="7"/>
  <c r="BH17" i="5"/>
  <c r="AC27" i="19"/>
  <c r="AC28" i="19"/>
  <c r="AC22" i="19"/>
  <c r="AC26" i="19"/>
  <c r="AC24" i="19"/>
  <c r="CV19" i="5"/>
  <c r="CU19" i="5"/>
  <c r="N75" i="7"/>
  <c r="K75" i="7"/>
  <c r="CT19" i="5"/>
  <c r="CI19" i="5"/>
  <c r="CW12" i="5"/>
  <c r="CB19" i="5"/>
  <c r="CX19" i="5"/>
  <c r="BZ19" i="5"/>
  <c r="CR19" i="5"/>
  <c r="CM19" i="5"/>
  <c r="CZ19" i="5"/>
  <c r="CN19" i="5"/>
  <c r="CJ19" i="5"/>
  <c r="CF19" i="5"/>
  <c r="CL19" i="5"/>
  <c r="BW19" i="5"/>
  <c r="CS12" i="5"/>
  <c r="CW19" i="5"/>
  <c r="DA12" i="5"/>
  <c r="CY12" i="5"/>
  <c r="CK17" i="5"/>
  <c r="D70" i="6"/>
  <c r="C70" i="6"/>
  <c r="AQ51" i="5"/>
  <c r="AS51" i="5"/>
  <c r="U34" i="6"/>
  <c r="J22" i="7"/>
  <c r="G165" i="5"/>
  <c r="O170" i="5"/>
  <c r="V34" i="6"/>
  <c r="K22" i="7"/>
  <c r="H165" i="5"/>
  <c r="N165" i="5"/>
  <c r="W34" i="6"/>
  <c r="N22" i="7"/>
  <c r="K165" i="5"/>
  <c r="V40" i="6"/>
  <c r="K23" i="7"/>
  <c r="H166" i="5"/>
  <c r="N166" i="5"/>
  <c r="W40" i="6"/>
  <c r="N23" i="7"/>
  <c r="K166" i="5"/>
  <c r="AT51" i="5"/>
  <c r="U40" i="6"/>
  <c r="J23" i="7"/>
  <c r="G166" i="5"/>
  <c r="O166" i="5"/>
  <c r="P166" i="5"/>
  <c r="I67" i="6"/>
  <c r="O167" i="5"/>
  <c r="P167" i="5"/>
  <c r="J67" i="6"/>
  <c r="N167" i="5"/>
  <c r="H67" i="6"/>
  <c r="CZ12" i="5"/>
  <c r="O75" i="7"/>
  <c r="CQ19" i="5"/>
  <c r="CN12" i="5"/>
  <c r="BV19" i="5"/>
  <c r="CP19" i="5"/>
  <c r="CC19" i="5"/>
  <c r="BI19" i="5"/>
  <c r="G75" i="7"/>
  <c r="CS19" i="5"/>
  <c r="CH12" i="5"/>
  <c r="AS14" i="5"/>
  <c r="F70" i="7"/>
  <c r="BO12" i="5"/>
  <c r="BG14" i="5"/>
  <c r="BL14" i="5"/>
  <c r="R70" i="7"/>
  <c r="AX12" i="5"/>
  <c r="DE12" i="5"/>
  <c r="BO19" i="5"/>
  <c r="BJ14" i="5"/>
  <c r="P70" i="7"/>
  <c r="BK14" i="5"/>
  <c r="BI12" i="5"/>
  <c r="BN14" i="5"/>
  <c r="T70" i="7"/>
  <c r="CI12" i="5"/>
  <c r="H75" i="7"/>
  <c r="BX19" i="5"/>
  <c r="CD19" i="5"/>
  <c r="CT17" i="5"/>
  <c r="R75" i="7"/>
  <c r="CY19" i="5"/>
  <c r="CJ12" i="5"/>
  <c r="CO12" i="5"/>
  <c r="J68" i="7"/>
  <c r="CX12" i="5"/>
  <c r="AX19" i="5"/>
  <c r="DE19" i="5"/>
  <c r="CO19" i="5"/>
  <c r="AW14" i="5"/>
  <c r="J70" i="7"/>
  <c r="BI17" i="5"/>
  <c r="T75" i="7"/>
  <c r="DA19" i="5"/>
  <c r="BE14" i="5"/>
  <c r="L70" i="7"/>
  <c r="CU12" i="5"/>
  <c r="N68" i="7"/>
  <c r="CR12" i="5"/>
  <c r="CV12" i="5"/>
  <c r="CH17" i="5"/>
  <c r="CJ17" i="5"/>
  <c r="BX17" i="5"/>
  <c r="BY17" i="5"/>
  <c r="CI17" i="5"/>
  <c r="BM14" i="5"/>
  <c r="S70" i="7"/>
  <c r="BD14" i="5"/>
  <c r="CH14" i="5"/>
  <c r="AT14" i="5"/>
  <c r="AV14" i="5"/>
  <c r="I70" i="7"/>
  <c r="CR17" i="5"/>
  <c r="DC14" i="5"/>
  <c r="AU14" i="5"/>
  <c r="H70" i="7"/>
  <c r="BT14" i="5"/>
  <c r="E70" i="7"/>
  <c r="BF14" i="5"/>
  <c r="BU14" i="5"/>
  <c r="J14" i="4"/>
  <c r="BW15" i="5"/>
  <c r="G71" i="7"/>
  <c r="BZ15" i="5"/>
  <c r="J71" i="7"/>
  <c r="CF15" i="5"/>
  <c r="CP15" i="5"/>
  <c r="S71" i="7"/>
  <c r="CZ15" i="5"/>
  <c r="BO15" i="5"/>
  <c r="CM15" i="5"/>
  <c r="CW15" i="5"/>
  <c r="P71" i="7"/>
  <c r="CE15" i="5"/>
  <c r="BY15" i="5"/>
  <c r="I71" i="7"/>
  <c r="BT18" i="5"/>
  <c r="E74" i="7"/>
  <c r="J18" i="4"/>
  <c r="BU18" i="5"/>
  <c r="DC18" i="5"/>
  <c r="BF18" i="5"/>
  <c r="AS18" i="5"/>
  <c r="BG18" i="5"/>
  <c r="BH18" i="5"/>
  <c r="BK18" i="5"/>
  <c r="AT18" i="5"/>
  <c r="AV18" i="5"/>
  <c r="BL18" i="5"/>
  <c r="BN18" i="5"/>
  <c r="BM18" i="5"/>
  <c r="AW18" i="5"/>
  <c r="BD18" i="5"/>
  <c r="BE18" i="5"/>
  <c r="BJ18" i="5"/>
  <c r="AU18" i="5"/>
  <c r="CD17" i="5"/>
  <c r="CQ15" i="5"/>
  <c r="DA15" i="5"/>
  <c r="T71" i="7"/>
  <c r="BW17" i="5"/>
  <c r="G73" i="7"/>
  <c r="CC17" i="5"/>
  <c r="CE17" i="5"/>
  <c r="CY15" i="5"/>
  <c r="CO15" i="5"/>
  <c r="R71" i="7"/>
  <c r="CZ17" i="5"/>
  <c r="CP17" i="5"/>
  <c r="S73" i="7"/>
  <c r="CL15" i="5"/>
  <c r="O71" i="7"/>
  <c r="CV15" i="5"/>
  <c r="CS17" i="5"/>
  <c r="CK15" i="5"/>
  <c r="CU15" i="5"/>
  <c r="N71" i="7"/>
  <c r="CU17" i="5"/>
  <c r="O70" i="7"/>
  <c r="CN15" i="5"/>
  <c r="Q71" i="7"/>
  <c r="CX15" i="5"/>
  <c r="CC15" i="5"/>
  <c r="CF17" i="5"/>
  <c r="J73" i="7"/>
  <c r="BZ17" i="5"/>
  <c r="CI15" i="5"/>
  <c r="CS15" i="5"/>
  <c r="L71" i="7"/>
  <c r="O73" i="7"/>
  <c r="CV17" i="5"/>
  <c r="CL17" i="5"/>
  <c r="CQ17" i="5"/>
  <c r="DA17" i="5"/>
  <c r="T73" i="7"/>
  <c r="CR15" i="5"/>
  <c r="BI15" i="5"/>
  <c r="CH15" i="5"/>
  <c r="K71" i="7"/>
  <c r="CY17" i="5"/>
  <c r="CO17" i="5"/>
  <c r="R73" i="7"/>
  <c r="AX17" i="5"/>
  <c r="F73" i="7"/>
  <c r="CB17" i="5"/>
  <c r="BV17" i="5"/>
  <c r="CN17" i="5"/>
  <c r="Q73" i="7"/>
  <c r="CX17" i="5"/>
  <c r="AX15" i="5"/>
  <c r="CB15" i="5"/>
  <c r="BV15" i="5"/>
  <c r="F71" i="7"/>
  <c r="BO17" i="5"/>
  <c r="CM17" i="5"/>
  <c r="CW17" i="5"/>
  <c r="P73" i="7"/>
  <c r="CT15" i="5"/>
  <c r="M71" i="7"/>
  <c r="CJ15" i="5"/>
  <c r="Q70" i="7"/>
  <c r="E72" i="7"/>
  <c r="AW16" i="5"/>
  <c r="J16" i="4"/>
  <c r="BE16" i="5"/>
  <c r="BF16" i="5"/>
  <c r="BK16" i="5"/>
  <c r="BH16" i="5"/>
  <c r="AV16" i="5"/>
  <c r="BJ16" i="5"/>
  <c r="BL16" i="5"/>
  <c r="BM16" i="5"/>
  <c r="BN16" i="5"/>
  <c r="BT16" i="5"/>
  <c r="BZ16" i="5" s="1"/>
  <c r="AU16" i="5"/>
  <c r="DC16" i="5"/>
  <c r="BD16" i="5"/>
  <c r="BG16" i="5"/>
  <c r="AS16" i="5"/>
  <c r="AT16" i="5"/>
  <c r="BU16" i="5"/>
  <c r="CD15" i="5"/>
  <c r="BX15" i="5"/>
  <c r="H71" i="7"/>
  <c r="AR51" i="5"/>
  <c r="CG19" i="5"/>
  <c r="CA19" i="5"/>
  <c r="BI14" i="5"/>
  <c r="CE14" i="5"/>
  <c r="DG12" i="5"/>
  <c r="CT14" i="5"/>
  <c r="S177" i="5"/>
  <c r="J70" i="6"/>
  <c r="AX51" i="5"/>
  <c r="CG12" i="5"/>
  <c r="N70" i="7"/>
  <c r="CB14" i="5"/>
  <c r="CS14" i="5"/>
  <c r="CF14" i="5"/>
  <c r="CA15" i="5"/>
  <c r="BY14" i="5"/>
  <c r="CY14" i="5"/>
  <c r="BZ14" i="5"/>
  <c r="CX14" i="5"/>
  <c r="M70" i="7"/>
  <c r="DG19" i="5"/>
  <c r="CD14" i="5"/>
  <c r="CM14" i="5"/>
  <c r="CK14" i="5"/>
  <c r="CN14" i="5"/>
  <c r="M65" i="7"/>
  <c r="BX14" i="5"/>
  <c r="CC14" i="5"/>
  <c r="G70" i="7"/>
  <c r="K70" i="7"/>
  <c r="CR14" i="5"/>
  <c r="CI14" i="5"/>
  <c r="CJ14" i="5"/>
  <c r="CZ14" i="5"/>
  <c r="CL14" i="5"/>
  <c r="DA14" i="5"/>
  <c r="G65" i="7"/>
  <c r="AX14" i="5"/>
  <c r="DG14" i="5"/>
  <c r="CV14" i="5"/>
  <c r="CQ14" i="5"/>
  <c r="BV14" i="5"/>
  <c r="CP14" i="5"/>
  <c r="BO14" i="5"/>
  <c r="CU14" i="5"/>
  <c r="CO14" i="5"/>
  <c r="CW14" i="5"/>
  <c r="BW14" i="5"/>
  <c r="CD18" i="5"/>
  <c r="BX18" i="5"/>
  <c r="H74" i="7"/>
  <c r="CG15" i="5"/>
  <c r="DA16" i="5"/>
  <c r="T72" i="7"/>
  <c r="CZ16" i="5"/>
  <c r="CP16" i="5"/>
  <c r="S72" i="7"/>
  <c r="L74" i="7"/>
  <c r="CI18" i="5"/>
  <c r="CS18" i="5"/>
  <c r="R72" i="7"/>
  <c r="CY16" i="5"/>
  <c r="CR18" i="5"/>
  <c r="BI18" i="5"/>
  <c r="CH18" i="5"/>
  <c r="K74" i="7"/>
  <c r="I72" i="7"/>
  <c r="CE16" i="5"/>
  <c r="CZ18" i="5"/>
  <c r="CP18" i="5"/>
  <c r="S74" i="7"/>
  <c r="CL16" i="5"/>
  <c r="O72" i="7"/>
  <c r="CV16" i="5"/>
  <c r="DA18" i="5"/>
  <c r="T74" i="7"/>
  <c r="CQ18" i="5"/>
  <c r="Q72" i="7"/>
  <c r="CX16" i="5"/>
  <c r="CY18" i="5"/>
  <c r="CO18" i="5"/>
  <c r="R74" i="7"/>
  <c r="CT16" i="5"/>
  <c r="M72" i="7"/>
  <c r="BY18" i="5"/>
  <c r="CE18" i="5"/>
  <c r="I74" i="7"/>
  <c r="CS16" i="5"/>
  <c r="L72" i="7"/>
  <c r="BW18" i="5"/>
  <c r="G74" i="7"/>
  <c r="CC18" i="5"/>
  <c r="CX18" i="5"/>
  <c r="CN18" i="5"/>
  <c r="Q74" i="7"/>
  <c r="J72" i="7"/>
  <c r="CF16" i="5"/>
  <c r="O74" i="7"/>
  <c r="CL18" i="5"/>
  <c r="CV18" i="5"/>
  <c r="G72" i="7"/>
  <c r="CC16" i="5"/>
  <c r="CA17" i="5"/>
  <c r="CK18" i="5"/>
  <c r="CU18" i="5"/>
  <c r="N74" i="7"/>
  <c r="AX16" i="5"/>
  <c r="F72" i="7"/>
  <c r="CB16" i="5"/>
  <c r="CG17" i="5"/>
  <c r="CB18" i="5"/>
  <c r="F74" i="7"/>
  <c r="BV18" i="5"/>
  <c r="AX18" i="5"/>
  <c r="DG15" i="5"/>
  <c r="DE15" i="5"/>
  <c r="BZ18" i="5"/>
  <c r="CF18" i="5"/>
  <c r="J74" i="7"/>
  <c r="N72" i="7"/>
  <c r="CU16" i="5"/>
  <c r="CT18" i="5"/>
  <c r="M74" i="7"/>
  <c r="CJ18" i="5"/>
  <c r="CR16" i="5"/>
  <c r="BI16" i="5"/>
  <c r="K72" i="7"/>
  <c r="DG17" i="5"/>
  <c r="DE17" i="5"/>
  <c r="CW18" i="5"/>
  <c r="BO18" i="5"/>
  <c r="CM18" i="5"/>
  <c r="P74" i="7"/>
  <c r="BO16" i="5"/>
  <c r="CW16" i="5"/>
  <c r="P72" i="7"/>
  <c r="H72" i="7"/>
  <c r="CD16" i="5"/>
  <c r="CG14" i="5"/>
  <c r="CA14" i="5"/>
  <c r="DE14" i="5"/>
  <c r="DG18" i="5"/>
  <c r="DE18" i="5"/>
  <c r="CA18" i="5"/>
  <c r="CG18" i="5"/>
  <c r="CG16" i="5"/>
  <c r="DE16" i="5"/>
  <c r="DG16" i="5"/>
  <c r="AG3" i="93" l="1"/>
  <c r="AG13" i="93" s="1"/>
  <c r="BS41" i="17"/>
  <c r="L14" i="17" s="1"/>
  <c r="AU44" i="17"/>
  <c r="O10" i="17" s="1"/>
  <c r="AU46" i="17"/>
  <c r="Q10" i="17" s="1"/>
  <c r="AI45" i="17"/>
  <c r="P8" i="17" s="1"/>
  <c r="AO40" i="17"/>
  <c r="K9" i="17" s="1"/>
  <c r="AO41" i="17"/>
  <c r="L9" i="17" s="1"/>
  <c r="AO46" i="17"/>
  <c r="Q9" i="17" s="1"/>
  <c r="BA43" i="17"/>
  <c r="N11" i="17" s="1"/>
  <c r="BY44" i="17"/>
  <c r="O15" i="17" s="1"/>
  <c r="BA42" i="17"/>
  <c r="M11" i="17" s="1"/>
  <c r="AI49" i="17"/>
  <c r="T8" i="17" s="1"/>
  <c r="BF21" i="71"/>
  <c r="BE21" i="71"/>
  <c r="CG6" i="16"/>
  <c r="F164" i="5"/>
  <c r="G164" i="5"/>
  <c r="BL48" i="5"/>
  <c r="BN48" i="5" s="1"/>
  <c r="J29" i="4" s="1"/>
  <c r="K19" i="7"/>
  <c r="J164" i="5"/>
  <c r="P164" i="5" s="1"/>
  <c r="AK6" i="101"/>
  <c r="AO6" i="101"/>
  <c r="AL6" i="101"/>
  <c r="AM6" i="101"/>
  <c r="AF6" i="101"/>
  <c r="AI6" i="101"/>
  <c r="AJ6" i="101"/>
  <c r="Y6" i="101"/>
  <c r="Z6" i="101"/>
  <c r="AH6" i="101"/>
  <c r="V6" i="101"/>
  <c r="AG6" i="101"/>
  <c r="AE6" i="101"/>
  <c r="AN6" i="101"/>
  <c r="AD6" i="101"/>
  <c r="AB6" i="101"/>
  <c r="AC6" i="101" s="1"/>
  <c r="W6" i="101"/>
  <c r="L8" i="7"/>
  <c r="O4" i="15"/>
  <c r="BF20" i="70"/>
  <c r="AW20" i="70"/>
  <c r="BD20" i="68"/>
  <c r="BC20" i="68"/>
  <c r="BG20" i="67"/>
  <c r="AV20" i="70"/>
  <c r="AO20" i="67"/>
  <c r="BE20" i="67"/>
  <c r="BD20" i="67"/>
  <c r="AP20" i="67"/>
  <c r="CC6" i="16"/>
  <c r="B7" i="102"/>
  <c r="U5" i="101"/>
  <c r="CK10" i="16"/>
  <c r="CN10" i="16" s="1"/>
  <c r="CO10" i="16" s="1"/>
  <c r="CW10" i="16" s="1"/>
  <c r="CP11" i="16"/>
  <c r="EQ10" i="16"/>
  <c r="DT10" i="16" s="1"/>
  <c r="CG16" i="16"/>
  <c r="CK15" i="16"/>
  <c r="CP14" i="16"/>
  <c r="AG3" i="99"/>
  <c r="AG13" i="99" s="1"/>
  <c r="AG3" i="90"/>
  <c r="AG13" i="90" s="1"/>
  <c r="CJ17" i="16"/>
  <c r="CV17" i="16" s="1"/>
  <c r="AG3" i="84"/>
  <c r="AG13" i="84" s="1"/>
  <c r="AG3" i="83"/>
  <c r="AG13" i="83" s="1"/>
  <c r="CQ16" i="16"/>
  <c r="BM51" i="17"/>
  <c r="V13" i="17" s="1"/>
  <c r="AI52" i="17"/>
  <c r="W8" i="17" s="1"/>
  <c r="BM47" i="17"/>
  <c r="R13" i="17" s="1"/>
  <c r="BS47" i="17"/>
  <c r="R14" i="17" s="1"/>
  <c r="AU51" i="17"/>
  <c r="V10" i="17" s="1"/>
  <c r="AU49" i="17"/>
  <c r="T10" i="17" s="1"/>
  <c r="AU48" i="17"/>
  <c r="S10" i="17" s="1"/>
  <c r="BY52" i="17"/>
  <c r="W15" i="17" s="1"/>
  <c r="AY18" i="19"/>
  <c r="AZ20" i="67"/>
  <c r="AR20" i="68"/>
  <c r="AR20" i="67"/>
  <c r="AW20" i="68"/>
  <c r="BA20" i="67"/>
  <c r="AV20" i="74"/>
  <c r="BC20" i="67"/>
  <c r="AX20" i="68"/>
  <c r="AX20" i="67"/>
  <c r="AQ20" i="66"/>
  <c r="AW20" i="67"/>
  <c r="I52" i="17"/>
  <c r="AY20" i="68"/>
  <c r="AT20" i="67"/>
  <c r="AS20" i="67"/>
  <c r="BE20" i="68"/>
  <c r="AK17" i="19"/>
  <c r="AT20" i="68"/>
  <c r="U17" i="62"/>
  <c r="R51" i="17"/>
  <c r="U16" i="62"/>
  <c r="U43" i="17"/>
  <c r="U15" i="62"/>
  <c r="T43" i="17"/>
  <c r="U19" i="62"/>
  <c r="U14" i="62"/>
  <c r="R43" i="17"/>
  <c r="U46" i="17"/>
  <c r="U22" i="62"/>
  <c r="X9" i="62"/>
  <c r="X43" i="62" s="1"/>
  <c r="U8" i="62"/>
  <c r="U42" i="62" s="1"/>
  <c r="S8" i="62"/>
  <c r="S42" i="62" s="1"/>
  <c r="T33" i="62"/>
  <c r="T67" i="62" s="1"/>
  <c r="S43" i="17"/>
  <c r="U20" i="62"/>
  <c r="U54" i="62" s="1"/>
  <c r="V45" i="17"/>
  <c r="T32" i="62"/>
  <c r="T66" i="62" s="1"/>
  <c r="S46" i="17"/>
  <c r="W46" i="17" s="1"/>
  <c r="Q6" i="17" s="1"/>
  <c r="W28" i="62"/>
  <c r="W62" i="62" s="1"/>
  <c r="S25" i="62"/>
  <c r="U45" i="17"/>
  <c r="W27" i="62"/>
  <c r="S24" i="62"/>
  <c r="W26" i="62"/>
  <c r="S23" i="62"/>
  <c r="T46" i="17"/>
  <c r="V8" i="62"/>
  <c r="S6" i="62"/>
  <c r="S40" i="62" s="1"/>
  <c r="U21" i="62"/>
  <c r="T8" i="62"/>
  <c r="T42" i="62" s="1"/>
  <c r="U18" i="62"/>
  <c r="W25" i="62"/>
  <c r="S22" i="62"/>
  <c r="BM48" i="17"/>
  <c r="S13" i="17" s="1"/>
  <c r="BG50" i="17"/>
  <c r="U12" i="17" s="1"/>
  <c r="BS43" i="17"/>
  <c r="N14" i="17" s="1"/>
  <c r="BY45" i="17"/>
  <c r="P15" i="17" s="1"/>
  <c r="AO47" i="17"/>
  <c r="R9" i="17" s="1"/>
  <c r="BM43" i="17"/>
  <c r="N13" i="17" s="1"/>
  <c r="BS50" i="17"/>
  <c r="U14" i="17" s="1"/>
  <c r="BS44" i="17"/>
  <c r="O14" i="17" s="1"/>
  <c r="BA47" i="17"/>
  <c r="R11" i="17" s="1"/>
  <c r="AO43" i="17"/>
  <c r="N9" i="17" s="1"/>
  <c r="AO52" i="17"/>
  <c r="W9" i="17" s="1"/>
  <c r="BM42" i="17"/>
  <c r="M13" i="17" s="1"/>
  <c r="AU40" i="17"/>
  <c r="K10" i="17" s="1"/>
  <c r="BA52" i="17"/>
  <c r="W11" i="17" s="1"/>
  <c r="AO42" i="17"/>
  <c r="M9" i="17" s="1"/>
  <c r="BG48" i="17"/>
  <c r="S12" i="17" s="1"/>
  <c r="AO45" i="17"/>
  <c r="P9" i="17" s="1"/>
  <c r="BG40" i="17"/>
  <c r="K12" i="17" s="1"/>
  <c r="AU52" i="17"/>
  <c r="W10" i="17" s="1"/>
  <c r="BA41" i="17"/>
  <c r="L11" i="17" s="1"/>
  <c r="BA40" i="17"/>
  <c r="K11" i="17" s="1"/>
  <c r="BM41" i="17"/>
  <c r="L13" i="17" s="1"/>
  <c r="AI46" i="17"/>
  <c r="Q8" i="17" s="1"/>
  <c r="AG53" i="17"/>
  <c r="BY42" i="17"/>
  <c r="M15" i="17" s="1"/>
  <c r="BY43" i="17"/>
  <c r="N15" i="17" s="1"/>
  <c r="BM52" i="17"/>
  <c r="W13" i="17" s="1"/>
  <c r="BG52" i="17"/>
  <c r="W12" i="17" s="1"/>
  <c r="BA44" i="17"/>
  <c r="O11" i="17" s="1"/>
  <c r="BS52" i="17"/>
  <c r="W14" i="17" s="1"/>
  <c r="AO44" i="17"/>
  <c r="O9" i="17" s="1"/>
  <c r="BS42" i="17"/>
  <c r="M14" i="17" s="1"/>
  <c r="BY47" i="17"/>
  <c r="R15" i="17" s="1"/>
  <c r="BY40" i="17"/>
  <c r="K15" i="17" s="1"/>
  <c r="AI47" i="17"/>
  <c r="R8" i="17" s="1"/>
  <c r="BA49" i="17"/>
  <c r="T11" i="17" s="1"/>
  <c r="BA45" i="17"/>
  <c r="P11" i="17" s="1"/>
  <c r="BA51" i="17"/>
  <c r="V11" i="17" s="1"/>
  <c r="AO49" i="17"/>
  <c r="T9" i="17" s="1"/>
  <c r="AU47" i="17"/>
  <c r="R10" i="17" s="1"/>
  <c r="BS48" i="17"/>
  <c r="S14" i="17" s="1"/>
  <c r="BY48" i="17"/>
  <c r="S15" i="17" s="1"/>
  <c r="BM40" i="17"/>
  <c r="K13" i="17" s="1"/>
  <c r="BY46" i="17"/>
  <c r="Q15" i="17" s="1"/>
  <c r="BG43" i="17"/>
  <c r="N12" i="17" s="1"/>
  <c r="BG47" i="17"/>
  <c r="R12" i="17" s="1"/>
  <c r="BM45" i="17"/>
  <c r="P13" i="17" s="1"/>
  <c r="BA48" i="17"/>
  <c r="S11" i="17" s="1"/>
  <c r="AU42" i="17"/>
  <c r="M10" i="17" s="1"/>
  <c r="AU43" i="17"/>
  <c r="N10" i="17" s="1"/>
  <c r="AI42" i="17"/>
  <c r="M8" i="17" s="1"/>
  <c r="BG41" i="17"/>
  <c r="L12" i="17" s="1"/>
  <c r="BS45" i="17"/>
  <c r="P14" i="17" s="1"/>
  <c r="BS51" i="17"/>
  <c r="V14" i="17" s="1"/>
  <c r="AI40" i="17"/>
  <c r="K8" i="17" s="1"/>
  <c r="BA46" i="17"/>
  <c r="Q11" i="17" s="1"/>
  <c r="BG42" i="17"/>
  <c r="M12" i="17" s="1"/>
  <c r="AI43" i="17"/>
  <c r="N8" i="17" s="1"/>
  <c r="I22" i="16"/>
  <c r="M2" i="88"/>
  <c r="I21" i="16"/>
  <c r="M2" i="87"/>
  <c r="BA50" i="17"/>
  <c r="U11" i="17" s="1"/>
  <c r="BM44" i="17"/>
  <c r="O13" i="17" s="1"/>
  <c r="I34" i="16"/>
  <c r="M2" i="100"/>
  <c r="AO50" i="17"/>
  <c r="U9" i="17" s="1"/>
  <c r="I19" i="16"/>
  <c r="M2" i="85"/>
  <c r="I33" i="16"/>
  <c r="M2" i="99"/>
  <c r="BG44" i="17"/>
  <c r="O12" i="17" s="1"/>
  <c r="BY41" i="17"/>
  <c r="L15" i="17" s="1"/>
  <c r="BW53" i="17"/>
  <c r="I32" i="16"/>
  <c r="M2" i="98"/>
  <c r="BG49" i="17"/>
  <c r="T12" i="17" s="1"/>
  <c r="AR53" i="17"/>
  <c r="AI48" i="17"/>
  <c r="S8" i="17" s="1"/>
  <c r="I20" i="16"/>
  <c r="M2" i="86"/>
  <c r="AO48" i="17"/>
  <c r="S9" i="17" s="1"/>
  <c r="I31" i="16"/>
  <c r="BH31" i="16" s="1"/>
  <c r="M2" i="97"/>
  <c r="AU45" i="17"/>
  <c r="P10" i="17" s="1"/>
  <c r="I30" i="16"/>
  <c r="M2" i="96"/>
  <c r="BG45" i="17"/>
  <c r="P12" i="17" s="1"/>
  <c r="I29" i="16"/>
  <c r="M2" i="95"/>
  <c r="BS40" i="17"/>
  <c r="K14" i="17" s="1"/>
  <c r="I17" i="16"/>
  <c r="M2" i="83"/>
  <c r="I28" i="16"/>
  <c r="M2" i="94"/>
  <c r="BR53" i="17"/>
  <c r="BM50" i="17"/>
  <c r="U13" i="17" s="1"/>
  <c r="I27" i="16"/>
  <c r="M2" i="93"/>
  <c r="BQ53" i="17"/>
  <c r="BJ53" i="17"/>
  <c r="I26" i="16"/>
  <c r="M2" i="92"/>
  <c r="BP53" i="17"/>
  <c r="AI50" i="17"/>
  <c r="U8" i="17" s="1"/>
  <c r="I18" i="16"/>
  <c r="M2" i="84"/>
  <c r="I25" i="16"/>
  <c r="M2" i="91"/>
  <c r="I24" i="16"/>
  <c r="M2" i="90"/>
  <c r="BY50" i="17"/>
  <c r="U15" i="17" s="1"/>
  <c r="I23" i="16"/>
  <c r="M2" i="89"/>
  <c r="AU50" i="17"/>
  <c r="U10" i="17" s="1"/>
  <c r="AO51" i="17"/>
  <c r="V9" i="17" s="1"/>
  <c r="AI39" i="17"/>
  <c r="J8" i="17" s="1"/>
  <c r="AF53" i="17"/>
  <c r="BG20" i="70"/>
  <c r="AQ5" i="5"/>
  <c r="D61" i="7" s="1"/>
  <c r="DD5" i="5"/>
  <c r="DH5" i="5"/>
  <c r="AI51" i="17"/>
  <c r="V8" i="17" s="1"/>
  <c r="BX53" i="17"/>
  <c r="BG51" i="17"/>
  <c r="V12" i="17" s="1"/>
  <c r="BY51" i="17"/>
  <c r="V15" i="17" s="1"/>
  <c r="AW53" i="17"/>
  <c r="AK53" i="17"/>
  <c r="AO20" i="70"/>
  <c r="O48" i="17"/>
  <c r="AR21" i="74"/>
  <c r="BH21" i="74"/>
  <c r="AO21" i="69"/>
  <c r="AQ21" i="74"/>
  <c r="BY39" i="17"/>
  <c r="J15" i="17" s="1"/>
  <c r="AQ53" i="17"/>
  <c r="BK53" i="17"/>
  <c r="BM39" i="17"/>
  <c r="J13" i="17" s="1"/>
  <c r="AU39" i="17"/>
  <c r="J10" i="17" s="1"/>
  <c r="BL53" i="17"/>
  <c r="BO53" i="17"/>
  <c r="BG39" i="17"/>
  <c r="J12" i="17" s="1"/>
  <c r="BA39" i="17"/>
  <c r="J11" i="17" s="1"/>
  <c r="BS39" i="17"/>
  <c r="J14" i="17" s="1"/>
  <c r="N48" i="17"/>
  <c r="O46" i="17"/>
  <c r="BG21" i="68"/>
  <c r="BD21" i="68"/>
  <c r="AJ18" i="19"/>
  <c r="P51" i="17"/>
  <c r="AL18" i="19"/>
  <c r="AY108" i="62"/>
  <c r="AN18" i="19"/>
  <c r="AQ18" i="19"/>
  <c r="M51" i="17"/>
  <c r="AV18" i="19"/>
  <c r="BG21" i="66"/>
  <c r="P47" i="17"/>
  <c r="O47" i="17"/>
  <c r="N47" i="17"/>
  <c r="M47" i="17"/>
  <c r="L47" i="17"/>
  <c r="P46" i="17"/>
  <c r="M44" i="17"/>
  <c r="L44" i="17"/>
  <c r="O51" i="17"/>
  <c r="N51" i="17"/>
  <c r="AU18" i="19"/>
  <c r="AB108" i="62"/>
  <c r="AX108" i="62"/>
  <c r="AS17" i="19"/>
  <c r="AP17" i="19"/>
  <c r="AX20" i="69"/>
  <c r="BF20" i="68"/>
  <c r="J18" i="62"/>
  <c r="J52" i="62" s="1"/>
  <c r="J17" i="62"/>
  <c r="J51" i="62" s="1"/>
  <c r="AO20" i="68"/>
  <c r="BA20" i="70"/>
  <c r="BE20" i="71"/>
  <c r="AP20" i="68"/>
  <c r="L13" i="62"/>
  <c r="L47" i="62" s="1"/>
  <c r="AG3" i="73"/>
  <c r="AG3" i="67"/>
  <c r="AG3" i="72"/>
  <c r="AG3" i="70"/>
  <c r="AG3" i="69"/>
  <c r="AG3" i="66"/>
  <c r="AG3" i="74"/>
  <c r="AG3" i="68"/>
  <c r="AA3" i="19"/>
  <c r="AA11" i="19" s="1"/>
  <c r="AG3" i="71"/>
  <c r="EP14" i="16"/>
  <c r="DW14" i="16" s="1"/>
  <c r="AL14" i="16" s="1"/>
  <c r="U6" i="74" s="1"/>
  <c r="Z3" i="19"/>
  <c r="Z11" i="19" s="1"/>
  <c r="AH3" i="66"/>
  <c r="W3" i="19"/>
  <c r="W11" i="19" s="1"/>
  <c r="AE3" i="66"/>
  <c r="EP13" i="16"/>
  <c r="DW13" i="16" s="1"/>
  <c r="AL13" i="16" s="1"/>
  <c r="AK13" i="16" s="1"/>
  <c r="AJ53" i="17"/>
  <c r="BV53" i="17"/>
  <c r="AL53" i="17"/>
  <c r="AE53" i="17"/>
  <c r="BU53" i="17"/>
  <c r="BS46" i="17"/>
  <c r="Q14" i="17" s="1"/>
  <c r="AP53" i="17"/>
  <c r="BM49" i="17"/>
  <c r="T13" i="17" s="1"/>
  <c r="BN53" i="17"/>
  <c r="BE53" i="17"/>
  <c r="AY53" i="17"/>
  <c r="BG46" i="17"/>
  <c r="Q12" i="17" s="1"/>
  <c r="BI53" i="17"/>
  <c r="BS49" i="17"/>
  <c r="T14" i="17" s="1"/>
  <c r="BY49" i="17"/>
  <c r="T15" i="17" s="1"/>
  <c r="BF53" i="17"/>
  <c r="AZ53" i="17"/>
  <c r="AS53" i="17"/>
  <c r="BM46" i="17"/>
  <c r="Q13" i="17" s="1"/>
  <c r="AI41" i="17"/>
  <c r="L8" i="17" s="1"/>
  <c r="AU41" i="17"/>
  <c r="AM53" i="17"/>
  <c r="BC53" i="17"/>
  <c r="AO39" i="17"/>
  <c r="J9" i="17" s="1"/>
  <c r="AO22" i="70"/>
  <c r="BE22" i="70"/>
  <c r="BG22" i="70"/>
  <c r="BF22" i="70"/>
  <c r="O26" i="62"/>
  <c r="O60" i="62" s="1"/>
  <c r="M13" i="62"/>
  <c r="M47" i="62" s="1"/>
  <c r="H43" i="17"/>
  <c r="I42" i="17"/>
  <c r="I48" i="17"/>
  <c r="I43" i="17"/>
  <c r="J42" i="17"/>
  <c r="J48" i="17"/>
  <c r="C52" i="17"/>
  <c r="J43" i="17"/>
  <c r="D52" i="17"/>
  <c r="C45" i="17"/>
  <c r="C49" i="17"/>
  <c r="C51" i="17"/>
  <c r="J40" i="17"/>
  <c r="H47" i="17"/>
  <c r="D48" i="17"/>
  <c r="J41" i="17"/>
  <c r="D51" i="17"/>
  <c r="I47" i="17"/>
  <c r="H51" i="17"/>
  <c r="C41" i="17"/>
  <c r="J47" i="17"/>
  <c r="I51" i="17"/>
  <c r="D41" i="17"/>
  <c r="J51" i="17"/>
  <c r="H41" i="17"/>
  <c r="C48" i="17"/>
  <c r="I41" i="17"/>
  <c r="H48" i="17"/>
  <c r="I46" i="17"/>
  <c r="D47" i="17"/>
  <c r="I39" i="17"/>
  <c r="J39" i="17"/>
  <c r="J49" i="17"/>
  <c r="D40" i="17"/>
  <c r="C50" i="17"/>
  <c r="I40" i="17"/>
  <c r="D50" i="17"/>
  <c r="D43" i="17"/>
  <c r="J46" i="17"/>
  <c r="C43" i="17"/>
  <c r="C47" i="17"/>
  <c r="D39" i="17"/>
  <c r="H39" i="17"/>
  <c r="D49" i="17"/>
  <c r="H49" i="17"/>
  <c r="I49" i="17"/>
  <c r="C40" i="17"/>
  <c r="H40" i="17"/>
  <c r="H50" i="17"/>
  <c r="C42" i="17"/>
  <c r="I50" i="17"/>
  <c r="AS19" i="19"/>
  <c r="AW19" i="19"/>
  <c r="AZ19" i="19"/>
  <c r="AP19" i="19"/>
  <c r="AK19" i="19"/>
  <c r="AO19" i="19"/>
  <c r="AL19" i="19"/>
  <c r="AQ19" i="19"/>
  <c r="AI19" i="19"/>
  <c r="AV19" i="19"/>
  <c r="K13" i="62"/>
  <c r="K47" i="62" s="1"/>
  <c r="AV23" i="70"/>
  <c r="AW23" i="70"/>
  <c r="BA23" i="70"/>
  <c r="J13" i="62"/>
  <c r="J47" i="62" s="1"/>
  <c r="AK20" i="19"/>
  <c r="AW20" i="19"/>
  <c r="AL20" i="19"/>
  <c r="AX20" i="19"/>
  <c r="AS20" i="19"/>
  <c r="AN20" i="19"/>
  <c r="AV20" i="19"/>
  <c r="AJ20" i="19"/>
  <c r="AH20" i="19"/>
  <c r="AQ20" i="19"/>
  <c r="AP20" i="19"/>
  <c r="AG20" i="19"/>
  <c r="AY20" i="19"/>
  <c r="AI20" i="19"/>
  <c r="AO20" i="19"/>
  <c r="AZ20" i="19"/>
  <c r="AR20" i="19"/>
  <c r="G19" i="62"/>
  <c r="G53" i="62" s="1"/>
  <c r="J50" i="17"/>
  <c r="R20" i="62"/>
  <c r="R54" i="62" s="1"/>
  <c r="M31" i="62"/>
  <c r="M65" i="62" s="1"/>
  <c r="H27" i="62"/>
  <c r="H61" i="62" s="1"/>
  <c r="H46" i="17"/>
  <c r="G13" i="62"/>
  <c r="G47" i="62" s="1"/>
  <c r="R6" i="62"/>
  <c r="R40" i="62" s="1"/>
  <c r="Q6" i="62"/>
  <c r="Q40" i="62" s="1"/>
  <c r="M29" i="62"/>
  <c r="M63" i="62" s="1"/>
  <c r="G17" i="62"/>
  <c r="G51" i="62" s="1"/>
  <c r="M21" i="62"/>
  <c r="M55" i="62" s="1"/>
  <c r="H24" i="62"/>
  <c r="H58" i="62" s="1"/>
  <c r="Q25" i="62"/>
  <c r="Q59" i="62" s="1"/>
  <c r="H23" i="62"/>
  <c r="H57" i="62" s="1"/>
  <c r="J45" i="17"/>
  <c r="Q24" i="62"/>
  <c r="Q58" i="62" s="1"/>
  <c r="L27" i="62"/>
  <c r="L61" i="62" s="1"/>
  <c r="Q23" i="62"/>
  <c r="Q57" i="62" s="1"/>
  <c r="L26" i="62"/>
  <c r="L60" i="62" s="1"/>
  <c r="H45" i="17"/>
  <c r="O12" i="62"/>
  <c r="O46" i="62" s="1"/>
  <c r="Q21" i="62"/>
  <c r="Q55" i="62" s="1"/>
  <c r="L17" i="62"/>
  <c r="L51" i="62" s="1"/>
  <c r="AY19" i="19"/>
  <c r="I12" i="62"/>
  <c r="I46" i="62" s="1"/>
  <c r="P14" i="62"/>
  <c r="P48" i="62" s="1"/>
  <c r="L15" i="62"/>
  <c r="L49" i="62" s="1"/>
  <c r="R8" i="62"/>
  <c r="R42" i="62" s="1"/>
  <c r="G12" i="62"/>
  <c r="G46" i="62" s="1"/>
  <c r="AG19" i="19"/>
  <c r="O32" i="62"/>
  <c r="O66" i="62" s="1"/>
  <c r="K33" i="62"/>
  <c r="K67" i="62" s="1"/>
  <c r="O31" i="62"/>
  <c r="O65" i="62" s="1"/>
  <c r="K32" i="62"/>
  <c r="K66" i="62" s="1"/>
  <c r="D44" i="17"/>
  <c r="AL17" i="19"/>
  <c r="AH17" i="19"/>
  <c r="AW17" i="19"/>
  <c r="AI17" i="19"/>
  <c r="AG17" i="19"/>
  <c r="AQ17" i="19"/>
  <c r="AU17" i="19"/>
  <c r="AJ17" i="19"/>
  <c r="AR17" i="19"/>
  <c r="AX17" i="19"/>
  <c r="AN17" i="19"/>
  <c r="AO17" i="19"/>
  <c r="AY17" i="19"/>
  <c r="O30" i="62"/>
  <c r="O64" i="62" s="1"/>
  <c r="J26" i="62"/>
  <c r="J60" i="62" s="1"/>
  <c r="C44" i="17"/>
  <c r="AZ17" i="19"/>
  <c r="BA21" i="68"/>
  <c r="BH21" i="68"/>
  <c r="BE21" i="68"/>
  <c r="AQ21" i="68"/>
  <c r="AV21" i="68"/>
  <c r="BF21" i="68"/>
  <c r="AX21" i="68"/>
  <c r="AP21" i="68"/>
  <c r="AW21" i="68"/>
  <c r="AT21" i="68"/>
  <c r="AY21" i="68"/>
  <c r="AR21" i="68"/>
  <c r="AO21" i="68"/>
  <c r="AS21" i="68"/>
  <c r="AZ21" i="68"/>
  <c r="S51" i="17"/>
  <c r="T48" i="17"/>
  <c r="T51" i="17"/>
  <c r="R45" i="17"/>
  <c r="U48" i="17"/>
  <c r="S39" i="17"/>
  <c r="U51" i="17"/>
  <c r="S45" i="17"/>
  <c r="V48" i="17"/>
  <c r="R39" i="17"/>
  <c r="V51" i="17"/>
  <c r="T45" i="17"/>
  <c r="V39" i="17"/>
  <c r="V44" i="17"/>
  <c r="T52" i="17"/>
  <c r="T40" i="17"/>
  <c r="V47" i="17"/>
  <c r="U41" i="17"/>
  <c r="R47" i="17"/>
  <c r="U52" i="17"/>
  <c r="S47" i="17"/>
  <c r="V52" i="17"/>
  <c r="R40" i="17"/>
  <c r="R41" i="17"/>
  <c r="T47" i="17"/>
  <c r="S40" i="17"/>
  <c r="S41" i="17"/>
  <c r="U47" i="17"/>
  <c r="T41" i="17"/>
  <c r="U40" i="17"/>
  <c r="R48" i="17"/>
  <c r="T44" i="17"/>
  <c r="T49" i="17"/>
  <c r="V49" i="17"/>
  <c r="S42" i="17"/>
  <c r="T42" i="17"/>
  <c r="U42" i="17"/>
  <c r="V42" i="17"/>
  <c r="U39" i="17"/>
  <c r="V50" i="17"/>
  <c r="S48" i="17"/>
  <c r="S44" i="17"/>
  <c r="S50" i="17"/>
  <c r="R44" i="17"/>
  <c r="R49" i="17"/>
  <c r="S49" i="17"/>
  <c r="U44" i="17"/>
  <c r="V41" i="17"/>
  <c r="U49" i="17"/>
  <c r="R42" i="17"/>
  <c r="R50" i="17"/>
  <c r="T50" i="17"/>
  <c r="T39" i="17"/>
  <c r="U50" i="17"/>
  <c r="V40" i="17"/>
  <c r="X50" i="17"/>
  <c r="O29" i="62"/>
  <c r="O63" i="62" s="1"/>
  <c r="J25" i="62"/>
  <c r="J59" i="62" s="1"/>
  <c r="O25" i="62"/>
  <c r="O59" i="62" s="1"/>
  <c r="H42" i="17"/>
  <c r="Q20" i="62"/>
  <c r="Q54" i="62" s="1"/>
  <c r="I44" i="17"/>
  <c r="BF22" i="71"/>
  <c r="BC22" i="71"/>
  <c r="BD22" i="71"/>
  <c r="AV22" i="71"/>
  <c r="AP22" i="71"/>
  <c r="W4" i="62"/>
  <c r="W38" i="62" s="1"/>
  <c r="T11" i="62"/>
  <c r="T45" i="62" s="1"/>
  <c r="S15" i="62"/>
  <c r="S49" i="62" s="1"/>
  <c r="T19" i="62"/>
  <c r="T53" i="62" s="1"/>
  <c r="U23" i="62"/>
  <c r="U57" i="62" s="1"/>
  <c r="V27" i="62"/>
  <c r="V61" i="62" s="1"/>
  <c r="W31" i="62"/>
  <c r="X4" i="62"/>
  <c r="X38" i="62" s="1"/>
  <c r="U11" i="62"/>
  <c r="U45" i="62" s="1"/>
  <c r="S16" i="62"/>
  <c r="S50" i="62" s="1"/>
  <c r="T20" i="62"/>
  <c r="U24" i="62"/>
  <c r="U58" i="62" s="1"/>
  <c r="V28" i="62"/>
  <c r="V62" i="62" s="1"/>
  <c r="W32" i="62"/>
  <c r="V11" i="62"/>
  <c r="V45" i="62" s="1"/>
  <c r="S17" i="62"/>
  <c r="S51" i="62" s="1"/>
  <c r="T21" i="62"/>
  <c r="T55" i="62" s="1"/>
  <c r="U25" i="62"/>
  <c r="U59" i="62" s="1"/>
  <c r="V29" i="62"/>
  <c r="V63" i="62" s="1"/>
  <c r="W33" i="62"/>
  <c r="W67" i="62" s="1"/>
  <c r="W11" i="62"/>
  <c r="W45" i="62" s="1"/>
  <c r="S18" i="62"/>
  <c r="S52" i="62" s="1"/>
  <c r="T22" i="62"/>
  <c r="T56" i="62" s="1"/>
  <c r="U26" i="62"/>
  <c r="U60" i="62" s="1"/>
  <c r="V30" i="62"/>
  <c r="V64" i="62" s="1"/>
  <c r="X14" i="62"/>
  <c r="X48" i="62" s="1"/>
  <c r="X8" i="62"/>
  <c r="X13" i="62"/>
  <c r="X47" i="62" s="1"/>
  <c r="T17" i="62"/>
  <c r="U29" i="62"/>
  <c r="U63" i="62" s="1"/>
  <c r="W17" i="62"/>
  <c r="W51" i="62" s="1"/>
  <c r="X25" i="62"/>
  <c r="X59" i="62" s="1"/>
  <c r="W12" i="62"/>
  <c r="W46" i="62" s="1"/>
  <c r="S14" i="62"/>
  <c r="S48" i="62" s="1"/>
  <c r="V14" i="62"/>
  <c r="X30" i="62"/>
  <c r="X7" i="62"/>
  <c r="S19" i="62"/>
  <c r="S53" i="62" s="1"/>
  <c r="V15" i="62"/>
  <c r="V49" i="62" s="1"/>
  <c r="X31" i="62"/>
  <c r="X65" i="62" s="1"/>
  <c r="S7" i="62"/>
  <c r="S41" i="62" s="1"/>
  <c r="S12" i="62"/>
  <c r="S46" i="62" s="1"/>
  <c r="T18" i="62"/>
  <c r="T52" i="62" s="1"/>
  <c r="U30" i="62"/>
  <c r="U64" i="62" s="1"/>
  <c r="W18" i="62"/>
  <c r="W52" i="62" s="1"/>
  <c r="X26" i="62"/>
  <c r="X60" i="62" s="1"/>
  <c r="T7" i="62"/>
  <c r="T41" i="62" s="1"/>
  <c r="T12" i="62"/>
  <c r="T46" i="62" s="1"/>
  <c r="T23" i="62"/>
  <c r="T57" i="62" s="1"/>
  <c r="U31" i="62"/>
  <c r="U65" i="62" s="1"/>
  <c r="W19" i="62"/>
  <c r="W53" i="62" s="1"/>
  <c r="X27" i="62"/>
  <c r="X61" i="62" s="1"/>
  <c r="U7" i="62"/>
  <c r="U41" i="62" s="1"/>
  <c r="U12" i="62"/>
  <c r="U46" i="62" s="1"/>
  <c r="T24" i="62"/>
  <c r="T58" i="62" s="1"/>
  <c r="U32" i="62"/>
  <c r="U66" i="62" s="1"/>
  <c r="W20" i="62"/>
  <c r="W54" i="62" s="1"/>
  <c r="X28" i="62"/>
  <c r="X62" i="62" s="1"/>
  <c r="V7" i="62"/>
  <c r="V41" i="62" s="1"/>
  <c r="S11" i="62"/>
  <c r="V12" i="62"/>
  <c r="V46" i="62" s="1"/>
  <c r="T25" i="62"/>
  <c r="T59" i="62" s="1"/>
  <c r="U33" i="62"/>
  <c r="W21" i="62"/>
  <c r="W55" i="62" s="1"/>
  <c r="X29" i="62"/>
  <c r="X63" i="62" s="1"/>
  <c r="W7" i="62"/>
  <c r="X11" i="62"/>
  <c r="X45" i="62" s="1"/>
  <c r="T26" i="62"/>
  <c r="W22" i="62"/>
  <c r="W56" i="62" s="1"/>
  <c r="X12" i="62"/>
  <c r="X46" i="62" s="1"/>
  <c r="T27" i="62"/>
  <c r="W23" i="62"/>
  <c r="W57" i="62" s="1"/>
  <c r="S28" i="62"/>
  <c r="S62" i="62" s="1"/>
  <c r="U27" i="62"/>
  <c r="U61" i="62" s="1"/>
  <c r="W29" i="62"/>
  <c r="W63" i="62" s="1"/>
  <c r="V10" i="62"/>
  <c r="V44" i="62" s="1"/>
  <c r="V18" i="62"/>
  <c r="V52" i="62" s="1"/>
  <c r="V19" i="62"/>
  <c r="V53" i="62" s="1"/>
  <c r="V5" i="62"/>
  <c r="V39" i="62" s="1"/>
  <c r="U13" i="62"/>
  <c r="U47" i="62" s="1"/>
  <c r="T14" i="62"/>
  <c r="T48" i="62" s="1"/>
  <c r="X19" i="62"/>
  <c r="X53" i="62" s="1"/>
  <c r="W5" i="62"/>
  <c r="V21" i="62"/>
  <c r="T16" i="62"/>
  <c r="T50" i="62" s="1"/>
  <c r="U4" i="62"/>
  <c r="U38" i="62" s="1"/>
  <c r="T28" i="62"/>
  <c r="T62" i="62" s="1"/>
  <c r="X22" i="62"/>
  <c r="X56" i="62" s="1"/>
  <c r="V24" i="62"/>
  <c r="V58" i="62" s="1"/>
  <c r="T30" i="62"/>
  <c r="X24" i="62"/>
  <c r="V26" i="62"/>
  <c r="S10" i="62"/>
  <c r="S44" i="62" s="1"/>
  <c r="S29" i="62"/>
  <c r="S63" i="62" s="1"/>
  <c r="U28" i="62"/>
  <c r="U62" i="62" s="1"/>
  <c r="W30" i="62"/>
  <c r="W64" i="62" s="1"/>
  <c r="X18" i="62"/>
  <c r="X52" i="62" s="1"/>
  <c r="X21" i="62"/>
  <c r="X55" i="62" s="1"/>
  <c r="T29" i="62"/>
  <c r="T63" i="62" s="1"/>
  <c r="S9" i="62"/>
  <c r="S43" i="62" s="1"/>
  <c r="T10" i="62"/>
  <c r="T44" i="62" s="1"/>
  <c r="S30" i="62"/>
  <c r="S64" i="62" s="1"/>
  <c r="V16" i="62"/>
  <c r="V50" i="62" s="1"/>
  <c r="X15" i="62"/>
  <c r="X49" i="62" s="1"/>
  <c r="S5" i="62"/>
  <c r="S39" i="62" s="1"/>
  <c r="U10" i="62"/>
  <c r="U44" i="62" s="1"/>
  <c r="S31" i="62"/>
  <c r="S65" i="62" s="1"/>
  <c r="V17" i="62"/>
  <c r="V51" i="62" s="1"/>
  <c r="X16" i="62"/>
  <c r="X50" i="62" s="1"/>
  <c r="T5" i="62"/>
  <c r="T39" i="62" s="1"/>
  <c r="S13" i="62"/>
  <c r="S47" i="62" s="1"/>
  <c r="S32" i="62"/>
  <c r="X17" i="62"/>
  <c r="U5" i="62"/>
  <c r="U39" i="62" s="1"/>
  <c r="W10" i="62"/>
  <c r="W44" i="62" s="1"/>
  <c r="T13" i="62"/>
  <c r="T47" i="62" s="1"/>
  <c r="S33" i="62"/>
  <c r="S67" i="62" s="1"/>
  <c r="X10" i="62"/>
  <c r="X44" i="62" s="1"/>
  <c r="V20" i="62"/>
  <c r="S4" i="62"/>
  <c r="V13" i="62"/>
  <c r="V47" i="62" s="1"/>
  <c r="T15" i="62"/>
  <c r="T49" i="62" s="1"/>
  <c r="X20" i="62"/>
  <c r="X54" i="62" s="1"/>
  <c r="X5" i="62"/>
  <c r="X39" i="62" s="1"/>
  <c r="T4" i="62"/>
  <c r="T38" i="62" s="1"/>
  <c r="W13" i="62"/>
  <c r="W47" i="62" s="1"/>
  <c r="V22" i="62"/>
  <c r="V56" i="62" s="1"/>
  <c r="V23" i="62"/>
  <c r="V57" i="62" s="1"/>
  <c r="V4" i="62"/>
  <c r="X23" i="62"/>
  <c r="X57" i="62" s="1"/>
  <c r="V25" i="62"/>
  <c r="V59" i="62" s="1"/>
  <c r="T9" i="62"/>
  <c r="T43" i="62" s="1"/>
  <c r="T31" i="62"/>
  <c r="T65" i="62" s="1"/>
  <c r="X32" i="62"/>
  <c r="U9" i="62"/>
  <c r="U43" i="62" s="1"/>
  <c r="S27" i="62"/>
  <c r="J20" i="62"/>
  <c r="J54" i="62" s="1"/>
  <c r="V9" i="62"/>
  <c r="V43" i="62" s="1"/>
  <c r="N10" i="62"/>
  <c r="N44" i="62" s="1"/>
  <c r="N16" i="62"/>
  <c r="N50" i="62" s="1"/>
  <c r="O20" i="62"/>
  <c r="O54" i="62" s="1"/>
  <c r="P24" i="62"/>
  <c r="Q28" i="62"/>
  <c r="Q62" i="62" s="1"/>
  <c r="R32" i="62"/>
  <c r="R66" i="62" s="1"/>
  <c r="O10" i="62"/>
  <c r="O44" i="62" s="1"/>
  <c r="N17" i="62"/>
  <c r="N51" i="62" s="1"/>
  <c r="O21" i="62"/>
  <c r="O55" i="62" s="1"/>
  <c r="P25" i="62"/>
  <c r="P59" i="62" s="1"/>
  <c r="Q29" i="62"/>
  <c r="Q63" i="62" s="1"/>
  <c r="R33" i="62"/>
  <c r="R67" i="62" s="1"/>
  <c r="P10" i="62"/>
  <c r="P44" i="62" s="1"/>
  <c r="M12" i="62"/>
  <c r="M46" i="62" s="1"/>
  <c r="M14" i="62"/>
  <c r="M48" i="62" s="1"/>
  <c r="N18" i="62"/>
  <c r="N52" i="62" s="1"/>
  <c r="O22" i="62"/>
  <c r="O56" i="62" s="1"/>
  <c r="P26" i="62"/>
  <c r="P60" i="62" s="1"/>
  <c r="Q30" i="62"/>
  <c r="Q64" i="62" s="1"/>
  <c r="Q10" i="62"/>
  <c r="Q44" i="62" s="1"/>
  <c r="N12" i="62"/>
  <c r="N46" i="62" s="1"/>
  <c r="M15" i="62"/>
  <c r="M49" i="62" s="1"/>
  <c r="N19" i="62"/>
  <c r="N53" i="62" s="1"/>
  <c r="O23" i="62"/>
  <c r="O57" i="62" s="1"/>
  <c r="P27" i="62"/>
  <c r="Q31" i="62"/>
  <c r="Q65" i="62" s="1"/>
  <c r="R7" i="62"/>
  <c r="R41" i="62" s="1"/>
  <c r="O11" i="62"/>
  <c r="O45" i="62" s="1"/>
  <c r="R12" i="62"/>
  <c r="R46" i="62" s="1"/>
  <c r="M22" i="62"/>
  <c r="M56" i="62" s="1"/>
  <c r="N30" i="62"/>
  <c r="N64" i="62" s="1"/>
  <c r="P18" i="62"/>
  <c r="P52" i="62" s="1"/>
  <c r="Q26" i="62"/>
  <c r="O9" i="62"/>
  <c r="O43" i="62" s="1"/>
  <c r="M27" i="62"/>
  <c r="M61" i="62" s="1"/>
  <c r="P23" i="62"/>
  <c r="P57" i="62" s="1"/>
  <c r="O16" i="62"/>
  <c r="O50" i="62" s="1"/>
  <c r="R16" i="62"/>
  <c r="R50" i="62" s="1"/>
  <c r="P6" i="62"/>
  <c r="P11" i="62"/>
  <c r="P45" i="62" s="1"/>
  <c r="M23" i="62"/>
  <c r="M57" i="62" s="1"/>
  <c r="N31" i="62"/>
  <c r="N65" i="62" s="1"/>
  <c r="P19" i="62"/>
  <c r="P53" i="62" s="1"/>
  <c r="Q27" i="62"/>
  <c r="Q61" i="62" s="1"/>
  <c r="Q11" i="62"/>
  <c r="Q45" i="62" s="1"/>
  <c r="M24" i="62"/>
  <c r="M58" i="62" s="1"/>
  <c r="N32" i="62"/>
  <c r="N66" i="62" s="1"/>
  <c r="P20" i="62"/>
  <c r="P54" i="62" s="1"/>
  <c r="Q32" i="62"/>
  <c r="Q66" i="62" s="1"/>
  <c r="R11" i="62"/>
  <c r="R45" i="62" s="1"/>
  <c r="M9" i="62"/>
  <c r="M43" i="62" s="1"/>
  <c r="M25" i="62"/>
  <c r="M59" i="62" s="1"/>
  <c r="N33" i="62"/>
  <c r="N67" i="62" s="1"/>
  <c r="P21" i="62"/>
  <c r="P55" i="62" s="1"/>
  <c r="Q33" i="62"/>
  <c r="Q67" i="62" s="1"/>
  <c r="M5" i="62"/>
  <c r="M39" i="62" s="1"/>
  <c r="M6" i="62"/>
  <c r="M40" i="62" s="1"/>
  <c r="N9" i="62"/>
  <c r="N43" i="62" s="1"/>
  <c r="M26" i="62"/>
  <c r="M60" i="62" s="1"/>
  <c r="O14" i="62"/>
  <c r="O48" i="62" s="1"/>
  <c r="P22" i="62"/>
  <c r="P56" i="62" s="1"/>
  <c r="R14" i="62"/>
  <c r="R48" i="62" s="1"/>
  <c r="N5" i="62"/>
  <c r="N39" i="62" s="1"/>
  <c r="N6" i="62"/>
  <c r="N40" i="62" s="1"/>
  <c r="O15" i="62"/>
  <c r="O49" i="62" s="1"/>
  <c r="R15" i="62"/>
  <c r="R49" i="62" s="1"/>
  <c r="O5" i="62"/>
  <c r="O39" i="62" s="1"/>
  <c r="O6" i="62"/>
  <c r="O40" i="62" s="1"/>
  <c r="P9" i="62"/>
  <c r="P43" i="62" s="1"/>
  <c r="M28" i="62"/>
  <c r="M62" i="62" s="1"/>
  <c r="P28" i="62"/>
  <c r="P62" i="62" s="1"/>
  <c r="P5" i="62"/>
  <c r="P39" i="62" s="1"/>
  <c r="R10" i="62"/>
  <c r="O13" i="62"/>
  <c r="O47" i="62" s="1"/>
  <c r="P12" i="62"/>
  <c r="P46" i="62" s="1"/>
  <c r="N20" i="62"/>
  <c r="P15" i="62"/>
  <c r="P49" i="62" s="1"/>
  <c r="R21" i="62"/>
  <c r="R55" i="62" s="1"/>
  <c r="P7" i="62"/>
  <c r="P41" i="62" s="1"/>
  <c r="P30" i="62"/>
  <c r="P64" i="62" s="1"/>
  <c r="Q7" i="62"/>
  <c r="N25" i="62"/>
  <c r="N59" i="62" s="1"/>
  <c r="R26" i="62"/>
  <c r="R60" i="62" s="1"/>
  <c r="N26" i="62"/>
  <c r="N60" i="62" s="1"/>
  <c r="R27" i="62"/>
  <c r="R61" i="62" s="1"/>
  <c r="N27" i="62"/>
  <c r="N61" i="62" s="1"/>
  <c r="R28" i="62"/>
  <c r="R62" i="62" s="1"/>
  <c r="Q14" i="62"/>
  <c r="Q48" i="62" s="1"/>
  <c r="N29" i="62"/>
  <c r="N63" i="62" s="1"/>
  <c r="Q15" i="62"/>
  <c r="Q49" i="62" s="1"/>
  <c r="O17" i="62"/>
  <c r="O51" i="62" s="1"/>
  <c r="M8" i="62"/>
  <c r="M42" i="62" s="1"/>
  <c r="Q17" i="62"/>
  <c r="Q51" i="62" s="1"/>
  <c r="O19" i="62"/>
  <c r="O53" i="62" s="1"/>
  <c r="Q5" i="62"/>
  <c r="Q39" i="62" s="1"/>
  <c r="M4" i="62"/>
  <c r="M7" i="62"/>
  <c r="M41" i="62" s="1"/>
  <c r="P13" i="62"/>
  <c r="P47" i="62" s="1"/>
  <c r="Q12" i="62"/>
  <c r="Q46" i="62" s="1"/>
  <c r="N21" i="62"/>
  <c r="N55" i="62" s="1"/>
  <c r="P16" i="62"/>
  <c r="P50" i="62" s="1"/>
  <c r="R22" i="62"/>
  <c r="R56" i="62" s="1"/>
  <c r="Q9" i="62"/>
  <c r="Q43" i="62" s="1"/>
  <c r="M16" i="62"/>
  <c r="M50" i="62" s="1"/>
  <c r="R5" i="62"/>
  <c r="R39" i="62" s="1"/>
  <c r="N4" i="62"/>
  <c r="N38" i="62" s="1"/>
  <c r="N7" i="62"/>
  <c r="N41" i="62" s="1"/>
  <c r="Q13" i="62"/>
  <c r="Q47" i="62" s="1"/>
  <c r="N22" i="62"/>
  <c r="N56" i="62" s="1"/>
  <c r="P17" i="62"/>
  <c r="P51" i="62" s="1"/>
  <c r="R23" i="62"/>
  <c r="R57" i="62" s="1"/>
  <c r="O4" i="62"/>
  <c r="O7" i="62"/>
  <c r="O41" i="62" s="1"/>
  <c r="R13" i="62"/>
  <c r="R47" i="62" s="1"/>
  <c r="N23" i="62"/>
  <c r="N57" i="62" s="1"/>
  <c r="P29" i="62"/>
  <c r="P63" i="62" s="1"/>
  <c r="R24" i="62"/>
  <c r="R58" i="62" s="1"/>
  <c r="P4" i="62"/>
  <c r="P38" i="62" s="1"/>
  <c r="N24" i="62"/>
  <c r="N58" i="62" s="1"/>
  <c r="R25" i="62"/>
  <c r="R59" i="62" s="1"/>
  <c r="Q4" i="62"/>
  <c r="Q38" i="62" s="1"/>
  <c r="P31" i="62"/>
  <c r="P65" i="62" s="1"/>
  <c r="R4" i="62"/>
  <c r="R38" i="62" s="1"/>
  <c r="P32" i="62"/>
  <c r="P66" i="62" s="1"/>
  <c r="P33" i="62"/>
  <c r="P67" i="62" s="1"/>
  <c r="N28" i="62"/>
  <c r="N62" i="62" s="1"/>
  <c r="R29" i="62"/>
  <c r="R63" i="62" s="1"/>
  <c r="R30" i="62"/>
  <c r="R64" i="62" s="1"/>
  <c r="R9" i="62"/>
  <c r="R43" i="62" s="1"/>
  <c r="Q16" i="62"/>
  <c r="Q50" i="62" s="1"/>
  <c r="R31" i="62"/>
  <c r="R65" i="62" s="1"/>
  <c r="O18" i="62"/>
  <c r="O52" i="62" s="1"/>
  <c r="N8" i="62"/>
  <c r="N42" i="62" s="1"/>
  <c r="M17" i="62"/>
  <c r="M51" i="62" s="1"/>
  <c r="Q18" i="62"/>
  <c r="Q52" i="62" s="1"/>
  <c r="O8" i="62"/>
  <c r="O42" i="62" s="1"/>
  <c r="M11" i="62"/>
  <c r="M45" i="62" s="1"/>
  <c r="M18" i="62"/>
  <c r="M52" i="62" s="1"/>
  <c r="O24" i="62"/>
  <c r="O58" i="62" s="1"/>
  <c r="Q19" i="62"/>
  <c r="Q53" i="62" s="1"/>
  <c r="H52" i="17"/>
  <c r="G7" i="62"/>
  <c r="G41" i="62" s="1"/>
  <c r="I8" i="62"/>
  <c r="I42" i="62" s="1"/>
  <c r="G9" i="62"/>
  <c r="G43" i="62" s="1"/>
  <c r="K12" i="62"/>
  <c r="K46" i="62" s="1"/>
  <c r="I17" i="62"/>
  <c r="I51" i="62" s="1"/>
  <c r="J21" i="62"/>
  <c r="J55" i="62" s="1"/>
  <c r="K25" i="62"/>
  <c r="K59" i="62" s="1"/>
  <c r="L29" i="62"/>
  <c r="L63" i="62" s="1"/>
  <c r="G5" i="62"/>
  <c r="G39" i="62" s="1"/>
  <c r="H7" i="62"/>
  <c r="H41" i="62" s="1"/>
  <c r="J8" i="62"/>
  <c r="J42" i="62" s="1"/>
  <c r="H9" i="62"/>
  <c r="H43" i="62" s="1"/>
  <c r="L12" i="62"/>
  <c r="L46" i="62" s="1"/>
  <c r="G22" i="62"/>
  <c r="G56" i="62" s="1"/>
  <c r="H14" i="62"/>
  <c r="H48" i="62" s="1"/>
  <c r="I18" i="62"/>
  <c r="I52" i="62" s="1"/>
  <c r="J22" i="62"/>
  <c r="J56" i="62" s="1"/>
  <c r="K26" i="62"/>
  <c r="K60" i="62" s="1"/>
  <c r="L30" i="62"/>
  <c r="L64" i="62" s="1"/>
  <c r="H5" i="62"/>
  <c r="H39" i="62" s="1"/>
  <c r="I7" i="62"/>
  <c r="I41" i="62" s="1"/>
  <c r="K8" i="62"/>
  <c r="K42" i="62" s="1"/>
  <c r="I9" i="62"/>
  <c r="I43" i="62" s="1"/>
  <c r="H15" i="62"/>
  <c r="H49" i="62" s="1"/>
  <c r="I19" i="62"/>
  <c r="I53" i="62" s="1"/>
  <c r="J23" i="62"/>
  <c r="J57" i="62" s="1"/>
  <c r="K27" i="62"/>
  <c r="K61" i="62" s="1"/>
  <c r="L31" i="62"/>
  <c r="L65" i="62" s="1"/>
  <c r="I5" i="62"/>
  <c r="J7" i="62"/>
  <c r="J41" i="62" s="1"/>
  <c r="L8" i="62"/>
  <c r="L42" i="62" s="1"/>
  <c r="J9" i="62"/>
  <c r="J43" i="62" s="1"/>
  <c r="G23" i="62"/>
  <c r="G57" i="62" s="1"/>
  <c r="H16" i="62"/>
  <c r="H50" i="62" s="1"/>
  <c r="I20" i="62"/>
  <c r="I54" i="62" s="1"/>
  <c r="J24" i="62"/>
  <c r="J58" i="62" s="1"/>
  <c r="K28" i="62"/>
  <c r="K62" i="62" s="1"/>
  <c r="L32" i="62"/>
  <c r="L66" i="62" s="1"/>
  <c r="I6" i="62"/>
  <c r="I40" i="62" s="1"/>
  <c r="G20" i="62"/>
  <c r="G54" i="62" s="1"/>
  <c r="G33" i="62"/>
  <c r="G67" i="62" s="1"/>
  <c r="I23" i="62"/>
  <c r="I57" i="62" s="1"/>
  <c r="J31" i="62"/>
  <c r="J65" i="62" s="1"/>
  <c r="L19" i="62"/>
  <c r="L53" i="62" s="1"/>
  <c r="I28" i="62"/>
  <c r="I62" i="62" s="1"/>
  <c r="L24" i="62"/>
  <c r="L58" i="62" s="1"/>
  <c r="G24" i="62"/>
  <c r="G58" i="62" s="1"/>
  <c r="I29" i="62"/>
  <c r="I63" i="62" s="1"/>
  <c r="L25" i="62"/>
  <c r="L59" i="62" s="1"/>
  <c r="I4" i="62"/>
  <c r="I38" i="62" s="1"/>
  <c r="L10" i="62"/>
  <c r="L44" i="62" s="1"/>
  <c r="J5" i="62"/>
  <c r="J39" i="62" s="1"/>
  <c r="J6" i="62"/>
  <c r="J40" i="62" s="1"/>
  <c r="K9" i="62"/>
  <c r="K43" i="62" s="1"/>
  <c r="I24" i="62"/>
  <c r="I58" i="62" s="1"/>
  <c r="J32" i="62"/>
  <c r="J66" i="62" s="1"/>
  <c r="L20" i="62"/>
  <c r="L54" i="62" s="1"/>
  <c r="K14" i="62"/>
  <c r="K48" i="62" s="1"/>
  <c r="K5" i="62"/>
  <c r="K39" i="62" s="1"/>
  <c r="K6" i="62"/>
  <c r="K40" i="62" s="1"/>
  <c r="G10" i="62"/>
  <c r="G44" i="62" s="1"/>
  <c r="L9" i="62"/>
  <c r="L43" i="62" s="1"/>
  <c r="G21" i="62"/>
  <c r="G55" i="62" s="1"/>
  <c r="H17" i="62"/>
  <c r="H51" i="62" s="1"/>
  <c r="I25" i="62"/>
  <c r="I59" i="62" s="1"/>
  <c r="J33" i="62"/>
  <c r="J67" i="62" s="1"/>
  <c r="L21" i="62"/>
  <c r="L55" i="62" s="1"/>
  <c r="L5" i="62"/>
  <c r="L39" i="62" s="1"/>
  <c r="L6" i="62"/>
  <c r="L40" i="62" s="1"/>
  <c r="H10" i="62"/>
  <c r="H44" i="62" s="1"/>
  <c r="H18" i="62"/>
  <c r="H52" i="62" s="1"/>
  <c r="I26" i="62"/>
  <c r="I60" i="62" s="1"/>
  <c r="L22" i="62"/>
  <c r="L56" i="62" s="1"/>
  <c r="I10" i="62"/>
  <c r="I44" i="62" s="1"/>
  <c r="H19" i="62"/>
  <c r="H53" i="62" s="1"/>
  <c r="I27" i="62"/>
  <c r="I61" i="62" s="1"/>
  <c r="K15" i="62"/>
  <c r="K49" i="62" s="1"/>
  <c r="L23" i="62"/>
  <c r="L57" i="62" s="1"/>
  <c r="G4" i="62"/>
  <c r="G38" i="62" s="1"/>
  <c r="J10" i="62"/>
  <c r="J44" i="62" s="1"/>
  <c r="H20" i="62"/>
  <c r="H54" i="62" s="1"/>
  <c r="K16" i="62"/>
  <c r="K50" i="62" s="1"/>
  <c r="H4" i="62"/>
  <c r="H38" i="62" s="1"/>
  <c r="K10" i="62"/>
  <c r="K44" i="62" s="1"/>
  <c r="H21" i="62"/>
  <c r="H55" i="62" s="1"/>
  <c r="K17" i="62"/>
  <c r="K51" i="62" s="1"/>
  <c r="L4" i="62"/>
  <c r="L38" i="62" s="1"/>
  <c r="L7" i="62"/>
  <c r="L41" i="62" s="1"/>
  <c r="H28" i="62"/>
  <c r="H62" i="62" s="1"/>
  <c r="J27" i="62"/>
  <c r="J61" i="62" s="1"/>
  <c r="L33" i="62"/>
  <c r="L67" i="62" s="1"/>
  <c r="G26" i="62"/>
  <c r="G60" i="62" s="1"/>
  <c r="H32" i="62"/>
  <c r="H66" i="62" s="1"/>
  <c r="G27" i="62"/>
  <c r="G61" i="62" s="1"/>
  <c r="I14" i="62"/>
  <c r="I48" i="62" s="1"/>
  <c r="G11" i="62"/>
  <c r="G45" i="62" s="1"/>
  <c r="I15" i="62"/>
  <c r="I49" i="62" s="1"/>
  <c r="K21" i="62"/>
  <c r="K55" i="62" s="1"/>
  <c r="H11" i="62"/>
  <c r="H45" i="62" s="1"/>
  <c r="K22" i="62"/>
  <c r="K56" i="62" s="1"/>
  <c r="I11" i="62"/>
  <c r="I45" i="62" s="1"/>
  <c r="I21" i="62"/>
  <c r="I55" i="62" s="1"/>
  <c r="J11" i="62"/>
  <c r="J45" i="62" s="1"/>
  <c r="K24" i="62"/>
  <c r="K58" i="62" s="1"/>
  <c r="G30" i="62"/>
  <c r="G64" i="62" s="1"/>
  <c r="K29" i="62"/>
  <c r="K63" i="62" s="1"/>
  <c r="L11" i="62"/>
  <c r="L45" i="62" s="1"/>
  <c r="K30" i="62"/>
  <c r="K64" i="62" s="1"/>
  <c r="G25" i="62"/>
  <c r="G59" i="62" s="1"/>
  <c r="H29" i="62"/>
  <c r="H63" i="62" s="1"/>
  <c r="J28" i="62"/>
  <c r="J62" i="62" s="1"/>
  <c r="G29" i="62"/>
  <c r="G63" i="62" s="1"/>
  <c r="H30" i="62"/>
  <c r="H64" i="62" s="1"/>
  <c r="J29" i="62"/>
  <c r="J63" i="62" s="1"/>
  <c r="H31" i="62"/>
  <c r="H65" i="62" s="1"/>
  <c r="J30" i="62"/>
  <c r="J64" i="62" s="1"/>
  <c r="K18" i="62"/>
  <c r="K52" i="62" s="1"/>
  <c r="H33" i="62"/>
  <c r="H67" i="62" s="1"/>
  <c r="K19" i="62"/>
  <c r="K53" i="62" s="1"/>
  <c r="K20" i="62"/>
  <c r="K54" i="62" s="1"/>
  <c r="G28" i="62"/>
  <c r="G62" i="62" s="1"/>
  <c r="G14" i="62"/>
  <c r="G48" i="62" s="1"/>
  <c r="I16" i="62"/>
  <c r="I50" i="62" s="1"/>
  <c r="G8" i="62"/>
  <c r="G42" i="62" s="1"/>
  <c r="K23" i="62"/>
  <c r="K57" i="62" s="1"/>
  <c r="H8" i="62"/>
  <c r="H42" i="62" s="1"/>
  <c r="G15" i="62"/>
  <c r="G49" i="62" s="1"/>
  <c r="I22" i="62"/>
  <c r="I56" i="62" s="1"/>
  <c r="K11" i="62"/>
  <c r="K45" i="62" s="1"/>
  <c r="I30" i="62"/>
  <c r="I64" i="62" s="1"/>
  <c r="G6" i="62"/>
  <c r="G40" i="62" s="1"/>
  <c r="G16" i="62"/>
  <c r="G50" i="62" s="1"/>
  <c r="I31" i="62"/>
  <c r="I65" i="62" s="1"/>
  <c r="H6" i="62"/>
  <c r="H40" i="62" s="1"/>
  <c r="G31" i="62"/>
  <c r="G65" i="62" s="1"/>
  <c r="I32" i="62"/>
  <c r="I66" i="62" s="1"/>
  <c r="K31" i="62"/>
  <c r="K65" i="62" s="1"/>
  <c r="N15" i="62"/>
  <c r="N49" i="62" s="1"/>
  <c r="J16" i="62"/>
  <c r="J50" i="62" s="1"/>
  <c r="AU19" i="19"/>
  <c r="AR22" i="68"/>
  <c r="BC22" i="68"/>
  <c r="AV22" i="68"/>
  <c r="AT22" i="68"/>
  <c r="BD22" i="68"/>
  <c r="BG22" i="68"/>
  <c r="AP22" i="68"/>
  <c r="BH22" i="68"/>
  <c r="BA22" i="68"/>
  <c r="AO22" i="68"/>
  <c r="AZ22" i="68"/>
  <c r="AY22" i="68"/>
  <c r="BE22" i="68"/>
  <c r="AX22" i="68"/>
  <c r="AW22" i="68"/>
  <c r="AI22" i="68" s="1"/>
  <c r="AQ22" i="68"/>
  <c r="AH22" i="68" s="1"/>
  <c r="BF22" i="68"/>
  <c r="N14" i="62"/>
  <c r="N48" i="62" s="1"/>
  <c r="J15" i="62"/>
  <c r="J49" i="62" s="1"/>
  <c r="M33" i="62"/>
  <c r="M67" i="62" s="1"/>
  <c r="J14" i="62"/>
  <c r="J48" i="62" s="1"/>
  <c r="I13" i="62"/>
  <c r="I47" i="62" s="1"/>
  <c r="M32" i="62"/>
  <c r="M66" i="62" s="1"/>
  <c r="I33" i="62"/>
  <c r="I67" i="62" s="1"/>
  <c r="H13" i="62"/>
  <c r="H47" i="62" s="1"/>
  <c r="G18" i="62"/>
  <c r="G52" i="62" s="1"/>
  <c r="R19" i="62"/>
  <c r="R53" i="62" s="1"/>
  <c r="M30" i="62"/>
  <c r="M64" i="62" s="1"/>
  <c r="H26" i="62"/>
  <c r="H60" i="62" s="1"/>
  <c r="D46" i="17"/>
  <c r="R18" i="62"/>
  <c r="R52" i="62" s="1"/>
  <c r="H25" i="62"/>
  <c r="H59" i="62" s="1"/>
  <c r="C46" i="17"/>
  <c r="N11" i="62"/>
  <c r="N45" i="62" s="1"/>
  <c r="R17" i="62"/>
  <c r="R51" i="62" s="1"/>
  <c r="M10" i="62"/>
  <c r="M44" i="62" s="1"/>
  <c r="K4" i="62"/>
  <c r="AU20" i="19"/>
  <c r="M20" i="62"/>
  <c r="M54" i="62" s="1"/>
  <c r="L28" i="62"/>
  <c r="L62" i="62" s="1"/>
  <c r="J4" i="62"/>
  <c r="J38" i="62" s="1"/>
  <c r="M19" i="62"/>
  <c r="M53" i="62" s="1"/>
  <c r="H22" i="62"/>
  <c r="H56" i="62" s="1"/>
  <c r="I45" i="17"/>
  <c r="Q22" i="62"/>
  <c r="Q56" i="62" s="1"/>
  <c r="L18" i="62"/>
  <c r="L52" i="62" s="1"/>
  <c r="D45" i="17"/>
  <c r="AR19" i="19"/>
  <c r="AJ19" i="19"/>
  <c r="G32" i="62"/>
  <c r="G66" i="62" s="1"/>
  <c r="J12" i="62"/>
  <c r="J46" i="62" s="1"/>
  <c r="L16" i="62"/>
  <c r="L50" i="62" s="1"/>
  <c r="D42" i="17"/>
  <c r="J44" i="17"/>
  <c r="H12" i="62"/>
  <c r="H46" i="62" s="1"/>
  <c r="AN19" i="19"/>
  <c r="O33" i="62"/>
  <c r="O67" i="62" s="1"/>
  <c r="L14" i="62"/>
  <c r="L48" i="62" s="1"/>
  <c r="Q8" i="62"/>
  <c r="Q42" i="62" s="1"/>
  <c r="H44" i="17"/>
  <c r="P8" i="62"/>
  <c r="P42" i="62" s="1"/>
  <c r="Z43" i="17"/>
  <c r="X41" i="17"/>
  <c r="Y41" i="17"/>
  <c r="AA46" i="17"/>
  <c r="AB46" i="17"/>
  <c r="AC6" i="62"/>
  <c r="AC40" i="62" s="1"/>
  <c r="Z4" i="62"/>
  <c r="Z38" i="62" s="1"/>
  <c r="AA4" i="62"/>
  <c r="AA38" i="62" s="1"/>
  <c r="AC16" i="62"/>
  <c r="Y7" i="62"/>
  <c r="AC17" i="62"/>
  <c r="AC29" i="62"/>
  <c r="AD21" i="62"/>
  <c r="AD25" i="62"/>
  <c r="AD26" i="62"/>
  <c r="AA30" i="62"/>
  <c r="AB25" i="62"/>
  <c r="AB59" i="62" s="1"/>
  <c r="AB17" i="62"/>
  <c r="Z5" i="62"/>
  <c r="Z39" i="62" s="1"/>
  <c r="AC12" i="62"/>
  <c r="AC46" i="62" s="1"/>
  <c r="AB24" i="62"/>
  <c r="AC15" i="62"/>
  <c r="Y22" i="62"/>
  <c r="Y56" i="62" s="1"/>
  <c r="BA22" i="67"/>
  <c r="AP18" i="19"/>
  <c r="AG18" i="19"/>
  <c r="AR18" i="19"/>
  <c r="AO18" i="19"/>
  <c r="AS18" i="19"/>
  <c r="AI18" i="19"/>
  <c r="AZ18" i="19"/>
  <c r="AW18" i="19"/>
  <c r="AH18" i="19"/>
  <c r="AX18" i="19"/>
  <c r="BD21" i="66"/>
  <c r="AW21" i="66"/>
  <c r="AR21" i="66"/>
  <c r="AT21" i="66"/>
  <c r="BH21" i="66"/>
  <c r="BF21" i="66"/>
  <c r="AS21" i="66"/>
  <c r="BE21" i="66"/>
  <c r="O43" i="17"/>
  <c r="M42" i="17"/>
  <c r="P43" i="17"/>
  <c r="N42" i="17"/>
  <c r="O42" i="17"/>
  <c r="L48" i="17"/>
  <c r="P42" i="17"/>
  <c r="M48" i="17"/>
  <c r="P40" i="17"/>
  <c r="P41" i="17"/>
  <c r="P48" i="17"/>
  <c r="M45" i="17"/>
  <c r="L51" i="17"/>
  <c r="O49" i="17"/>
  <c r="L42" i="17"/>
  <c r="M43" i="17"/>
  <c r="L49" i="17"/>
  <c r="L43" i="17"/>
  <c r="L45" i="17"/>
  <c r="M49" i="17"/>
  <c r="N43" i="17"/>
  <c r="N49" i="17"/>
  <c r="N45" i="17"/>
  <c r="P44" i="17"/>
  <c r="P49" i="17"/>
  <c r="M41" i="17"/>
  <c r="N39" i="17"/>
  <c r="O41" i="17"/>
  <c r="O45" i="17"/>
  <c r="P45" i="17"/>
  <c r="N52" i="17"/>
  <c r="L46" i="17"/>
  <c r="M46" i="17"/>
  <c r="L50" i="17"/>
  <c r="M50" i="17"/>
  <c r="M39" i="17"/>
  <c r="L41" i="17"/>
  <c r="N50" i="17"/>
  <c r="L39" i="17"/>
  <c r="O50" i="17"/>
  <c r="N41" i="17"/>
  <c r="P50" i="17"/>
  <c r="O39" i="17"/>
  <c r="L52" i="17"/>
  <c r="P39" i="17"/>
  <c r="M52" i="17"/>
  <c r="O52" i="17"/>
  <c r="L40" i="17"/>
  <c r="P52" i="17"/>
  <c r="M40" i="17"/>
  <c r="N40" i="17"/>
  <c r="O40" i="17"/>
  <c r="N46" i="17"/>
  <c r="X33" i="62"/>
  <c r="S26" i="62"/>
  <c r="V43" i="17"/>
  <c r="O27" i="62"/>
  <c r="O61" i="62" s="1"/>
  <c r="N44" i="17"/>
  <c r="J19" i="62"/>
  <c r="J53" i="62" s="1"/>
  <c r="J52" i="17"/>
  <c r="N13" i="62"/>
  <c r="N47" i="62" s="1"/>
  <c r="Y6" i="62"/>
  <c r="Y40" i="62" s="1"/>
  <c r="AZ108" i="62"/>
  <c r="AQ23" i="68"/>
  <c r="AW23" i="68"/>
  <c r="AO23" i="67"/>
  <c r="BD23" i="67"/>
  <c r="AV23" i="67"/>
  <c r="AT23" i="67"/>
  <c r="BC23" i="67"/>
  <c r="AR23" i="67"/>
  <c r="BF23" i="67"/>
  <c r="AP23" i="67"/>
  <c r="AQ23" i="67"/>
  <c r="AV23" i="68"/>
  <c r="AW22" i="66"/>
  <c r="AS22" i="66"/>
  <c r="AV22" i="66"/>
  <c r="AT22" i="66"/>
  <c r="AX23" i="67"/>
  <c r="AV20" i="68"/>
  <c r="BG20" i="68"/>
  <c r="AZ20" i="68"/>
  <c r="AS20" i="68"/>
  <c r="BH20" i="68"/>
  <c r="AV20" i="69"/>
  <c r="AO21" i="71"/>
  <c r="AW21" i="71"/>
  <c r="AQ20" i="67"/>
  <c r="AV20" i="67"/>
  <c r="BF20" i="67"/>
  <c r="BA20" i="68"/>
  <c r="AO21" i="74"/>
  <c r="B29" i="4"/>
  <c r="U159" i="5"/>
  <c r="V159" i="5" s="1"/>
  <c r="AD159" i="5" s="1"/>
  <c r="C32" i="17"/>
  <c r="H161" i="5"/>
  <c r="N161" i="5" s="1"/>
  <c r="P161" i="5"/>
  <c r="O161" i="5"/>
  <c r="AB5" i="7"/>
  <c r="AA163" i="5"/>
  <c r="CK9" i="5"/>
  <c r="CM9" i="5"/>
  <c r="CL9" i="5"/>
  <c r="O65" i="7"/>
  <c r="BY9" i="5"/>
  <c r="CE9" i="5"/>
  <c r="I65" i="7"/>
  <c r="DH8" i="5"/>
  <c r="AQ8" i="5"/>
  <c r="D64" i="7" s="1"/>
  <c r="DD8" i="5"/>
  <c r="BB8" i="5"/>
  <c r="AZ8" i="5"/>
  <c r="BX9" i="5"/>
  <c r="CH9" i="5"/>
  <c r="AY7" i="5"/>
  <c r="BD7" i="5"/>
  <c r="BA7" i="5"/>
  <c r="BK7" i="5"/>
  <c r="DB7" i="5"/>
  <c r="BC7" i="5" s="1"/>
  <c r="DD7" i="5"/>
  <c r="BB7" i="5"/>
  <c r="DH7" i="5"/>
  <c r="AZ7" i="5"/>
  <c r="CN9" i="5"/>
  <c r="Q65" i="7"/>
  <c r="DD6" i="5"/>
  <c r="DB6" i="5"/>
  <c r="BC6" i="5" s="1"/>
  <c r="AQ6" i="5"/>
  <c r="BB6" i="5" s="1"/>
  <c r="BA6" i="5"/>
  <c r="AR6" i="5"/>
  <c r="AR7" i="5"/>
  <c r="AT7" i="5" s="1"/>
  <c r="P65" i="7"/>
  <c r="K65" i="7"/>
  <c r="BI9" i="5"/>
  <c r="DB8" i="5"/>
  <c r="BC8" i="5" s="1"/>
  <c r="DF8" i="5"/>
  <c r="AZ10" i="5"/>
  <c r="BA10" i="5"/>
  <c r="BB10" i="5"/>
  <c r="BE9" i="5"/>
  <c r="BU9" i="5"/>
  <c r="AY9" i="5"/>
  <c r="AS9" i="5"/>
  <c r="J9" i="4"/>
  <c r="DB5" i="5"/>
  <c r="BC5" i="5" s="1"/>
  <c r="BM9" i="5"/>
  <c r="B8" i="64"/>
  <c r="D8" i="64" s="1"/>
  <c r="I8" i="64" s="1"/>
  <c r="DC9" i="5"/>
  <c r="BN9" i="5"/>
  <c r="BL9" i="5"/>
  <c r="BO9" i="5" s="1"/>
  <c r="AW9" i="5"/>
  <c r="AI26" i="68"/>
  <c r="BT53" i="17"/>
  <c r="AN53" i="17"/>
  <c r="AH53" i="17"/>
  <c r="AT53" i="17"/>
  <c r="BD53" i="17"/>
  <c r="AX53" i="17"/>
  <c r="AV53" i="17"/>
  <c r="AD53" i="17"/>
  <c r="BH53" i="17"/>
  <c r="BB53" i="17"/>
  <c r="O59" i="6"/>
  <c r="N61" i="6"/>
  <c r="U58" i="6"/>
  <c r="O60" i="6"/>
  <c r="M62" i="6"/>
  <c r="N62" i="6"/>
  <c r="M60" i="6"/>
  <c r="O61" i="6"/>
  <c r="O62" i="6"/>
  <c r="L60" i="6"/>
  <c r="N12" i="6" s="1"/>
  <c r="O63" i="6"/>
  <c r="L64" i="6"/>
  <c r="K61" i="6"/>
  <c r="L63" i="6"/>
  <c r="O64" i="6"/>
  <c r="N64" i="6"/>
  <c r="L62" i="6"/>
  <c r="L65" i="6"/>
  <c r="M59" i="6"/>
  <c r="U61" i="6"/>
  <c r="M64" i="6"/>
  <c r="M65" i="6"/>
  <c r="U63" i="6"/>
  <c r="W50" i="6"/>
  <c r="U50" i="6"/>
  <c r="V50" i="6"/>
  <c r="K51" i="6"/>
  <c r="H22" i="6"/>
  <c r="W51" i="6"/>
  <c r="V51" i="6"/>
  <c r="U51" i="6"/>
  <c r="O67" i="6"/>
  <c r="M56" i="6"/>
  <c r="L53" i="6"/>
  <c r="M54" i="6"/>
  <c r="L54" i="6"/>
  <c r="N50" i="6"/>
  <c r="N51" i="6"/>
  <c r="M53" i="6"/>
  <c r="L55" i="6"/>
  <c r="L56" i="6"/>
  <c r="O50" i="6"/>
  <c r="O51" i="6"/>
  <c r="O52" i="6"/>
  <c r="O54" i="6"/>
  <c r="L50" i="6"/>
  <c r="O55" i="6"/>
  <c r="L51" i="6"/>
  <c r="O56" i="6"/>
  <c r="N53" i="6"/>
  <c r="L52" i="6"/>
  <c r="M52" i="6"/>
  <c r="N175" i="5"/>
  <c r="P181" i="5"/>
  <c r="O181" i="5"/>
  <c r="L5" i="7"/>
  <c r="U161" i="5"/>
  <c r="V161" i="5" s="1"/>
  <c r="W161" i="5" s="1"/>
  <c r="D7" i="15" s="1"/>
  <c r="C6" i="17" s="1"/>
  <c r="U162" i="5"/>
  <c r="V162" i="5" s="1"/>
  <c r="AD162" i="5" s="1"/>
  <c r="U160" i="5"/>
  <c r="V160" i="5" s="1"/>
  <c r="AE160" i="5" s="1"/>
  <c r="AW27" i="5"/>
  <c r="BN27" i="5"/>
  <c r="BX16" i="5"/>
  <c r="CJ16" i="5"/>
  <c r="CM16" i="5"/>
  <c r="CK16" i="5"/>
  <c r="CQ16" i="5"/>
  <c r="CN16" i="5"/>
  <c r="CO16" i="5"/>
  <c r="CI16" i="5"/>
  <c r="BY16" i="5"/>
  <c r="BW16" i="5"/>
  <c r="CH16" i="5"/>
  <c r="BV16" i="5"/>
  <c r="CA16" i="5" s="1"/>
  <c r="AS50" i="5"/>
  <c r="AU28" i="5"/>
  <c r="P31" i="74"/>
  <c r="AG31" i="74" s="1"/>
  <c r="P31" i="67"/>
  <c r="CK12" i="5"/>
  <c r="CP12" i="5"/>
  <c r="CQ12" i="5"/>
  <c r="AE163" i="5"/>
  <c r="BY12" i="5"/>
  <c r="CM12" i="5"/>
  <c r="BL45" i="5"/>
  <c r="BN45" i="5" s="1"/>
  <c r="J26" i="4" s="1"/>
  <c r="BV12" i="5"/>
  <c r="CL12" i="5"/>
  <c r="BX12" i="5"/>
  <c r="AV11" i="5"/>
  <c r="BU11" i="5"/>
  <c r="AT11" i="5"/>
  <c r="BF11" i="5"/>
  <c r="BH11" i="5"/>
  <c r="BD11" i="5"/>
  <c r="DC11" i="5"/>
  <c r="BL11" i="5"/>
  <c r="BE11" i="5"/>
  <c r="AU11" i="5"/>
  <c r="BT11" i="5"/>
  <c r="AS11" i="5"/>
  <c r="J11" i="4"/>
  <c r="BJ11" i="5"/>
  <c r="AW11" i="5"/>
  <c r="BK11" i="5"/>
  <c r="BN11" i="5"/>
  <c r="E67" i="7"/>
  <c r="BM11" i="5"/>
  <c r="BG11" i="5"/>
  <c r="BH45" i="5"/>
  <c r="BK45" i="5" s="1"/>
  <c r="M26" i="4" s="1"/>
  <c r="P31" i="66"/>
  <c r="P31" i="68"/>
  <c r="B32" i="64"/>
  <c r="D32" i="64" s="1"/>
  <c r="B34" i="64"/>
  <c r="D34" i="64" s="1"/>
  <c r="CL13" i="5"/>
  <c r="O69" i="7"/>
  <c r="R69" i="7"/>
  <c r="B13" i="64"/>
  <c r="D13" i="64" s="1"/>
  <c r="BG13" i="5"/>
  <c r="AT13" i="5"/>
  <c r="DB13" i="5"/>
  <c r="BC13" i="5" s="1"/>
  <c r="P69" i="7"/>
  <c r="AS13" i="5"/>
  <c r="B33" i="64"/>
  <c r="D33" i="64" s="1"/>
  <c r="P31" i="18"/>
  <c r="P31" i="90"/>
  <c r="P31" i="98"/>
  <c r="P31" i="88"/>
  <c r="P31" i="86"/>
  <c r="P31" i="87"/>
  <c r="P31" i="84"/>
  <c r="P31" i="97"/>
  <c r="P31" i="81"/>
  <c r="P31" i="92"/>
  <c r="P31" i="89"/>
  <c r="P31" i="93"/>
  <c r="P31" i="85"/>
  <c r="P31" i="99"/>
  <c r="P31" i="100"/>
  <c r="P31" i="83"/>
  <c r="P31" i="94"/>
  <c r="P31" i="91"/>
  <c r="P31" i="95"/>
  <c r="P31" i="96"/>
  <c r="P31" i="82"/>
  <c r="BK13" i="5"/>
  <c r="BO13" i="5" s="1"/>
  <c r="CW13" i="5"/>
  <c r="AV13" i="5"/>
  <c r="P31" i="73"/>
  <c r="BD13" i="5"/>
  <c r="BE13" i="5"/>
  <c r="P31" i="69"/>
  <c r="AG31" i="69" s="1"/>
  <c r="P31" i="70"/>
  <c r="AG31" i="70" s="1"/>
  <c r="AW13" i="5"/>
  <c r="DF13" i="5"/>
  <c r="BF13" i="5"/>
  <c r="BU70" i="62"/>
  <c r="BW83" i="62" s="1"/>
  <c r="BN13" i="5"/>
  <c r="AY13" i="5"/>
  <c r="BU13" i="5"/>
  <c r="CV13" i="5" s="1"/>
  <c r="AZ13" i="5"/>
  <c r="BB13" i="5"/>
  <c r="BM13" i="5"/>
  <c r="AU13" i="5"/>
  <c r="P31" i="72"/>
  <c r="AG31" i="72" s="1"/>
  <c r="P31" i="71"/>
  <c r="AG31" i="71" s="1"/>
  <c r="AD163" i="5"/>
  <c r="DE21" i="5"/>
  <c r="AJ21" i="68"/>
  <c r="AJ25" i="68"/>
  <c r="AJ28" i="68"/>
  <c r="AJ20" i="68"/>
  <c r="AJ30" i="68"/>
  <c r="AJ22" i="68"/>
  <c r="AJ26" i="68"/>
  <c r="AJ31" i="68"/>
  <c r="BA23" i="18"/>
  <c r="BF26" i="18"/>
  <c r="B81" i="102"/>
  <c r="B48" i="102"/>
  <c r="B39" i="102"/>
  <c r="B26" i="102"/>
  <c r="B68" i="102"/>
  <c r="B35" i="102"/>
  <c r="B23" i="102"/>
  <c r="B75" i="102"/>
  <c r="B42" i="102"/>
  <c r="B18" i="102"/>
  <c r="B62" i="102"/>
  <c r="B29" i="102"/>
  <c r="B14" i="102"/>
  <c r="B59" i="102"/>
  <c r="B69" i="102"/>
  <c r="B36" i="102"/>
  <c r="B5" i="102"/>
  <c r="B89" i="102"/>
  <c r="B56" i="102"/>
  <c r="B24" i="102"/>
  <c r="B63" i="102"/>
  <c r="B30" i="102"/>
  <c r="B72" i="102"/>
  <c r="B92" i="102"/>
  <c r="B83" i="102"/>
  <c r="B50" i="102"/>
  <c r="B6" i="102"/>
  <c r="B90" i="102"/>
  <c r="B57" i="102"/>
  <c r="B11" i="102"/>
  <c r="B20" i="102"/>
  <c r="B77" i="102"/>
  <c r="B44" i="102"/>
  <c r="B15" i="102"/>
  <c r="B84" i="102"/>
  <c r="B51" i="102"/>
  <c r="B71" i="102"/>
  <c r="B38" i="102"/>
  <c r="B78" i="102"/>
  <c r="B45" i="102"/>
  <c r="B65" i="102"/>
  <c r="B32" i="102"/>
  <c r="B66" i="102"/>
  <c r="B33" i="102"/>
  <c r="B12" i="102"/>
  <c r="B86" i="102"/>
  <c r="B53" i="102"/>
  <c r="B21" i="102"/>
  <c r="B27" i="102"/>
  <c r="B93" i="102"/>
  <c r="B60" i="102"/>
  <c r="B80" i="102"/>
  <c r="B47" i="102"/>
  <c r="B17" i="102"/>
  <c r="B87" i="102"/>
  <c r="B54" i="102"/>
  <c r="B74" i="102"/>
  <c r="B41" i="102"/>
  <c r="U37" i="101"/>
  <c r="U38" i="101"/>
  <c r="CJ15" i="18"/>
  <c r="CG15" i="18"/>
  <c r="CE15" i="18"/>
  <c r="CH15" i="18"/>
  <c r="CF15" i="18"/>
  <c r="CI15" i="18"/>
  <c r="CQ13" i="73"/>
  <c r="CS13" i="73" s="1"/>
  <c r="CZ13" i="73" s="1"/>
  <c r="CP13" i="73"/>
  <c r="CR13" i="73" s="1"/>
  <c r="CY13" i="73" s="1"/>
  <c r="DA13" i="73"/>
  <c r="AG3" i="100"/>
  <c r="AG13" i="100" s="1"/>
  <c r="AG3" i="98"/>
  <c r="AG13" i="98" s="1"/>
  <c r="AG3" i="97"/>
  <c r="AG13" i="97" s="1"/>
  <c r="AG3" i="96"/>
  <c r="AG13" i="96" s="1"/>
  <c r="AG3" i="95"/>
  <c r="AG13" i="95" s="1"/>
  <c r="AG3" i="94"/>
  <c r="AG13" i="94" s="1"/>
  <c r="AG3" i="92"/>
  <c r="AG13" i="92" s="1"/>
  <c r="AG3" i="91"/>
  <c r="AG13" i="91" s="1"/>
  <c r="EP17" i="16"/>
  <c r="DW17" i="16" s="1"/>
  <c r="AL17" i="16" s="1"/>
  <c r="AG3" i="89"/>
  <c r="AG13" i="89" s="1"/>
  <c r="AG3" i="88"/>
  <c r="AG13" i="88" s="1"/>
  <c r="AG3" i="87"/>
  <c r="AG13" i="87" s="1"/>
  <c r="AG3" i="86"/>
  <c r="AG13" i="86" s="1"/>
  <c r="AG3" i="85"/>
  <c r="AG13" i="85" s="1"/>
  <c r="AM5" i="71"/>
  <c r="AM8" i="71" s="1"/>
  <c r="AM13" i="71" s="1"/>
  <c r="AX74" i="16" s="1"/>
  <c r="W10" i="101"/>
  <c r="BR74" i="16"/>
  <c r="AW74" i="16" s="1"/>
  <c r="BR107" i="16"/>
  <c r="D85" i="102"/>
  <c r="D79" i="102"/>
  <c r="D73" i="102"/>
  <c r="D61" i="102"/>
  <c r="D49" i="102"/>
  <c r="D37" i="102"/>
  <c r="D16" i="102"/>
  <c r="D76" i="102"/>
  <c r="D58" i="102"/>
  <c r="D40" i="102"/>
  <c r="D13" i="102"/>
  <c r="D19" i="102"/>
  <c r="D43" i="102"/>
  <c r="D31" i="102"/>
  <c r="D82" i="102"/>
  <c r="D70" i="102"/>
  <c r="D28" i="102"/>
  <c r="D22" i="102"/>
  <c r="D67" i="102"/>
  <c r="D25" i="102"/>
  <c r="D10" i="102"/>
  <c r="D4" i="102"/>
  <c r="D88" i="102"/>
  <c r="D91" i="102"/>
  <c r="D55" i="102"/>
  <c r="D64" i="102"/>
  <c r="D46" i="102"/>
  <c r="D52" i="102"/>
  <c r="D34" i="102"/>
  <c r="AG3" i="81"/>
  <c r="AG13" i="81" s="1"/>
  <c r="AG3" i="82"/>
  <c r="AG13" i="82" s="1"/>
  <c r="AR79" i="16" s="1"/>
  <c r="AX30" i="73"/>
  <c r="BC30" i="73"/>
  <c r="BE30" i="73"/>
  <c r="AY30" i="73"/>
  <c r="AR30" i="73"/>
  <c r="AO30" i="73"/>
  <c r="AW30" i="73"/>
  <c r="AV30" i="73"/>
  <c r="BH29" i="73"/>
  <c r="AP23" i="73"/>
  <c r="AW20" i="73"/>
  <c r="BC20" i="73"/>
  <c r="AT20" i="73"/>
  <c r="BG20" i="73"/>
  <c r="AV28" i="73"/>
  <c r="AO20" i="73"/>
  <c r="AP29" i="73"/>
  <c r="BA28" i="73"/>
  <c r="BG28" i="73"/>
  <c r="AX20" i="73"/>
  <c r="BD20" i="73"/>
  <c r="AY20" i="73"/>
  <c r="U54" i="101"/>
  <c r="U53" i="101"/>
  <c r="W12" i="101"/>
  <c r="AP79" i="16"/>
  <c r="BA112" i="16"/>
  <c r="AT79" i="16"/>
  <c r="BE112" i="16"/>
  <c r="AS79" i="16"/>
  <c r="BD112" i="16"/>
  <c r="EP16" i="16"/>
  <c r="DW16" i="16" s="1"/>
  <c r="AL16" i="16" s="1"/>
  <c r="I16" i="16"/>
  <c r="M2" i="82"/>
  <c r="Q13" i="82"/>
  <c r="S13" i="82" s="1"/>
  <c r="AH5" i="66"/>
  <c r="D7" i="102"/>
  <c r="W5" i="101"/>
  <c r="AJ5" i="18"/>
  <c r="HV13" i="18" s="1"/>
  <c r="CV13" i="18" s="1"/>
  <c r="W4" i="101"/>
  <c r="AM5" i="67"/>
  <c r="AM8" i="67" s="1"/>
  <c r="AM13" i="67" s="1"/>
  <c r="AX70" i="16" s="1"/>
  <c r="CP13" i="67"/>
  <c r="CQ13" i="67"/>
  <c r="DA13" i="67"/>
  <c r="CQ13" i="74"/>
  <c r="CP13" i="74"/>
  <c r="DA13" i="74"/>
  <c r="CQ13" i="72"/>
  <c r="CP13" i="72"/>
  <c r="DA13" i="72"/>
  <c r="CP13" i="71"/>
  <c r="CQ13" i="71"/>
  <c r="DA13" i="71"/>
  <c r="CQ13" i="70"/>
  <c r="CP13" i="70"/>
  <c r="DA13" i="70"/>
  <c r="CQ13" i="69"/>
  <c r="CP13" i="69"/>
  <c r="DA13" i="69"/>
  <c r="CP13" i="66"/>
  <c r="CQ13" i="66"/>
  <c r="DA13" i="66"/>
  <c r="AL5" i="18"/>
  <c r="AL8" i="18" s="1"/>
  <c r="AL13" i="18" s="1"/>
  <c r="BH68" i="16" s="1"/>
  <c r="BH65" i="16" s="1"/>
  <c r="AX24" i="74"/>
  <c r="BC26" i="74"/>
  <c r="BD26" i="74"/>
  <c r="BG31" i="74"/>
  <c r="AO26" i="74"/>
  <c r="BH31" i="74"/>
  <c r="AZ26" i="74"/>
  <c r="BD24" i="74"/>
  <c r="AO31" i="74"/>
  <c r="AX31" i="74"/>
  <c r="AY26" i="74"/>
  <c r="AR31" i="74"/>
  <c r="BE30" i="74"/>
  <c r="BE31" i="74"/>
  <c r="AX25" i="74"/>
  <c r="AV30" i="74"/>
  <c r="AY31" i="74"/>
  <c r="BH30" i="74"/>
  <c r="BF30" i="74"/>
  <c r="AQ22" i="74"/>
  <c r="AP29" i="74"/>
  <c r="AT24" i="74"/>
  <c r="BG21" i="74"/>
  <c r="AO24" i="74"/>
  <c r="BA22" i="74"/>
  <c r="AO29" i="74"/>
  <c r="AQ30" i="74"/>
  <c r="AT30" i="74"/>
  <c r="AR30" i="74"/>
  <c r="AZ30" i="74"/>
  <c r="AS30" i="74"/>
  <c r="AH30" i="74" s="1"/>
  <c r="BA30" i="74"/>
  <c r="BG22" i="74"/>
  <c r="AW30" i="74"/>
  <c r="AW29" i="74"/>
  <c r="AX30" i="74"/>
  <c r="BF22" i="74"/>
  <c r="BF21" i="74"/>
  <c r="AX22" i="74"/>
  <c r="BE22" i="74"/>
  <c r="BC28" i="74"/>
  <c r="AT28" i="74"/>
  <c r="AZ28" i="74"/>
  <c r="AR28" i="74"/>
  <c r="AY28" i="74"/>
  <c r="AO22" i="74"/>
  <c r="AQ20" i="74"/>
  <c r="AQ25" i="74"/>
  <c r="AT29" i="74"/>
  <c r="AI27" i="74"/>
  <c r="BA28" i="74"/>
  <c r="BF28" i="74"/>
  <c r="BG28" i="74"/>
  <c r="AV28" i="74"/>
  <c r="AY25" i="74"/>
  <c r="BG30" i="74"/>
  <c r="BE26" i="74"/>
  <c r="BD29" i="74"/>
  <c r="AW25" i="74"/>
  <c r="BF26" i="74"/>
  <c r="AT20" i="74"/>
  <c r="AZ29" i="74"/>
  <c r="BA20" i="74"/>
  <c r="AX26" i="74"/>
  <c r="AV31" i="74"/>
  <c r="BG26" i="74"/>
  <c r="BE23" i="74"/>
  <c r="BE28" i="74"/>
  <c r="BH28" i="74"/>
  <c r="AV26" i="74"/>
  <c r="AP28" i="74"/>
  <c r="AR26" i="74"/>
  <c r="AS28" i="74"/>
  <c r="AQ26" i="74"/>
  <c r="BD28" i="74"/>
  <c r="AW28" i="74"/>
  <c r="AQ28" i="74"/>
  <c r="AP26" i="74"/>
  <c r="AT26" i="74"/>
  <c r="AX20" i="74"/>
  <c r="AS26" i="74"/>
  <c r="AX28" i="74"/>
  <c r="AR20" i="74"/>
  <c r="AV25" i="74"/>
  <c r="AQ23" i="74"/>
  <c r="AW23" i="74"/>
  <c r="AX29" i="74"/>
  <c r="BH20" i="74"/>
  <c r="AS20" i="74"/>
  <c r="BF31" i="74"/>
  <c r="AX23" i="74"/>
  <c r="AR25" i="74"/>
  <c r="AZ24" i="74"/>
  <c r="AV24" i="74"/>
  <c r="BC24" i="74"/>
  <c r="BE20" i="74"/>
  <c r="AP31" i="74"/>
  <c r="AP21" i="74"/>
  <c r="AY29" i="74"/>
  <c r="BH29" i="74"/>
  <c r="BH22" i="74"/>
  <c r="AT21" i="74"/>
  <c r="AW20" i="74"/>
  <c r="AT25" i="74"/>
  <c r="AS25" i="74"/>
  <c r="AY24" i="74"/>
  <c r="BA21" i="74"/>
  <c r="BC29" i="74"/>
  <c r="AQ31" i="74"/>
  <c r="AV22" i="74"/>
  <c r="AW24" i="74"/>
  <c r="AQ29" i="74"/>
  <c r="AO25" i="74"/>
  <c r="BD31" i="74"/>
  <c r="AS29" i="74"/>
  <c r="BD22" i="74"/>
  <c r="AS31" i="74"/>
  <c r="AS21" i="74"/>
  <c r="AQ24" i="74"/>
  <c r="AP24" i="74"/>
  <c r="AR29" i="74"/>
  <c r="BF25" i="74"/>
  <c r="AV21" i="74"/>
  <c r="AY22" i="74"/>
  <c r="BH25" i="74"/>
  <c r="BC22" i="74"/>
  <c r="BA29" i="74"/>
  <c r="BA31" i="74"/>
  <c r="AT31" i="74"/>
  <c r="AY20" i="74"/>
  <c r="BF20" i="74"/>
  <c r="BD21" i="74"/>
  <c r="AR22" i="74"/>
  <c r="AS23" i="74"/>
  <c r="BE21" i="74"/>
  <c r="BF29" i="74"/>
  <c r="BG24" i="74"/>
  <c r="BG25" i="74"/>
  <c r="BG20" i="74"/>
  <c r="BC31" i="74"/>
  <c r="AW22" i="74"/>
  <c r="BA24" i="74"/>
  <c r="BE25" i="74"/>
  <c r="AP25" i="74"/>
  <c r="AY21" i="74"/>
  <c r="BD25" i="74"/>
  <c r="BG29" i="74"/>
  <c r="AS22" i="74"/>
  <c r="AR24" i="74"/>
  <c r="AX21" i="74"/>
  <c r="BF24" i="74"/>
  <c r="AW31" i="74"/>
  <c r="BD20" i="74"/>
  <c r="AP22" i="74"/>
  <c r="AZ22" i="74"/>
  <c r="AV29" i="74"/>
  <c r="BH24" i="74"/>
  <c r="BC25" i="74"/>
  <c r="AP20" i="74"/>
  <c r="BA25" i="74"/>
  <c r="AZ21" i="74"/>
  <c r="AW21" i="74"/>
  <c r="AZ20" i="74"/>
  <c r="AO20" i="74"/>
  <c r="AS24" i="74"/>
  <c r="AS21" i="73"/>
  <c r="AP28" i="73"/>
  <c r="AT21" i="73"/>
  <c r="AR21" i="73"/>
  <c r="AQ21" i="73"/>
  <c r="AV21" i="73"/>
  <c r="BH28" i="73"/>
  <c r="AS28" i="73"/>
  <c r="AY28" i="73"/>
  <c r="AQ28" i="73"/>
  <c r="AR28" i="73"/>
  <c r="BF28" i="73"/>
  <c r="AP21" i="73"/>
  <c r="AZ31" i="73"/>
  <c r="BC28" i="73"/>
  <c r="BE21" i="73"/>
  <c r="BE28" i="73"/>
  <c r="BA21" i="73"/>
  <c r="AZ28" i="73"/>
  <c r="BE24" i="73"/>
  <c r="AZ21" i="73"/>
  <c r="AR24" i="73"/>
  <c r="AT28" i="73"/>
  <c r="BF22" i="73"/>
  <c r="BD24" i="73"/>
  <c r="BF21" i="73"/>
  <c r="BD28" i="73"/>
  <c r="BG21" i="73"/>
  <c r="AQ24" i="73"/>
  <c r="AW28" i="73"/>
  <c r="AY21" i="73"/>
  <c r="AX28" i="73"/>
  <c r="AP24" i="73"/>
  <c r="AO21" i="73"/>
  <c r="BH21" i="73"/>
  <c r="AX21" i="73"/>
  <c r="BD21" i="73"/>
  <c r="AW21" i="73"/>
  <c r="AW26" i="73"/>
  <c r="AT30" i="73"/>
  <c r="AS22" i="73"/>
  <c r="BH26" i="73"/>
  <c r="AX26" i="73"/>
  <c r="AP30" i="73"/>
  <c r="BC27" i="73"/>
  <c r="BC24" i="73"/>
  <c r="AQ27" i="73"/>
  <c r="AT29" i="73"/>
  <c r="BD25" i="73"/>
  <c r="AS26" i="73"/>
  <c r="AS30" i="73"/>
  <c r="AY25" i="73"/>
  <c r="BD30" i="73"/>
  <c r="AV22" i="73"/>
  <c r="BH27" i="73"/>
  <c r="AZ27" i="73"/>
  <c r="BG30" i="73"/>
  <c r="AX27" i="73"/>
  <c r="BH30" i="73"/>
  <c r="AZ25" i="73"/>
  <c r="BF27" i="73"/>
  <c r="AW27" i="73"/>
  <c r="BA30" i="73"/>
  <c r="BF30" i="73"/>
  <c r="AV27" i="73"/>
  <c r="AZ30" i="73"/>
  <c r="BF29" i="73"/>
  <c r="AQ29" i="73"/>
  <c r="AP20" i="73"/>
  <c r="BG29" i="73"/>
  <c r="AR20" i="73"/>
  <c r="AQ23" i="73"/>
  <c r="AZ29" i="73"/>
  <c r="BE22" i="73"/>
  <c r="BC29" i="73"/>
  <c r="AY29" i="73"/>
  <c r="AY22" i="73"/>
  <c r="AV29" i="73"/>
  <c r="BA29" i="73"/>
  <c r="AX29" i="73"/>
  <c r="AT25" i="73"/>
  <c r="AW29" i="73"/>
  <c r="AR26" i="73"/>
  <c r="AV26" i="73"/>
  <c r="BH22" i="73"/>
  <c r="BD29" i="73"/>
  <c r="AR31" i="73"/>
  <c r="AZ20" i="73"/>
  <c r="AS29" i="73"/>
  <c r="AT22" i="73"/>
  <c r="BF20" i="73"/>
  <c r="AZ22" i="73"/>
  <c r="AW22" i="73"/>
  <c r="BE29" i="73"/>
  <c r="BA31" i="73"/>
  <c r="BA22" i="73"/>
  <c r="AQ22" i="73"/>
  <c r="BC22" i="73"/>
  <c r="BE26" i="73"/>
  <c r="AQ20" i="73"/>
  <c r="AR22" i="73"/>
  <c r="AS20" i="73"/>
  <c r="BH20" i="73"/>
  <c r="AO29" i="73"/>
  <c r="AP22" i="73"/>
  <c r="BA20" i="73"/>
  <c r="AV20" i="73"/>
  <c r="AX22" i="73"/>
  <c r="AO31" i="73"/>
  <c r="BG31" i="73"/>
  <c r="BF25" i="73"/>
  <c r="AP31" i="73"/>
  <c r="AY31" i="73"/>
  <c r="BH24" i="73"/>
  <c r="AO22" i="73"/>
  <c r="AY26" i="73"/>
  <c r="BG24" i="73"/>
  <c r="AQ31" i="73"/>
  <c r="BF31" i="73"/>
  <c r="BF24" i="73"/>
  <c r="AO25" i="73"/>
  <c r="AW25" i="73"/>
  <c r="BD31" i="73"/>
  <c r="AV23" i="73"/>
  <c r="AZ23" i="73"/>
  <c r="AT26" i="73"/>
  <c r="AQ25" i="73"/>
  <c r="BG26" i="73"/>
  <c r="AO27" i="73"/>
  <c r="AS31" i="73"/>
  <c r="BA26" i="73"/>
  <c r="AT31" i="73"/>
  <c r="BA24" i="73"/>
  <c r="BH25" i="73"/>
  <c r="BF26" i="73"/>
  <c r="BD26" i="73"/>
  <c r="AO26" i="73"/>
  <c r="AZ24" i="73"/>
  <c r="BG22" i="73"/>
  <c r="AO24" i="73"/>
  <c r="BA25" i="73"/>
  <c r="BC26" i="73"/>
  <c r="AY24" i="73"/>
  <c r="AW31" i="73"/>
  <c r="AX24" i="73"/>
  <c r="BC25" i="73"/>
  <c r="BE25" i="73"/>
  <c r="AW24" i="73"/>
  <c r="AR25" i="73"/>
  <c r="AV24" i="73"/>
  <c r="AS25" i="73"/>
  <c r="AX25" i="73"/>
  <c r="BG25" i="73"/>
  <c r="AP26" i="73"/>
  <c r="AT24" i="73"/>
  <c r="AP25" i="73"/>
  <c r="BC31" i="72"/>
  <c r="BH26" i="72"/>
  <c r="BE21" i="72"/>
  <c r="AX25" i="72"/>
  <c r="BD30" i="72"/>
  <c r="AY30" i="72"/>
  <c r="AW30" i="72"/>
  <c r="AS20" i="72"/>
  <c r="BG30" i="72"/>
  <c r="AT30" i="72"/>
  <c r="AT20" i="72"/>
  <c r="AW26" i="72"/>
  <c r="AT26" i="72"/>
  <c r="BD26" i="72"/>
  <c r="AS26" i="72"/>
  <c r="AR26" i="72"/>
  <c r="AW31" i="72"/>
  <c r="AQ31" i="72"/>
  <c r="AP31" i="72"/>
  <c r="AX31" i="72"/>
  <c r="BE31" i="72"/>
  <c r="BF28" i="72"/>
  <c r="AR31" i="72"/>
  <c r="BH31" i="72"/>
  <c r="AS31" i="72"/>
  <c r="AY31" i="72"/>
  <c r="AR27" i="72"/>
  <c r="AW28" i="72"/>
  <c r="BA31" i="72"/>
  <c r="AV28" i="72"/>
  <c r="BG26" i="72"/>
  <c r="BA26" i="72"/>
  <c r="AP27" i="72"/>
  <c r="AT28" i="72"/>
  <c r="AV27" i="72"/>
  <c r="BA27" i="72"/>
  <c r="AT31" i="72"/>
  <c r="BG31" i="72"/>
  <c r="AQ28" i="72"/>
  <c r="AX27" i="72"/>
  <c r="BD27" i="72"/>
  <c r="AP28" i="72"/>
  <c r="AZ31" i="72"/>
  <c r="AV31" i="72"/>
  <c r="BD28" i="72"/>
  <c r="AW20" i="72"/>
  <c r="AT25" i="72"/>
  <c r="BC28" i="72"/>
  <c r="AQ25" i="72"/>
  <c r="AV22" i="72"/>
  <c r="AX22" i="72"/>
  <c r="AZ20" i="72"/>
  <c r="AO25" i="72"/>
  <c r="AR20" i="72"/>
  <c r="AS28" i="72"/>
  <c r="BE28" i="72"/>
  <c r="BE25" i="72"/>
  <c r="AQ20" i="72"/>
  <c r="BA28" i="72"/>
  <c r="AI28" i="72" s="1"/>
  <c r="BF29" i="72"/>
  <c r="AS25" i="72"/>
  <c r="AX20" i="72"/>
  <c r="AO22" i="72"/>
  <c r="BA29" i="72"/>
  <c r="BD25" i="72"/>
  <c r="BC20" i="72"/>
  <c r="BH28" i="72"/>
  <c r="AP22" i="72"/>
  <c r="BA20" i="72"/>
  <c r="AT22" i="72"/>
  <c r="AY25" i="72"/>
  <c r="BD20" i="72"/>
  <c r="AY22" i="72"/>
  <c r="AP25" i="72"/>
  <c r="AV25" i="72"/>
  <c r="BE20" i="72"/>
  <c r="BF20" i="72"/>
  <c r="BG20" i="72"/>
  <c r="BH20" i="72"/>
  <c r="AP20" i="72"/>
  <c r="BE22" i="72"/>
  <c r="AR21" i="72"/>
  <c r="BC21" i="72"/>
  <c r="BG21" i="72"/>
  <c r="AV20" i="72"/>
  <c r="BC25" i="72"/>
  <c r="AZ25" i="72"/>
  <c r="BG22" i="72"/>
  <c r="AY20" i="72"/>
  <c r="AZ21" i="72"/>
  <c r="AZ22" i="72"/>
  <c r="AR25" i="72"/>
  <c r="BD29" i="72"/>
  <c r="BF21" i="72"/>
  <c r="AX21" i="72"/>
  <c r="AP21" i="72"/>
  <c r="BD21" i="72"/>
  <c r="BD22" i="72"/>
  <c r="BD23" i="72"/>
  <c r="AO21" i="72"/>
  <c r="AX24" i="72"/>
  <c r="AO23" i="72"/>
  <c r="AP24" i="72"/>
  <c r="BF24" i="72"/>
  <c r="AQ21" i="72"/>
  <c r="BC30" i="72"/>
  <c r="AY24" i="72"/>
  <c r="BA25" i="72"/>
  <c r="AP26" i="72"/>
  <c r="BA21" i="72"/>
  <c r="AP23" i="72"/>
  <c r="AZ30" i="72"/>
  <c r="BE24" i="72"/>
  <c r="AW21" i="72"/>
  <c r="AQ22" i="72"/>
  <c r="AQ23" i="72"/>
  <c r="AQ24" i="72"/>
  <c r="BE30" i="72"/>
  <c r="AZ26" i="72"/>
  <c r="BC29" i="72"/>
  <c r="BH21" i="72"/>
  <c r="AV21" i="72"/>
  <c r="BG23" i="72"/>
  <c r="AV23" i="72"/>
  <c r="AX30" i="72"/>
  <c r="AZ24" i="72"/>
  <c r="BH22" i="72"/>
  <c r="BH23" i="72"/>
  <c r="BC24" i="72"/>
  <c r="AY21" i="72"/>
  <c r="AR22" i="72"/>
  <c r="AT23" i="72"/>
  <c r="AW29" i="72"/>
  <c r="BF30" i="72"/>
  <c r="BH27" i="72"/>
  <c r="BC22" i="72"/>
  <c r="BH29" i="72"/>
  <c r="BD24" i="72"/>
  <c r="AR23" i="72"/>
  <c r="BA30" i="72"/>
  <c r="AS23" i="72"/>
  <c r="AW23" i="72"/>
  <c r="AV24" i="72"/>
  <c r="AS21" i="72"/>
  <c r="AW22" i="72"/>
  <c r="BF31" i="72"/>
  <c r="AS29" i="72"/>
  <c r="AH29" i="72" s="1"/>
  <c r="AV30" i="72"/>
  <c r="AX26" i="72"/>
  <c r="BF26" i="72"/>
  <c r="AO27" i="72"/>
  <c r="BA22" i="72"/>
  <c r="BH30" i="72"/>
  <c r="AS27" i="72"/>
  <c r="AW25" i="72"/>
  <c r="AO31" i="72"/>
  <c r="AX23" i="72"/>
  <c r="BH24" i="72"/>
  <c r="BE23" i="72"/>
  <c r="AS30" i="72"/>
  <c r="AY23" i="72"/>
  <c r="AR30" i="72"/>
  <c r="AW24" i="72"/>
  <c r="BF22" i="72"/>
  <c r="AY26" i="72"/>
  <c r="AQ30" i="72"/>
  <c r="BG25" i="72"/>
  <c r="BC23" i="72"/>
  <c r="AR24" i="72"/>
  <c r="AZ23" i="72"/>
  <c r="AP30" i="72"/>
  <c r="BA23" i="72"/>
  <c r="BG24" i="72"/>
  <c r="BA24" i="72"/>
  <c r="AQ21" i="71"/>
  <c r="AS21" i="71"/>
  <c r="AW22" i="71"/>
  <c r="AP21" i="71"/>
  <c r="AT25" i="71"/>
  <c r="BC21" i="71"/>
  <c r="AX21" i="71"/>
  <c r="AR22" i="71"/>
  <c r="BD21" i="71"/>
  <c r="AX22" i="71"/>
  <c r="AZ29" i="71"/>
  <c r="AV25" i="71"/>
  <c r="AY21" i="71"/>
  <c r="AY22" i="71"/>
  <c r="AP28" i="71"/>
  <c r="BA21" i="71"/>
  <c r="AZ22" i="71"/>
  <c r="AZ21" i="71"/>
  <c r="AS22" i="71"/>
  <c r="BA22" i="71"/>
  <c r="AZ25" i="71"/>
  <c r="BH21" i="71"/>
  <c r="BG22" i="71"/>
  <c r="AJ22" i="71" s="1"/>
  <c r="AT22" i="71"/>
  <c r="AS29" i="71"/>
  <c r="BF25" i="71"/>
  <c r="BG21" i="71"/>
  <c r="AQ28" i="71"/>
  <c r="BE28" i="71"/>
  <c r="AO28" i="71"/>
  <c r="AZ23" i="71"/>
  <c r="BA23" i="71"/>
  <c r="BE23" i="71"/>
  <c r="AI31" i="71"/>
  <c r="AQ23" i="71"/>
  <c r="BG23" i="71"/>
  <c r="BD26" i="71"/>
  <c r="AR26" i="71"/>
  <c r="BE26" i="71"/>
  <c r="BD23" i="71"/>
  <c r="AO23" i="71"/>
  <c r="AS27" i="71"/>
  <c r="BF26" i="71"/>
  <c r="AZ26" i="71"/>
  <c r="BG26" i="71"/>
  <c r="AR23" i="71"/>
  <c r="BA26" i="71"/>
  <c r="AY27" i="71"/>
  <c r="AO27" i="71"/>
  <c r="BC27" i="71"/>
  <c r="AT29" i="71"/>
  <c r="AX28" i="71"/>
  <c r="BC28" i="71"/>
  <c r="AY25" i="71"/>
  <c r="AT28" i="71"/>
  <c r="AP27" i="71"/>
  <c r="BG27" i="71"/>
  <c r="AT27" i="71"/>
  <c r="AP26" i="71"/>
  <c r="AV27" i="71"/>
  <c r="AW29" i="71"/>
  <c r="BG28" i="71"/>
  <c r="AZ27" i="71"/>
  <c r="BA28" i="71"/>
  <c r="AX26" i="71"/>
  <c r="BF23" i="71"/>
  <c r="BF27" i="71"/>
  <c r="AY28" i="71"/>
  <c r="AT26" i="71"/>
  <c r="BC26" i="71"/>
  <c r="BD28" i="71"/>
  <c r="BA27" i="71"/>
  <c r="AS23" i="71"/>
  <c r="AV23" i="71"/>
  <c r="AT20" i="71"/>
  <c r="BH27" i="71"/>
  <c r="BF28" i="71"/>
  <c r="AS26" i="71"/>
  <c r="AT23" i="71"/>
  <c r="AQ26" i="71"/>
  <c r="AS20" i="71"/>
  <c r="AZ24" i="71"/>
  <c r="BH26" i="71"/>
  <c r="AW23" i="71"/>
  <c r="AW26" i="71"/>
  <c r="AV28" i="71"/>
  <c r="BH29" i="71"/>
  <c r="AS28" i="71"/>
  <c r="BC23" i="71"/>
  <c r="AJ23" i="71" s="1"/>
  <c r="BH23" i="71"/>
  <c r="AX27" i="71"/>
  <c r="AR27" i="71"/>
  <c r="AQ27" i="71"/>
  <c r="AW28" i="71"/>
  <c r="AV26" i="71"/>
  <c r="AX23" i="71"/>
  <c r="AY29" i="71"/>
  <c r="AX29" i="71"/>
  <c r="AY23" i="71"/>
  <c r="AY26" i="71"/>
  <c r="BD27" i="71"/>
  <c r="BE27" i="71"/>
  <c r="BA24" i="71"/>
  <c r="AX24" i="71"/>
  <c r="AT24" i="71"/>
  <c r="AW30" i="71"/>
  <c r="BG25" i="71"/>
  <c r="BF29" i="71"/>
  <c r="BE24" i="71"/>
  <c r="AO20" i="71"/>
  <c r="AQ29" i="71"/>
  <c r="BG29" i="71"/>
  <c r="AV29" i="71"/>
  <c r="AR30" i="71"/>
  <c r="BE29" i="71"/>
  <c r="AP20" i="71"/>
  <c r="AT30" i="71"/>
  <c r="BG30" i="71"/>
  <c r="AQ25" i="71"/>
  <c r="BD29" i="71"/>
  <c r="BH24" i="71"/>
  <c r="AO29" i="71"/>
  <c r="AQ20" i="71"/>
  <c r="AP30" i="71"/>
  <c r="AR20" i="71"/>
  <c r="BE25" i="71"/>
  <c r="BE30" i="71"/>
  <c r="AP29" i="71"/>
  <c r="AS25" i="71"/>
  <c r="BC25" i="71"/>
  <c r="AW24" i="71"/>
  <c r="AW25" i="71"/>
  <c r="BF24" i="71"/>
  <c r="BF20" i="71"/>
  <c r="BC30" i="71"/>
  <c r="AR24" i="71"/>
  <c r="BD20" i="71"/>
  <c r="AX30" i="71"/>
  <c r="BA29" i="71"/>
  <c r="BC29" i="71"/>
  <c r="AJ29" i="71" s="1"/>
  <c r="BD24" i="71"/>
  <c r="BG20" i="71"/>
  <c r="AS30" i="71"/>
  <c r="AQ30" i="71"/>
  <c r="AV30" i="71"/>
  <c r="BD25" i="71"/>
  <c r="BC24" i="71"/>
  <c r="AJ24" i="71" s="1"/>
  <c r="BA20" i="71"/>
  <c r="BH25" i="71"/>
  <c r="BG24" i="71"/>
  <c r="AZ20" i="71"/>
  <c r="AP25" i="71"/>
  <c r="AY24" i="71"/>
  <c r="AY20" i="71"/>
  <c r="AO25" i="71"/>
  <c r="BH20" i="71"/>
  <c r="BH30" i="71"/>
  <c r="BD30" i="71"/>
  <c r="AS24" i="71"/>
  <c r="AX20" i="71"/>
  <c r="AX25" i="71"/>
  <c r="AW20" i="71"/>
  <c r="AR25" i="71"/>
  <c r="BC20" i="71"/>
  <c r="AJ20" i="71" s="1"/>
  <c r="AO24" i="71"/>
  <c r="AZ30" i="71"/>
  <c r="AV24" i="71"/>
  <c r="BE23" i="70"/>
  <c r="BF27" i="70"/>
  <c r="AR20" i="70"/>
  <c r="BC20" i="70"/>
  <c r="BC23" i="70"/>
  <c r="AW21" i="70"/>
  <c r="AW28" i="70"/>
  <c r="AS20" i="70"/>
  <c r="AX20" i="70"/>
  <c r="BE20" i="70"/>
  <c r="AS23" i="70"/>
  <c r="BH20" i="70"/>
  <c r="AZ20" i="70"/>
  <c r="AT20" i="70"/>
  <c r="AY20" i="70"/>
  <c r="AQ20" i="70"/>
  <c r="BD20" i="70"/>
  <c r="AZ25" i="70"/>
  <c r="AY23" i="70"/>
  <c r="AT21" i="70"/>
  <c r="AR28" i="70"/>
  <c r="AV28" i="70"/>
  <c r="BF28" i="70"/>
  <c r="AS27" i="70"/>
  <c r="BG28" i="70"/>
  <c r="AS21" i="70"/>
  <c r="BH21" i="70"/>
  <c r="BH27" i="70"/>
  <c r="AT27" i="70"/>
  <c r="AR26" i="70"/>
  <c r="BD21" i="70"/>
  <c r="AP27" i="70"/>
  <c r="BC21" i="70"/>
  <c r="AO27" i="70"/>
  <c r="AY21" i="70"/>
  <c r="BA27" i="70"/>
  <c r="AO28" i="70"/>
  <c r="AX28" i="70"/>
  <c r="BD28" i="70"/>
  <c r="AO21" i="70"/>
  <c r="AZ27" i="70"/>
  <c r="AZ28" i="70"/>
  <c r="AX27" i="70"/>
  <c r="AP28" i="70"/>
  <c r="AX21" i="70"/>
  <c r="AQ27" i="70"/>
  <c r="AP21" i="70"/>
  <c r="AY27" i="70"/>
  <c r="AT28" i="70"/>
  <c r="AW27" i="70"/>
  <c r="AS28" i="70"/>
  <c r="BC27" i="70"/>
  <c r="BD27" i="70"/>
  <c r="AW29" i="70"/>
  <c r="AP22" i="70"/>
  <c r="BC22" i="70"/>
  <c r="BH25" i="70"/>
  <c r="BA25" i="70"/>
  <c r="AY25" i="70"/>
  <c r="AR22" i="70"/>
  <c r="AX25" i="70"/>
  <c r="AV22" i="70"/>
  <c r="BG25" i="70"/>
  <c r="AW25" i="70"/>
  <c r="BH22" i="70"/>
  <c r="BF21" i="70"/>
  <c r="BG21" i="70"/>
  <c r="AS22" i="70"/>
  <c r="AV25" i="70"/>
  <c r="BA22" i="70"/>
  <c r="AV21" i="70"/>
  <c r="AX22" i="70"/>
  <c r="AS25" i="70"/>
  <c r="AW26" i="70"/>
  <c r="AX26" i="70"/>
  <c r="AT25" i="70"/>
  <c r="AQ26" i="70"/>
  <c r="AR25" i="70"/>
  <c r="AP26" i="70"/>
  <c r="BF25" i="70"/>
  <c r="BE21" i="70"/>
  <c r="BD25" i="70"/>
  <c r="AZ21" i="70"/>
  <c r="BA21" i="70"/>
  <c r="BH26" i="70"/>
  <c r="BC25" i="70"/>
  <c r="AZ26" i="70"/>
  <c r="BG26" i="70"/>
  <c r="AO25" i="70"/>
  <c r="BE25" i="70"/>
  <c r="BA26" i="70"/>
  <c r="BE27" i="70"/>
  <c r="AQ25" i="70"/>
  <c r="BH28" i="70"/>
  <c r="AT26" i="70"/>
  <c r="BF26" i="70"/>
  <c r="AQ21" i="70"/>
  <c r="AV26" i="70"/>
  <c r="AR27" i="70"/>
  <c r="AY28" i="70"/>
  <c r="AS26" i="70"/>
  <c r="AY26" i="70"/>
  <c r="BD26" i="70"/>
  <c r="BE26" i="70"/>
  <c r="BC26" i="70"/>
  <c r="AZ24" i="70"/>
  <c r="AV24" i="70"/>
  <c r="BF30" i="70"/>
  <c r="AQ29" i="70"/>
  <c r="BE29" i="70"/>
  <c r="BE24" i="70"/>
  <c r="BA31" i="70"/>
  <c r="AQ30" i="70"/>
  <c r="BE31" i="70"/>
  <c r="AT29" i="70"/>
  <c r="BF29" i="70"/>
  <c r="BF24" i="70"/>
  <c r="BD31" i="70"/>
  <c r="BF31" i="70"/>
  <c r="AX29" i="70"/>
  <c r="AP24" i="70"/>
  <c r="AW24" i="70"/>
  <c r="AZ31" i="70"/>
  <c r="AX30" i="70"/>
  <c r="AO30" i="70"/>
  <c r="BD24" i="70"/>
  <c r="AQ31" i="70"/>
  <c r="AY31" i="70"/>
  <c r="AT22" i="70"/>
  <c r="BD22" i="70"/>
  <c r="AX31" i="70"/>
  <c r="AS29" i="70"/>
  <c r="AY24" i="70"/>
  <c r="BD30" i="70"/>
  <c r="AO31" i="70"/>
  <c r="AV29" i="70"/>
  <c r="AW31" i="70"/>
  <c r="BG30" i="70"/>
  <c r="BE30" i="70"/>
  <c r="BC29" i="70"/>
  <c r="BC24" i="70"/>
  <c r="AW22" i="70"/>
  <c r="BC31" i="70"/>
  <c r="BG29" i="70"/>
  <c r="AR30" i="70"/>
  <c r="AP31" i="70"/>
  <c r="AQ22" i="70"/>
  <c r="AZ29" i="70"/>
  <c r="AV30" i="70"/>
  <c r="AP29" i="70"/>
  <c r="AR29" i="70"/>
  <c r="BD29" i="70"/>
  <c r="AR31" i="70"/>
  <c r="BA30" i="70"/>
  <c r="AW30" i="70"/>
  <c r="BA29" i="70"/>
  <c r="BC30" i="70"/>
  <c r="AY22" i="70"/>
  <c r="AT30" i="70"/>
  <c r="BH30" i="70"/>
  <c r="AT24" i="70"/>
  <c r="AS24" i="70"/>
  <c r="AS30" i="70"/>
  <c r="BA24" i="70"/>
  <c r="AO29" i="70"/>
  <c r="BH29" i="70"/>
  <c r="BH24" i="70"/>
  <c r="AZ22" i="70"/>
  <c r="AO24" i="70"/>
  <c r="AR24" i="70"/>
  <c r="AQ24" i="70"/>
  <c r="AO23" i="70"/>
  <c r="BG24" i="70"/>
  <c r="BC22" i="69"/>
  <c r="BA27" i="69"/>
  <c r="BF20" i="69"/>
  <c r="BE28" i="69"/>
  <c r="BC30" i="69"/>
  <c r="AW20" i="69"/>
  <c r="AT22" i="69"/>
  <c r="AQ20" i="69"/>
  <c r="BC27" i="69"/>
  <c r="BA23" i="69"/>
  <c r="AR23" i="69"/>
  <c r="AX29" i="69"/>
  <c r="BH28" i="69"/>
  <c r="BH27" i="69"/>
  <c r="AS30" i="69"/>
  <c r="BD23" i="69"/>
  <c r="AW26" i="69"/>
  <c r="BA26" i="69"/>
  <c r="AQ28" i="69"/>
  <c r="AX26" i="69"/>
  <c r="AR26" i="69"/>
  <c r="BC23" i="69"/>
  <c r="AO26" i="69"/>
  <c r="BE23" i="69"/>
  <c r="BF31" i="69"/>
  <c r="AY28" i="69"/>
  <c r="BC28" i="69"/>
  <c r="AY27" i="69"/>
  <c r="BE26" i="69"/>
  <c r="BF23" i="69"/>
  <c r="AY24" i="69"/>
  <c r="AZ27" i="69"/>
  <c r="AX24" i="69"/>
  <c r="BD27" i="69"/>
  <c r="AX27" i="69"/>
  <c r="AP30" i="69"/>
  <c r="AY26" i="69"/>
  <c r="BA24" i="69"/>
  <c r="BC26" i="69"/>
  <c r="BG23" i="69"/>
  <c r="BH23" i="69"/>
  <c r="AV31" i="69"/>
  <c r="AQ31" i="69"/>
  <c r="AH31" i="69" s="1"/>
  <c r="BE31" i="69"/>
  <c r="AW27" i="69"/>
  <c r="AT26" i="69"/>
  <c r="BE27" i="69"/>
  <c r="BH26" i="69"/>
  <c r="AZ22" i="69"/>
  <c r="AZ26" i="69"/>
  <c r="AV27" i="69"/>
  <c r="AW29" i="69"/>
  <c r="AT28" i="69"/>
  <c r="AV28" i="69"/>
  <c r="AX28" i="69"/>
  <c r="BG28" i="69"/>
  <c r="AW31" i="69"/>
  <c r="AT27" i="69"/>
  <c r="BF29" i="69"/>
  <c r="BA28" i="69"/>
  <c r="AQ26" i="69"/>
  <c r="AY23" i="69"/>
  <c r="BD26" i="69"/>
  <c r="AR27" i="69"/>
  <c r="BE30" i="69"/>
  <c r="AS28" i="69"/>
  <c r="AR28" i="69"/>
  <c r="AR31" i="69"/>
  <c r="BD31" i="69"/>
  <c r="BF30" i="69"/>
  <c r="AQ29" i="69"/>
  <c r="BF28" i="69"/>
  <c r="AP26" i="69"/>
  <c r="BH30" i="69"/>
  <c r="AX31" i="69"/>
  <c r="AW23" i="69"/>
  <c r="BH29" i="69"/>
  <c r="BG30" i="69"/>
  <c r="AP29" i="69"/>
  <c r="AP28" i="69"/>
  <c r="AR30" i="69"/>
  <c r="AX22" i="69"/>
  <c r="AO30" i="69"/>
  <c r="AS29" i="69"/>
  <c r="BA30" i="69"/>
  <c r="AP27" i="69"/>
  <c r="AS27" i="69"/>
  <c r="AO29" i="69"/>
  <c r="AZ23" i="69"/>
  <c r="AZ30" i="69"/>
  <c r="BC31" i="69"/>
  <c r="AS23" i="69"/>
  <c r="AY30" i="69"/>
  <c r="AZ29" i="69"/>
  <c r="BD28" i="69"/>
  <c r="BG24" i="69"/>
  <c r="BD30" i="69"/>
  <c r="BE29" i="69"/>
  <c r="AW28" i="69"/>
  <c r="BG27" i="69"/>
  <c r="AT23" i="69"/>
  <c r="BA29" i="69"/>
  <c r="AS31" i="69"/>
  <c r="AQ23" i="69"/>
  <c r="AP23" i="69"/>
  <c r="AV29" i="69"/>
  <c r="AX30" i="69"/>
  <c r="BC29" i="69"/>
  <c r="AZ28" i="69"/>
  <c r="BF27" i="69"/>
  <c r="AV23" i="69"/>
  <c r="AY31" i="69"/>
  <c r="AO23" i="69"/>
  <c r="AW30" i="69"/>
  <c r="AY29" i="69"/>
  <c r="AT29" i="69"/>
  <c r="AV30" i="69"/>
  <c r="BD29" i="69"/>
  <c r="AS26" i="69"/>
  <c r="BF24" i="69"/>
  <c r="BH24" i="69"/>
  <c r="BG20" i="69"/>
  <c r="AP20" i="69"/>
  <c r="BD20" i="69"/>
  <c r="BC24" i="69"/>
  <c r="AY22" i="69"/>
  <c r="AW24" i="69"/>
  <c r="AV24" i="69"/>
  <c r="BC20" i="69"/>
  <c r="AT24" i="69"/>
  <c r="AZ24" i="69"/>
  <c r="BE21" i="69"/>
  <c r="AS20" i="69"/>
  <c r="AS24" i="69"/>
  <c r="AY20" i="69"/>
  <c r="AR24" i="69"/>
  <c r="AV21" i="69"/>
  <c r="AP24" i="69"/>
  <c r="AV22" i="69"/>
  <c r="BE22" i="69"/>
  <c r="BD21" i="69"/>
  <c r="AQ24" i="69"/>
  <c r="AZ20" i="69"/>
  <c r="AR20" i="69"/>
  <c r="AR21" i="69"/>
  <c r="BH20" i="69"/>
  <c r="AS21" i="69"/>
  <c r="BF22" i="69"/>
  <c r="BC25" i="69"/>
  <c r="BE20" i="69"/>
  <c r="AT21" i="69"/>
  <c r="BD24" i="69"/>
  <c r="AT20" i="69"/>
  <c r="BA20" i="69"/>
  <c r="AR29" i="69"/>
  <c r="AZ21" i="69"/>
  <c r="AS25" i="69"/>
  <c r="AH25" i="69" s="1"/>
  <c r="AZ25" i="69"/>
  <c r="AI25" i="69" s="1"/>
  <c r="BA21" i="69"/>
  <c r="AR22" i="69"/>
  <c r="BF26" i="69"/>
  <c r="AS22" i="69"/>
  <c r="AW22" i="69"/>
  <c r="BD22" i="69"/>
  <c r="BF21" i="69"/>
  <c r="AP21" i="69"/>
  <c r="BA22" i="69"/>
  <c r="BC21" i="69"/>
  <c r="AQ21" i="69"/>
  <c r="AQ27" i="69"/>
  <c r="AV26" i="69"/>
  <c r="BG22" i="69"/>
  <c r="AX21" i="69"/>
  <c r="BH21" i="69"/>
  <c r="AO22" i="69"/>
  <c r="AY21" i="69"/>
  <c r="BE24" i="69"/>
  <c r="BG21" i="69"/>
  <c r="AP22" i="69"/>
  <c r="AQ22" i="69"/>
  <c r="AY23" i="68"/>
  <c r="BF23" i="68"/>
  <c r="AZ23" i="68"/>
  <c r="BC23" i="68"/>
  <c r="AI30" i="68"/>
  <c r="AI29" i="68"/>
  <c r="AS23" i="68"/>
  <c r="BE23" i="68"/>
  <c r="BA23" i="68"/>
  <c r="AT23" i="68"/>
  <c r="BD23" i="68"/>
  <c r="AP23" i="68"/>
  <c r="BH23" i="68"/>
  <c r="AI31" i="68"/>
  <c r="AR23" i="68"/>
  <c r="AX23" i="68"/>
  <c r="AI25" i="68"/>
  <c r="BG23" i="68"/>
  <c r="AO23" i="68"/>
  <c r="BA24" i="68"/>
  <c r="BF24" i="68"/>
  <c r="AR24" i="68"/>
  <c r="BD24" i="68"/>
  <c r="BE24" i="68"/>
  <c r="AW24" i="68"/>
  <c r="AI27" i="68"/>
  <c r="BC24" i="68"/>
  <c r="AX24" i="68"/>
  <c r="AI28" i="68"/>
  <c r="AV24" i="68"/>
  <c r="AS24" i="68"/>
  <c r="AY24" i="68"/>
  <c r="AP24" i="68"/>
  <c r="BH24" i="68"/>
  <c r="BG24" i="68"/>
  <c r="AZ24" i="68"/>
  <c r="AT24" i="68"/>
  <c r="AQ24" i="68"/>
  <c r="AO21" i="67"/>
  <c r="AP30" i="67"/>
  <c r="AX24" i="66"/>
  <c r="AQ24" i="66"/>
  <c r="AS24" i="66"/>
  <c r="AW24" i="66"/>
  <c r="BH24" i="66"/>
  <c r="BF24" i="66"/>
  <c r="BD24" i="66"/>
  <c r="CD14" i="18"/>
  <c r="CG14" i="18" s="1"/>
  <c r="CD13" i="18"/>
  <c r="CJ13" i="18" s="1"/>
  <c r="AJ24" i="67"/>
  <c r="AI25" i="67"/>
  <c r="AQ27" i="67"/>
  <c r="BG26" i="67"/>
  <c r="BD27" i="67"/>
  <c r="AT28" i="67"/>
  <c r="AQ22" i="67"/>
  <c r="BE26" i="67"/>
  <c r="BC26" i="67"/>
  <c r="AS28" i="67"/>
  <c r="AV27" i="67"/>
  <c r="BG28" i="67"/>
  <c r="BF22" i="67"/>
  <c r="BD28" i="67"/>
  <c r="AJ28" i="67" s="1"/>
  <c r="AP28" i="67"/>
  <c r="AZ27" i="67"/>
  <c r="BF27" i="67"/>
  <c r="BD26" i="67"/>
  <c r="BD21" i="67"/>
  <c r="BE31" i="67"/>
  <c r="AQ21" i="67"/>
  <c r="AP31" i="67"/>
  <c r="BC21" i="67"/>
  <c r="AZ21" i="67"/>
  <c r="BA21" i="67"/>
  <c r="AY21" i="67"/>
  <c r="AS21" i="67"/>
  <c r="BH31" i="67"/>
  <c r="AX21" i="67"/>
  <c r="BH21" i="67"/>
  <c r="AT21" i="67"/>
  <c r="AI29" i="67"/>
  <c r="AZ31" i="67"/>
  <c r="AW21" i="67"/>
  <c r="AV21" i="67"/>
  <c r="BG21" i="67"/>
  <c r="AR21" i="67"/>
  <c r="BF21" i="67"/>
  <c r="AV31" i="67"/>
  <c r="BA31" i="67"/>
  <c r="BE21" i="67"/>
  <c r="BC22" i="67"/>
  <c r="AT22" i="67"/>
  <c r="BE22" i="67"/>
  <c r="BD22" i="67"/>
  <c r="AW22" i="67"/>
  <c r="AS22" i="67"/>
  <c r="AI30" i="67"/>
  <c r="AJ25" i="67"/>
  <c r="AI28" i="67"/>
  <c r="AV22" i="67"/>
  <c r="AP27" i="67"/>
  <c r="AX22" i="67"/>
  <c r="AY22" i="67"/>
  <c r="AJ29" i="67"/>
  <c r="AO22" i="67"/>
  <c r="AZ22" i="67"/>
  <c r="BH22" i="67"/>
  <c r="BH20" i="67"/>
  <c r="AJ20" i="67" s="1"/>
  <c r="AZ26" i="67"/>
  <c r="AI26" i="67" s="1"/>
  <c r="BC31" i="67"/>
  <c r="BD31" i="67"/>
  <c r="AT31" i="67"/>
  <c r="AO24" i="67"/>
  <c r="AO30" i="67"/>
  <c r="AZ24" i="67"/>
  <c r="AI24" i="67" s="1"/>
  <c r="BH27" i="67"/>
  <c r="BE30" i="67"/>
  <c r="AR27" i="67"/>
  <c r="BH30" i="67"/>
  <c r="BC27" i="67"/>
  <c r="BE27" i="67"/>
  <c r="BH23" i="67"/>
  <c r="AS24" i="67"/>
  <c r="BG22" i="67"/>
  <c r="AP22" i="67"/>
  <c r="AS27" i="67"/>
  <c r="AO27" i="67"/>
  <c r="AW23" i="67"/>
  <c r="BE23" i="67"/>
  <c r="AZ23" i="67"/>
  <c r="AH5" i="18"/>
  <c r="BG21" i="18"/>
  <c r="BH22" i="18"/>
  <c r="AY22" i="18"/>
  <c r="BE22" i="18"/>
  <c r="BC22" i="18"/>
  <c r="AV21" i="18"/>
  <c r="BH21" i="18"/>
  <c r="BG22" i="18"/>
  <c r="BA22" i="18"/>
  <c r="BD22" i="18"/>
  <c r="AZ22" i="18"/>
  <c r="AW22" i="18"/>
  <c r="BF22" i="18"/>
  <c r="AV22" i="18"/>
  <c r="S5" i="102"/>
  <c r="CT5" i="16"/>
  <c r="EP5" i="16"/>
  <c r="DW5" i="16" s="1"/>
  <c r="AX20" i="18"/>
  <c r="BD20" i="18"/>
  <c r="BG20" i="18"/>
  <c r="BE20" i="18"/>
  <c r="BC20" i="18"/>
  <c r="AY20" i="18"/>
  <c r="BH20" i="18"/>
  <c r="AZ20" i="18"/>
  <c r="AV20" i="18"/>
  <c r="BR101" i="16"/>
  <c r="BF24" i="18"/>
  <c r="BA24" i="18"/>
  <c r="AQ27" i="66"/>
  <c r="AP21" i="66"/>
  <c r="AV28" i="66"/>
  <c r="AO21" i="66"/>
  <c r="AT24" i="66"/>
  <c r="BE24" i="66"/>
  <c r="BG24" i="66"/>
  <c r="BA21" i="66"/>
  <c r="BH28" i="66"/>
  <c r="BF28" i="66"/>
  <c r="AY24" i="66"/>
  <c r="BA24" i="66"/>
  <c r="AZ21" i="66"/>
  <c r="BC24" i="66"/>
  <c r="AY21" i="66"/>
  <c r="AR24" i="66"/>
  <c r="AX21" i="66"/>
  <c r="AO28" i="66"/>
  <c r="AV21" i="66"/>
  <c r="AP24" i="66"/>
  <c r="BC21" i="66"/>
  <c r="AJ21" i="66" s="1"/>
  <c r="AZ28" i="66"/>
  <c r="BG26" i="18"/>
  <c r="AW26" i="18"/>
  <c r="AX26" i="18"/>
  <c r="BC26" i="18"/>
  <c r="AR22" i="18"/>
  <c r="AT22" i="18"/>
  <c r="AQ22" i="18"/>
  <c r="AZ26" i="18"/>
  <c r="BD26" i="18"/>
  <c r="AP22" i="18"/>
  <c r="AO22" i="18"/>
  <c r="BH26" i="18"/>
  <c r="BA26" i="18"/>
  <c r="BE26" i="18"/>
  <c r="AV26" i="18"/>
  <c r="BE31" i="18"/>
  <c r="BA31" i="18"/>
  <c r="BC31" i="18"/>
  <c r="AR20" i="18"/>
  <c r="AZ31" i="18"/>
  <c r="AT30" i="66"/>
  <c r="AH30" i="66" s="1"/>
  <c r="AV29" i="18"/>
  <c r="CQ13" i="18"/>
  <c r="CP13" i="18"/>
  <c r="BC29" i="18"/>
  <c r="BH29" i="18"/>
  <c r="BA29" i="18"/>
  <c r="BD29" i="18"/>
  <c r="BD30" i="66"/>
  <c r="AJ30" i="66" s="1"/>
  <c r="BA26" i="66"/>
  <c r="BD31" i="66"/>
  <c r="AY23" i="66"/>
  <c r="BC23" i="66"/>
  <c r="BC31" i="66"/>
  <c r="AV31" i="66"/>
  <c r="BF27" i="66"/>
  <c r="BG31" i="66"/>
  <c r="AO27" i="66"/>
  <c r="AS31" i="66"/>
  <c r="BD23" i="66"/>
  <c r="BF31" i="66"/>
  <c r="AW31" i="66"/>
  <c r="AQ23" i="66"/>
  <c r="BA23" i="66"/>
  <c r="AO23" i="66"/>
  <c r="AT27" i="66"/>
  <c r="AS27" i="66"/>
  <c r="BE27" i="66"/>
  <c r="AV27" i="66"/>
  <c r="AO20" i="66"/>
  <c r="BD27" i="66"/>
  <c r="AY27" i="66"/>
  <c r="BC27" i="66"/>
  <c r="AR28" i="66"/>
  <c r="AZ27" i="66"/>
  <c r="BH27" i="66"/>
  <c r="BG27" i="66"/>
  <c r="AX27" i="66"/>
  <c r="AW27" i="66"/>
  <c r="BA27" i="66"/>
  <c r="AR27" i="66"/>
  <c r="BH31" i="66"/>
  <c r="AQ22" i="66"/>
  <c r="AY31" i="66"/>
  <c r="BE29" i="66"/>
  <c r="AV26" i="66"/>
  <c r="AP22" i="66"/>
  <c r="AQ31" i="66"/>
  <c r="BF29" i="66"/>
  <c r="AO29" i="66"/>
  <c r="AT31" i="66"/>
  <c r="BA31" i="66"/>
  <c r="BE22" i="66"/>
  <c r="BG25" i="66"/>
  <c r="AO25" i="66"/>
  <c r="BH22" i="66"/>
  <c r="BG29" i="66"/>
  <c r="BH29" i="66"/>
  <c r="AY29" i="66"/>
  <c r="BA25" i="66"/>
  <c r="AX29" i="66"/>
  <c r="AY25" i="66"/>
  <c r="AZ25" i="66"/>
  <c r="BE31" i="66"/>
  <c r="AV29" i="66"/>
  <c r="AX31" i="66"/>
  <c r="AT29" i="66"/>
  <c r="AS29" i="66"/>
  <c r="AZ29" i="66"/>
  <c r="AP31" i="66"/>
  <c r="AZ31" i="66"/>
  <c r="AR31" i="66"/>
  <c r="BC25" i="66"/>
  <c r="AX20" i="66"/>
  <c r="AR22" i="66"/>
  <c r="BG26" i="66"/>
  <c r="BC26" i="66"/>
  <c r="BD28" i="66"/>
  <c r="BG22" i="66"/>
  <c r="BC28" i="66"/>
  <c r="BE26" i="66"/>
  <c r="AW25" i="66"/>
  <c r="BH25" i="66"/>
  <c r="AT20" i="66"/>
  <c r="AO22" i="66"/>
  <c r="AW29" i="66"/>
  <c r="AR20" i="66"/>
  <c r="AX25" i="66"/>
  <c r="AP25" i="66"/>
  <c r="BA20" i="66"/>
  <c r="AR29" i="66"/>
  <c r="AY26" i="66"/>
  <c r="AW28" i="66"/>
  <c r="AQ29" i="66"/>
  <c r="BF22" i="66"/>
  <c r="AT28" i="66"/>
  <c r="AR25" i="66"/>
  <c r="BF25" i="66"/>
  <c r="BG28" i="66"/>
  <c r="BD26" i="66"/>
  <c r="AI30" i="66"/>
  <c r="AP20" i="66"/>
  <c r="AW26" i="66"/>
  <c r="BE25" i="66"/>
  <c r="BC20" i="66"/>
  <c r="AT26" i="66"/>
  <c r="BF26" i="66"/>
  <c r="BD20" i="66"/>
  <c r="AS26" i="66"/>
  <c r="BE28" i="66"/>
  <c r="BD22" i="66"/>
  <c r="AY20" i="66"/>
  <c r="BE20" i="66"/>
  <c r="BA22" i="66"/>
  <c r="AR26" i="66"/>
  <c r="AP29" i="66"/>
  <c r="BH26" i="66"/>
  <c r="BD25" i="66"/>
  <c r="AZ20" i="66"/>
  <c r="BF20" i="66"/>
  <c r="AZ22" i="66"/>
  <c r="AQ26" i="66"/>
  <c r="AT25" i="66"/>
  <c r="AV20" i="66"/>
  <c r="BG20" i="66"/>
  <c r="AY22" i="66"/>
  <c r="AP26" i="66"/>
  <c r="AQ28" i="66"/>
  <c r="AX26" i="66"/>
  <c r="AS20" i="66"/>
  <c r="BC22" i="66"/>
  <c r="BH20" i="66"/>
  <c r="AX22" i="66"/>
  <c r="AO26" i="66"/>
  <c r="AP28" i="66"/>
  <c r="AS25" i="66"/>
  <c r="BC29" i="66"/>
  <c r="BA28" i="66"/>
  <c r="AS31" i="18"/>
  <c r="BD31" i="18"/>
  <c r="AT20" i="18"/>
  <c r="BE30" i="18"/>
  <c r="BF30" i="18"/>
  <c r="BH25" i="18"/>
  <c r="BG25" i="18"/>
  <c r="AO31" i="18"/>
  <c r="BC30" i="18"/>
  <c r="BE24" i="18"/>
  <c r="BD30" i="18"/>
  <c r="AY30" i="18"/>
  <c r="AS20" i="18"/>
  <c r="BA30" i="18"/>
  <c r="AX30" i="18"/>
  <c r="AV31" i="18"/>
  <c r="AZ30" i="18"/>
  <c r="AV25" i="18"/>
  <c r="AZ28" i="18"/>
  <c r="AZ25" i="18"/>
  <c r="BC25" i="18"/>
  <c r="BD25" i="18"/>
  <c r="AO25" i="18"/>
  <c r="AW25" i="18"/>
  <c r="AV30" i="18"/>
  <c r="BF25" i="18"/>
  <c r="BE25" i="18"/>
  <c r="AX24" i="18"/>
  <c r="AX31" i="18"/>
  <c r="AY25" i="18"/>
  <c r="AW31" i="18"/>
  <c r="BA25" i="18"/>
  <c r="BF31" i="18"/>
  <c r="BH30" i="18"/>
  <c r="BG30" i="18"/>
  <c r="AQ25" i="18"/>
  <c r="AS22" i="18"/>
  <c r="BG27" i="18"/>
  <c r="BF27" i="18"/>
  <c r="AY27" i="18"/>
  <c r="AW27" i="18"/>
  <c r="AP20" i="18"/>
  <c r="AX25" i="18"/>
  <c r="BG28" i="18"/>
  <c r="AW28" i="18"/>
  <c r="AP25" i="18"/>
  <c r="BH28" i="18"/>
  <c r="AO24" i="18"/>
  <c r="AV28" i="18"/>
  <c r="BD28" i="18"/>
  <c r="AX28" i="18"/>
  <c r="BE28" i="18"/>
  <c r="AP30" i="18"/>
  <c r="BC28" i="18"/>
  <c r="AO30" i="18"/>
  <c r="AR29" i="18"/>
  <c r="AS28" i="18"/>
  <c r="AR28" i="18"/>
  <c r="BA28" i="18"/>
  <c r="AT28" i="18"/>
  <c r="AP28" i="18"/>
  <c r="AO28" i="18"/>
  <c r="AY26" i="18"/>
  <c r="AP26" i="18"/>
  <c r="BF28" i="18"/>
  <c r="AO26" i="18"/>
  <c r="AY28" i="18"/>
  <c r="AS25" i="18"/>
  <c r="AP21" i="18"/>
  <c r="AR25" i="18"/>
  <c r="BR103" i="16"/>
  <c r="BR70" i="16"/>
  <c r="AE7" i="74"/>
  <c r="AI7" i="74"/>
  <c r="AF7" i="74"/>
  <c r="AJ7" i="74"/>
  <c r="AH7" i="74"/>
  <c r="AG7" i="74"/>
  <c r="AE6" i="74"/>
  <c r="AG6" i="74"/>
  <c r="AF6" i="74"/>
  <c r="AH6" i="74"/>
  <c r="AJ6" i="74"/>
  <c r="AI6" i="74"/>
  <c r="AI7" i="66"/>
  <c r="AJ6" i="66"/>
  <c r="AH7" i="66"/>
  <c r="AH6" i="66"/>
  <c r="AG7" i="66"/>
  <c r="AE7" i="66"/>
  <c r="AI6" i="66"/>
  <c r="AF7" i="66"/>
  <c r="AG6" i="66"/>
  <c r="AF6" i="66"/>
  <c r="AE6" i="66"/>
  <c r="AJ7" i="66"/>
  <c r="AJ7" i="73"/>
  <c r="AF7" i="73"/>
  <c r="AE7" i="73"/>
  <c r="AH7" i="73"/>
  <c r="AI7" i="73"/>
  <c r="AG7" i="73"/>
  <c r="AJ6" i="73"/>
  <c r="AG6" i="73"/>
  <c r="AE6" i="73"/>
  <c r="AF6" i="73"/>
  <c r="AH6" i="73"/>
  <c r="AI6" i="73"/>
  <c r="AI7" i="72"/>
  <c r="AJ7" i="72"/>
  <c r="AH7" i="72"/>
  <c r="AF7" i="72"/>
  <c r="AE7" i="72"/>
  <c r="AG7" i="72"/>
  <c r="AI6" i="72"/>
  <c r="AF6" i="72"/>
  <c r="AE6" i="72"/>
  <c r="AJ6" i="72"/>
  <c r="AH6" i="72"/>
  <c r="AG6" i="72"/>
  <c r="AE7" i="71"/>
  <c r="AH7" i="71"/>
  <c r="AI7" i="71"/>
  <c r="AF7" i="71"/>
  <c r="AJ7" i="71"/>
  <c r="AG7" i="71"/>
  <c r="AH6" i="71"/>
  <c r="AJ6" i="71"/>
  <c r="AI6" i="71"/>
  <c r="AG6" i="71"/>
  <c r="AF6" i="71"/>
  <c r="AE6" i="71"/>
  <c r="AJ7" i="69"/>
  <c r="AI7" i="69"/>
  <c r="AE7" i="69"/>
  <c r="AH7" i="69"/>
  <c r="AF7" i="69"/>
  <c r="AG7" i="69"/>
  <c r="AF6" i="69"/>
  <c r="AJ6" i="69"/>
  <c r="AI6" i="69"/>
  <c r="AH6" i="69"/>
  <c r="AE6" i="69"/>
  <c r="AG6" i="69"/>
  <c r="AI7" i="68"/>
  <c r="AH7" i="68"/>
  <c r="AF7" i="68"/>
  <c r="AJ7" i="68"/>
  <c r="AE7" i="68"/>
  <c r="AG7" i="68"/>
  <c r="AE6" i="68"/>
  <c r="AH6" i="68"/>
  <c r="AF6" i="68"/>
  <c r="AJ6" i="68"/>
  <c r="AI6" i="68"/>
  <c r="AG6" i="68"/>
  <c r="AJ7" i="67"/>
  <c r="AE7" i="67"/>
  <c r="AH6" i="67"/>
  <c r="AI7" i="67"/>
  <c r="AH7" i="67"/>
  <c r="AF7" i="67"/>
  <c r="AG7" i="67"/>
  <c r="AJ6" i="67"/>
  <c r="AI6" i="67"/>
  <c r="AG6" i="67"/>
  <c r="AE6" i="67"/>
  <c r="AF6" i="67"/>
  <c r="AJ7" i="70"/>
  <c r="AF7" i="70"/>
  <c r="AE7" i="70"/>
  <c r="AI7" i="70"/>
  <c r="AH7" i="70"/>
  <c r="AG7" i="70"/>
  <c r="AJ6" i="70"/>
  <c r="AE6" i="70"/>
  <c r="AG6" i="70"/>
  <c r="AI6" i="70"/>
  <c r="AF6" i="70"/>
  <c r="AH6" i="70"/>
  <c r="AW24" i="18"/>
  <c r="AZ27" i="18"/>
  <c r="BD24" i="18"/>
  <c r="BC27" i="18"/>
  <c r="AV24" i="18"/>
  <c r="AS29" i="18"/>
  <c r="AX27" i="18"/>
  <c r="AZ21" i="18"/>
  <c r="AX29" i="18"/>
  <c r="BA20" i="18"/>
  <c r="AQ29" i="18"/>
  <c r="AO20" i="18"/>
  <c r="AW30" i="18"/>
  <c r="AP29" i="18"/>
  <c r="BC21" i="18"/>
  <c r="AY24" i="18"/>
  <c r="AZ29" i="18"/>
  <c r="AO29" i="18"/>
  <c r="AZ24" i="18"/>
  <c r="AY31" i="18"/>
  <c r="AS24" i="18"/>
  <c r="BA21" i="18"/>
  <c r="AR24" i="18"/>
  <c r="AX23" i="18"/>
  <c r="BC24" i="18"/>
  <c r="AT29" i="18"/>
  <c r="BD27" i="18"/>
  <c r="BE29" i="18"/>
  <c r="AT24" i="18"/>
  <c r="AW20" i="18"/>
  <c r="BG29" i="18"/>
  <c r="AQ24" i="18"/>
  <c r="AX21" i="18"/>
  <c r="BG31" i="18"/>
  <c r="BF29" i="18"/>
  <c r="AP24" i="18"/>
  <c r="AW29" i="18"/>
  <c r="AR31" i="18"/>
  <c r="AR27" i="18"/>
  <c r="AQ20" i="18"/>
  <c r="AT31" i="18"/>
  <c r="AT27" i="18"/>
  <c r="AS27" i="18"/>
  <c r="BF21" i="18"/>
  <c r="BE27" i="18"/>
  <c r="AQ31" i="18"/>
  <c r="AQ27" i="18"/>
  <c r="AY21" i="18"/>
  <c r="AP31" i="18"/>
  <c r="AP27" i="18"/>
  <c r="BH24" i="18"/>
  <c r="AO27" i="18"/>
  <c r="BH27" i="18"/>
  <c r="AS30" i="18"/>
  <c r="AS26" i="18"/>
  <c r="AS21" i="18"/>
  <c r="AR30" i="18"/>
  <c r="AR26" i="18"/>
  <c r="AR21" i="18"/>
  <c r="AT30" i="18"/>
  <c r="AT26" i="18"/>
  <c r="AT21" i="18"/>
  <c r="AV27" i="18"/>
  <c r="BD21" i="18"/>
  <c r="AQ21" i="18"/>
  <c r="AW21" i="18"/>
  <c r="BE21" i="18"/>
  <c r="AJ7" i="18"/>
  <c r="AI7" i="18"/>
  <c r="AI6" i="18"/>
  <c r="AH7" i="18"/>
  <c r="AG7" i="18"/>
  <c r="AH6" i="18"/>
  <c r="AG6" i="18"/>
  <c r="AF7" i="18"/>
  <c r="AF6" i="18"/>
  <c r="AE7" i="18"/>
  <c r="AJ6" i="18"/>
  <c r="AE6" i="18"/>
  <c r="AG3" i="18"/>
  <c r="AX68" i="16"/>
  <c r="AJ3" i="18"/>
  <c r="BF112" i="16"/>
  <c r="BF79" i="16" s="1"/>
  <c r="BF111" i="16"/>
  <c r="BF78" i="16" s="1"/>
  <c r="BD111" i="16"/>
  <c r="BD78" i="16" s="1"/>
  <c r="BB111" i="16"/>
  <c r="BB78" i="16" s="1"/>
  <c r="BB112" i="16"/>
  <c r="BB79" i="16" s="1"/>
  <c r="BE111" i="16"/>
  <c r="BE78" i="16" s="1"/>
  <c r="BC112" i="16"/>
  <c r="EP33" i="16"/>
  <c r="DW33" i="16" s="1"/>
  <c r="AL33" i="16" s="1"/>
  <c r="EP34" i="16"/>
  <c r="DW34" i="16" s="1"/>
  <c r="AL34" i="16" s="1"/>
  <c r="EP32" i="16"/>
  <c r="DW32" i="16" s="1"/>
  <c r="AL32" i="16" s="1"/>
  <c r="EP31" i="16"/>
  <c r="DW31" i="16" s="1"/>
  <c r="AL31" i="16" s="1"/>
  <c r="EP30" i="16"/>
  <c r="DW30" i="16" s="1"/>
  <c r="AL30" i="16" s="1"/>
  <c r="AF5" i="18"/>
  <c r="P2" i="70"/>
  <c r="P2" i="74"/>
  <c r="P2" i="71"/>
  <c r="P2" i="68"/>
  <c r="I9" i="16"/>
  <c r="BD9" i="16" s="1"/>
  <c r="I8" i="16"/>
  <c r="BE8" i="16" s="1"/>
  <c r="P2" i="67"/>
  <c r="P2" i="72"/>
  <c r="P2" i="73"/>
  <c r="I14" i="16"/>
  <c r="P2" i="69"/>
  <c r="BG12" i="16"/>
  <c r="I7" i="16"/>
  <c r="BE7" i="16" s="1"/>
  <c r="I11" i="16"/>
  <c r="BE11" i="16" s="1"/>
  <c r="P2" i="18"/>
  <c r="EP8" i="16"/>
  <c r="DW8" i="16" s="1"/>
  <c r="AL8" i="16" s="1"/>
  <c r="U6" i="68" s="1"/>
  <c r="EP7" i="16"/>
  <c r="DW7" i="16" s="1"/>
  <c r="AL7" i="16" s="1"/>
  <c r="EP29" i="16"/>
  <c r="DW29" i="16" s="1"/>
  <c r="AL29" i="16" s="1"/>
  <c r="EP6" i="16"/>
  <c r="EP28" i="16"/>
  <c r="DW28" i="16" s="1"/>
  <c r="AL28" i="16" s="1"/>
  <c r="EP15" i="16"/>
  <c r="DW15" i="16" s="1"/>
  <c r="AL15" i="16" s="1"/>
  <c r="EP27" i="16"/>
  <c r="DW27" i="16" s="1"/>
  <c r="AL27" i="16" s="1"/>
  <c r="EP26" i="16"/>
  <c r="DW26" i="16" s="1"/>
  <c r="AL26" i="16" s="1"/>
  <c r="EP25" i="16"/>
  <c r="DW25" i="16" s="1"/>
  <c r="AL25" i="16" s="1"/>
  <c r="EP24" i="16"/>
  <c r="DW24" i="16" s="1"/>
  <c r="AL24" i="16" s="1"/>
  <c r="GP12" i="16"/>
  <c r="EP12" i="16" s="1"/>
  <c r="EQ12" i="16"/>
  <c r="DT12" i="16" s="1"/>
  <c r="EP23" i="16"/>
  <c r="DW23" i="16" s="1"/>
  <c r="AL23" i="16" s="1"/>
  <c r="GP9" i="16"/>
  <c r="EP9" i="16" s="1"/>
  <c r="EQ9" i="16"/>
  <c r="DT9" i="16" s="1"/>
  <c r="EP22" i="16"/>
  <c r="DW22" i="16" s="1"/>
  <c r="AL22" i="16" s="1"/>
  <c r="EP10" i="16"/>
  <c r="DW10" i="16" s="1"/>
  <c r="AL10" i="16" s="1"/>
  <c r="EP21" i="16"/>
  <c r="DW21" i="16" s="1"/>
  <c r="AL21" i="16" s="1"/>
  <c r="EP20" i="16"/>
  <c r="DW20" i="16" s="1"/>
  <c r="AL20" i="16" s="1"/>
  <c r="EP11" i="16"/>
  <c r="DW11" i="16" s="1"/>
  <c r="AL11" i="16" s="1"/>
  <c r="EP19" i="16"/>
  <c r="DW19" i="16" s="1"/>
  <c r="AL19" i="16" s="1"/>
  <c r="EP18" i="16"/>
  <c r="DW18" i="16" s="1"/>
  <c r="AL18" i="16" s="1"/>
  <c r="CR6" i="16"/>
  <c r="CG5" i="16"/>
  <c r="AH3" i="18"/>
  <c r="CJ28" i="16"/>
  <c r="CV28" i="16" s="1"/>
  <c r="IE5" i="16"/>
  <c r="DR5" i="16" s="1"/>
  <c r="DU5" i="16" s="1"/>
  <c r="CF22" i="16"/>
  <c r="CU22" i="16" s="1"/>
  <c r="AB3" i="19"/>
  <c r="AB11" i="19" s="1"/>
  <c r="CO6" i="16"/>
  <c r="CW6" i="16" s="1"/>
  <c r="CG14" i="16"/>
  <c r="CO28" i="16"/>
  <c r="CW28" i="16" s="1"/>
  <c r="CJ15" i="16"/>
  <c r="CV15" i="16" s="1"/>
  <c r="CF11" i="16"/>
  <c r="CU11" i="16" s="1"/>
  <c r="CO14" i="16"/>
  <c r="CW14" i="16" s="1"/>
  <c r="CF15" i="16"/>
  <c r="CU15" i="16" s="1"/>
  <c r="CF6" i="16"/>
  <c r="CU6" i="16" s="1"/>
  <c r="CO18" i="16"/>
  <c r="CW18" i="16" s="1"/>
  <c r="AC3" i="19"/>
  <c r="AE3" i="19"/>
  <c r="CO32" i="16"/>
  <c r="CW32" i="16" s="1"/>
  <c r="CK8" i="16"/>
  <c r="CJ24" i="16"/>
  <c r="CV24" i="16" s="1"/>
  <c r="CF7" i="16"/>
  <c r="CU7" i="16" s="1"/>
  <c r="CF9" i="16"/>
  <c r="CU9" i="16" s="1"/>
  <c r="CO11" i="16"/>
  <c r="CW11" i="16" s="1"/>
  <c r="CF17" i="16"/>
  <c r="CU17" i="16" s="1"/>
  <c r="CF32" i="16"/>
  <c r="CU32" i="16" s="1"/>
  <c r="CF21" i="16"/>
  <c r="CU21" i="16" s="1"/>
  <c r="CG11" i="16"/>
  <c r="N12" i="64"/>
  <c r="CJ30" i="16"/>
  <c r="CV30" i="16" s="1"/>
  <c r="CO26" i="16"/>
  <c r="CW26" i="16" s="1"/>
  <c r="BO57" i="62"/>
  <c r="BT38" i="62"/>
  <c r="BE40" i="62"/>
  <c r="AV39" i="62"/>
  <c r="AF3" i="18"/>
  <c r="CQ5" i="16"/>
  <c r="AK3" i="18"/>
  <c r="CC5" i="16"/>
  <c r="AI3" i="18"/>
  <c r="CB5" i="16"/>
  <c r="CA5" i="16"/>
  <c r="AX53" i="62"/>
  <c r="AS53" i="62"/>
  <c r="BV39" i="62"/>
  <c r="BS67" i="62"/>
  <c r="BX40" i="62"/>
  <c r="CF27" i="16"/>
  <c r="CU27" i="16" s="1"/>
  <c r="CJ16" i="16"/>
  <c r="CV16" i="16" s="1"/>
  <c r="CF13" i="16"/>
  <c r="CU13" i="16" s="1"/>
  <c r="BZ67" i="62"/>
  <c r="CF30" i="16"/>
  <c r="CU30" i="16" s="1"/>
  <c r="CF25" i="16"/>
  <c r="CU25" i="16" s="1"/>
  <c r="AE67" i="62"/>
  <c r="CF33" i="16"/>
  <c r="CU33" i="16" s="1"/>
  <c r="CO34" i="16"/>
  <c r="CW34" i="16" s="1"/>
  <c r="CJ20" i="16"/>
  <c r="CV20" i="16" s="1"/>
  <c r="BK53" i="62"/>
  <c r="AZ53" i="62"/>
  <c r="AK67" i="62"/>
  <c r="AQ67" i="62"/>
  <c r="CF16" i="16"/>
  <c r="CU16" i="16" s="1"/>
  <c r="BY56" i="62"/>
  <c r="BL53" i="62"/>
  <c r="BA53" i="62"/>
  <c r="AW67" i="62"/>
  <c r="AP53" i="62"/>
  <c r="AL67" i="62"/>
  <c r="CF14" i="16"/>
  <c r="CU14" i="16" s="1"/>
  <c r="BR53" i="62"/>
  <c r="BC67" i="62"/>
  <c r="AV53" i="62"/>
  <c r="AR67" i="62"/>
  <c r="CO15" i="16"/>
  <c r="CW15" i="16" s="1"/>
  <c r="BZ56" i="62"/>
  <c r="BM53" i="62"/>
  <c r="AX67" i="62"/>
  <c r="BD67" i="62"/>
  <c r="CJ29" i="16"/>
  <c r="CV29" i="16" s="1"/>
  <c r="CF12" i="16"/>
  <c r="CU12" i="16" s="1"/>
  <c r="AY67" i="62"/>
  <c r="AN67" i="62"/>
  <c r="BV67" i="62"/>
  <c r="BE67" i="62"/>
  <c r="AI67" i="62"/>
  <c r="V67" i="62"/>
  <c r="BK67" i="62"/>
  <c r="AZ67" i="62"/>
  <c r="AO67" i="62"/>
  <c r="CF29" i="16"/>
  <c r="CU29" i="16" s="1"/>
  <c r="CO27" i="16"/>
  <c r="CW27" i="16" s="1"/>
  <c r="CJ21" i="16"/>
  <c r="CV21" i="16" s="1"/>
  <c r="BQ67" i="62"/>
  <c r="BF67" i="62"/>
  <c r="AU67" i="62"/>
  <c r="AP67" i="62"/>
  <c r="BR67" i="62"/>
  <c r="BG67" i="62"/>
  <c r="AV67" i="62"/>
  <c r="I13" i="16"/>
  <c r="BB13" i="16" s="1"/>
  <c r="M2" i="73"/>
  <c r="P2" i="66"/>
  <c r="P2" i="19"/>
  <c r="CF10" i="16"/>
  <c r="CU10" i="16" s="1"/>
  <c r="BR40" i="62"/>
  <c r="CO20" i="16"/>
  <c r="CW20" i="16" s="1"/>
  <c r="AT40" i="62"/>
  <c r="BU39" i="62"/>
  <c r="AS40" i="62"/>
  <c r="BT39" i="62"/>
  <c r="AX39" i="62"/>
  <c r="CO33" i="16"/>
  <c r="CW33" i="16" s="1"/>
  <c r="CO30" i="16"/>
  <c r="CW30" i="16" s="1"/>
  <c r="AX66" i="62"/>
  <c r="CF8" i="16"/>
  <c r="CU8" i="16" s="1"/>
  <c r="CJ18" i="16"/>
  <c r="CV18" i="16" s="1"/>
  <c r="CF18" i="16"/>
  <c r="CU18" i="16" s="1"/>
  <c r="CO25" i="16"/>
  <c r="CW25" i="16" s="1"/>
  <c r="BY55" i="62"/>
  <c r="AN55" i="62"/>
  <c r="BS40" i="62"/>
  <c r="AF66" i="62"/>
  <c r="AU40" i="62"/>
  <c r="BN40" i="62"/>
  <c r="AQ40" i="62"/>
  <c r="BR39" i="62"/>
  <c r="BS39" i="62"/>
  <c r="BF66" i="62"/>
  <c r="V66" i="62"/>
  <c r="AT39" i="62"/>
  <c r="BR66" i="62"/>
  <c r="AO66" i="62"/>
  <c r="AU66" i="62"/>
  <c r="AR39" i="62"/>
  <c r="AQ39" i="62"/>
  <c r="BV55" i="62"/>
  <c r="BJ55" i="62"/>
  <c r="BI53" i="62"/>
  <c r="AH67" i="62"/>
  <c r="BI54" i="62"/>
  <c r="AQ66" i="62"/>
  <c r="BG39" i="62"/>
  <c r="BU67" i="62"/>
  <c r="BT67" i="62"/>
  <c r="BC57" i="62"/>
  <c r="BK55" i="62"/>
  <c r="BG66" i="62"/>
  <c r="AS67" i="62"/>
  <c r="BZ54" i="62"/>
  <c r="BX66" i="62"/>
  <c r="AT66" i="62"/>
  <c r="AQ35" i="16"/>
  <c r="AQ58" i="16" s="1"/>
  <c r="CF5" i="16"/>
  <c r="CJ13" i="16"/>
  <c r="CV13" i="16" s="1"/>
  <c r="CJ19" i="16"/>
  <c r="CV19" i="16" s="1"/>
  <c r="CO31" i="16"/>
  <c r="CW31" i="16" s="1"/>
  <c r="CJ22" i="16"/>
  <c r="CV22" i="16" s="1"/>
  <c r="CF19" i="16"/>
  <c r="CU19" i="16" s="1"/>
  <c r="CJ31" i="16"/>
  <c r="CV31" i="16" s="1"/>
  <c r="CJ25" i="16"/>
  <c r="CV25" i="16" s="1"/>
  <c r="CO17" i="16"/>
  <c r="CW17" i="16" s="1"/>
  <c r="CO9" i="16"/>
  <c r="CW9" i="16" s="1"/>
  <c r="CS6" i="16"/>
  <c r="M2" i="72"/>
  <c r="BZ40" i="62"/>
  <c r="BB40" i="62"/>
  <c r="CO22" i="16"/>
  <c r="CW22" i="16" s="1"/>
  <c r="X3" i="19"/>
  <c r="X11" i="19" s="1"/>
  <c r="CF28" i="16"/>
  <c r="Q15" i="71"/>
  <c r="M2" i="71"/>
  <c r="CB13" i="16"/>
  <c r="M2" i="67"/>
  <c r="CF34" i="16"/>
  <c r="N15" i="64"/>
  <c r="CJ9" i="16"/>
  <c r="CV9" i="16" s="1"/>
  <c r="Y3" i="19"/>
  <c r="Y11" i="19" s="1"/>
  <c r="CJ23" i="16"/>
  <c r="CV23" i="16" s="1"/>
  <c r="M2" i="68"/>
  <c r="CO21" i="16"/>
  <c r="CW21" i="16" s="1"/>
  <c r="CF20" i="16"/>
  <c r="CU20" i="16" s="1"/>
  <c r="CO19" i="16"/>
  <c r="CW19" i="16" s="1"/>
  <c r="M2" i="74"/>
  <c r="CF31" i="16"/>
  <c r="CU31" i="16" s="1"/>
  <c r="CO29" i="16"/>
  <c r="CW29" i="16" s="1"/>
  <c r="CJ6" i="16"/>
  <c r="N8" i="64"/>
  <c r="CJ32" i="16"/>
  <c r="CV32" i="16" s="1"/>
  <c r="CJ26" i="16"/>
  <c r="CV26" i="16" s="1"/>
  <c r="CJ12" i="16"/>
  <c r="CV12" i="16" s="1"/>
  <c r="CJ33" i="16"/>
  <c r="CV33" i="16" s="1"/>
  <c r="CJ7" i="16"/>
  <c r="CO23" i="16"/>
  <c r="CW23" i="16" s="1"/>
  <c r="CJ34" i="16"/>
  <c r="CV34" i="16" s="1"/>
  <c r="CK7" i="16"/>
  <c r="CO5" i="16"/>
  <c r="CW5" i="16" s="1"/>
  <c r="CJ5" i="16"/>
  <c r="CO7" i="16"/>
  <c r="CO16" i="16"/>
  <c r="CW16" i="16" s="1"/>
  <c r="CJ27" i="16"/>
  <c r="CV27" i="16" s="1"/>
  <c r="M2" i="69"/>
  <c r="BW52" i="62"/>
  <c r="BL55" i="62"/>
  <c r="BA67" i="62"/>
  <c r="AX55" i="62"/>
  <c r="AM67" i="62"/>
  <c r="BC64" i="62"/>
  <c r="AN64" i="62"/>
  <c r="T64" i="62"/>
  <c r="BP67" i="62"/>
  <c r="AT67" i="62"/>
  <c r="AF67" i="62"/>
  <c r="BH67" i="62"/>
  <c r="BB67" i="62"/>
  <c r="AG67" i="62"/>
  <c r="AW64" i="62"/>
  <c r="AE49" i="62"/>
  <c r="AE48" i="62"/>
  <c r="BA52" i="62"/>
  <c r="AQ64" i="62"/>
  <c r="BF39" i="62"/>
  <c r="BV64" i="62"/>
  <c r="BJ52" i="62"/>
  <c r="BY49" i="62"/>
  <c r="BR41" i="62"/>
  <c r="Q41" i="62"/>
  <c r="AO64" i="62"/>
  <c r="BS46" i="62"/>
  <c r="AI62" i="62"/>
  <c r="BY50" i="62"/>
  <c r="BB52" i="62"/>
  <c r="BV62" i="62"/>
  <c r="BP50" i="62"/>
  <c r="BZ50" i="62"/>
  <c r="BW62" i="62"/>
  <c r="AF50" i="62"/>
  <c r="AP62" i="62"/>
  <c r="AE52" i="62"/>
  <c r="BN39" i="62"/>
  <c r="AP39" i="62"/>
  <c r="BI52" i="62"/>
  <c r="BG61" i="62"/>
  <c r="AF49" i="62"/>
  <c r="BJ39" i="62"/>
  <c r="AL39" i="62"/>
  <c r="AI63" i="62"/>
  <c r="AJ64" i="62"/>
  <c r="BG64" i="62"/>
  <c r="BK52" i="62"/>
  <c r="AR64" i="62"/>
  <c r="AV52" i="62"/>
  <c r="AS64" i="62"/>
  <c r="AV49" i="62"/>
  <c r="BM52" i="62"/>
  <c r="AT64" i="62"/>
  <c r="BB64" i="62"/>
  <c r="BX49" i="62"/>
  <c r="BU62" i="62"/>
  <c r="BT62" i="62"/>
  <c r="BU61" i="62"/>
  <c r="BT61" i="62"/>
  <c r="BL61" i="62"/>
  <c r="BI49" i="62"/>
  <c r="BP49" i="62"/>
  <c r="BW61" i="62"/>
  <c r="AU50" i="62"/>
  <c r="BN47" i="62"/>
  <c r="AU49" i="62"/>
  <c r="BM41" i="62"/>
  <c r="AO41" i="62"/>
  <c r="BH40" i="62"/>
  <c r="AJ40" i="62"/>
  <c r="AJ39" i="62"/>
  <c r="BD50" i="62"/>
  <c r="BW58" i="62"/>
  <c r="BG45" i="62"/>
  <c r="BL41" i="62"/>
  <c r="AN41" i="62"/>
  <c r="BG40" i="62"/>
  <c r="AI40" i="62"/>
  <c r="AZ61" i="62"/>
  <c r="AK62" i="62"/>
  <c r="AG49" i="62"/>
  <c r="BK41" i="62"/>
  <c r="AM41" i="62"/>
  <c r="BF40" i="62"/>
  <c r="AH40" i="62"/>
  <c r="BL50" i="62"/>
  <c r="BI62" i="62"/>
  <c r="AW49" i="62"/>
  <c r="AN49" i="62"/>
  <c r="W61" i="62"/>
  <c r="BL49" i="62"/>
  <c r="BI61" i="62"/>
  <c r="AK60" i="62"/>
  <c r="AS42" i="62"/>
  <c r="AK41" i="62"/>
  <c r="BD40" i="62"/>
  <c r="AF40" i="62"/>
  <c r="BP61" i="62"/>
  <c r="AX49" i="62"/>
  <c r="AL62" i="62"/>
  <c r="AH49" i="62"/>
  <c r="BM50" i="62"/>
  <c r="BJ62" i="62"/>
  <c r="BF50" i="62"/>
  <c r="AO49" i="62"/>
  <c r="AL61" i="62"/>
  <c r="AH48" i="62"/>
  <c r="BQ62" i="62"/>
  <c r="BM49" i="62"/>
  <c r="AO48" i="62"/>
  <c r="BQ61" i="62"/>
  <c r="BF48" i="62"/>
  <c r="AY50" i="62"/>
  <c r="AQ50" i="62"/>
  <c r="BW50" i="62"/>
  <c r="BG50" i="62"/>
  <c r="BC61" i="62"/>
  <c r="AY49" i="62"/>
  <c r="AU63" i="62"/>
  <c r="AQ49" i="62"/>
  <c r="BZ49" i="62"/>
  <c r="BR62" i="62"/>
  <c r="BN50" i="62"/>
  <c r="BK62" i="62"/>
  <c r="AU62" i="62"/>
  <c r="BW48" i="62"/>
  <c r="BO50" i="62"/>
  <c r="BK61" i="62"/>
  <c r="BG48" i="62"/>
  <c r="BX50" i="62"/>
  <c r="BS62" i="62"/>
  <c r="BO49" i="62"/>
  <c r="AZ50" i="62"/>
  <c r="AL63" i="62"/>
  <c r="AG47" i="62"/>
  <c r="BW51" i="62"/>
  <c r="BL51" i="62"/>
  <c r="BI63" i="62"/>
  <c r="AW51" i="62"/>
  <c r="AF51" i="62"/>
  <c r="BX51" i="62"/>
  <c r="AZ59" i="62"/>
  <c r="AX51" i="62"/>
  <c r="BO39" i="62"/>
  <c r="BU63" i="62"/>
  <c r="AI59" i="62"/>
  <c r="BM39" i="62"/>
  <c r="AO39" i="62"/>
  <c r="BS63" i="62"/>
  <c r="BM51" i="62"/>
  <c r="BJ63" i="62"/>
  <c r="BX48" i="62"/>
  <c r="BB63" i="62"/>
  <c r="BL39" i="62"/>
  <c r="AN39" i="62"/>
  <c r="BY51" i="62"/>
  <c r="BC63" i="62"/>
  <c r="AY51" i="62"/>
  <c r="BV63" i="62"/>
  <c r="BO51" i="62"/>
  <c r="BJ59" i="62"/>
  <c r="AZ51" i="62"/>
  <c r="AN46" i="62"/>
  <c r="BD47" i="62"/>
  <c r="AF47" i="62"/>
  <c r="BQ44" i="62"/>
  <c r="AN42" i="62"/>
  <c r="AI39" i="62"/>
  <c r="BW63" i="62"/>
  <c r="BP51" i="62"/>
  <c r="BL63" i="62"/>
  <c r="BI51" i="62"/>
  <c r="AQ51" i="62"/>
  <c r="AM46" i="62"/>
  <c r="AR43" i="62"/>
  <c r="BQ51" i="62"/>
  <c r="BE63" i="62"/>
  <c r="AR51" i="62"/>
  <c r="AL59" i="62"/>
  <c r="AF39" i="62"/>
  <c r="BZ51" i="62"/>
  <c r="BR51" i="62"/>
  <c r="BQ50" i="62"/>
  <c r="BP48" i="62"/>
  <c r="BA51" i="62"/>
  <c r="AR50" i="62"/>
  <c r="AI49" i="62"/>
  <c r="AR56" i="62"/>
  <c r="BX47" i="62"/>
  <c r="BC40" i="62"/>
  <c r="AE40" i="62"/>
  <c r="BW38" i="62"/>
  <c r="BC39" i="62"/>
  <c r="AE39" i="62"/>
  <c r="T51" i="62"/>
  <c r="BX62" i="62"/>
  <c r="BS51" i="62"/>
  <c r="BR50" i="62"/>
  <c r="BQ49" i="62"/>
  <c r="BM63" i="62"/>
  <c r="BL59" i="62"/>
  <c r="BJ51" i="62"/>
  <c r="BA50" i="62"/>
  <c r="AX62" i="62"/>
  <c r="AR49" i="62"/>
  <c r="AP48" i="62"/>
  <c r="BB39" i="62"/>
  <c r="BX61" i="62"/>
  <c r="BS50" i="62"/>
  <c r="BR49" i="62"/>
  <c r="BQ48" i="62"/>
  <c r="BM62" i="62"/>
  <c r="BF63" i="62"/>
  <c r="AS51" i="62"/>
  <c r="AR48" i="62"/>
  <c r="AG63" i="62"/>
  <c r="BV46" i="62"/>
  <c r="BE47" i="62"/>
  <c r="BU50" i="62"/>
  <c r="BT50" i="62"/>
  <c r="BR48" i="62"/>
  <c r="BQ47" i="62"/>
  <c r="BM61" i="62"/>
  <c r="BJ49" i="62"/>
  <c r="BB51" i="62"/>
  <c r="AS50" i="62"/>
  <c r="AR47" i="62"/>
  <c r="AN63" i="62"/>
  <c r="AG62" i="62"/>
  <c r="AZ40" i="62"/>
  <c r="W40" i="62"/>
  <c r="BT49" i="62"/>
  <c r="BS48" i="62"/>
  <c r="BQ46" i="62"/>
  <c r="BN63" i="62"/>
  <c r="BG63" i="62"/>
  <c r="BF61" i="62"/>
  <c r="BC51" i="62"/>
  <c r="BB50" i="62"/>
  <c r="AX59" i="62"/>
  <c r="AT51" i="62"/>
  <c r="AS49" i="62"/>
  <c r="AN62" i="62"/>
  <c r="AJ49" i="62"/>
  <c r="AG61" i="62"/>
  <c r="Z62" i="62"/>
  <c r="BT47" i="62"/>
  <c r="BD42" i="62"/>
  <c r="BD41" i="62"/>
  <c r="AF41" i="62"/>
  <c r="BW40" i="62"/>
  <c r="AY40" i="62"/>
  <c r="V40" i="62"/>
  <c r="BS38" i="62"/>
  <c r="AU38" i="62"/>
  <c r="AY39" i="62"/>
  <c r="BY62" i="62"/>
  <c r="BU48" i="62"/>
  <c r="BT48" i="62"/>
  <c r="BN62" i="62"/>
  <c r="BK51" i="62"/>
  <c r="BG62" i="62"/>
  <c r="BC50" i="62"/>
  <c r="BB49" i="62"/>
  <c r="AT50" i="62"/>
  <c r="AS48" i="62"/>
  <c r="AN61" i="62"/>
  <c r="AK49" i="62"/>
  <c r="Z51" i="62"/>
  <c r="AX40" i="62"/>
  <c r="U40" i="62"/>
  <c r="BY61" i="62"/>
  <c r="BV50" i="62"/>
  <c r="BT46" i="62"/>
  <c r="BO62" i="62"/>
  <c r="BN61" i="62"/>
  <c r="BK50" i="62"/>
  <c r="BC49" i="62"/>
  <c r="AU51" i="62"/>
  <c r="AT49" i="62"/>
  <c r="Z50" i="62"/>
  <c r="U67" i="62"/>
  <c r="BK49" i="62"/>
  <c r="AT48" i="62"/>
  <c r="W48" i="62"/>
  <c r="BA41" i="62"/>
  <c r="BT40" i="62"/>
  <c r="BZ62" i="62"/>
  <c r="BV48" i="62"/>
  <c r="BK48" i="62"/>
  <c r="AY59" i="62"/>
  <c r="AV51" i="62"/>
  <c r="AO62" i="62"/>
  <c r="AE51" i="62"/>
  <c r="I5" i="16"/>
  <c r="M2" i="18"/>
  <c r="M2" i="19"/>
  <c r="M2" i="66"/>
  <c r="I6" i="16"/>
  <c r="BR46" i="62"/>
  <c r="BP47" i="62"/>
  <c r="BK59" i="62"/>
  <c r="AQ47" i="62"/>
  <c r="AH59" i="62"/>
  <c r="V48" i="62"/>
  <c r="BR45" i="62"/>
  <c r="BK58" i="62"/>
  <c r="Y58" i="62"/>
  <c r="BT45" i="62"/>
  <c r="BX45" i="62"/>
  <c r="BI48" i="62"/>
  <c r="BA59" i="62"/>
  <c r="AT41" i="62"/>
  <c r="AS39" i="62"/>
  <c r="AL56" i="62"/>
  <c r="AJ59" i="62"/>
  <c r="BJ46" i="62"/>
  <c r="BB47" i="62"/>
  <c r="BU45" i="62"/>
  <c r="AW45" i="62"/>
  <c r="BO44" i="62"/>
  <c r="BJ42" i="62"/>
  <c r="BJ41" i="62"/>
  <c r="AL41" i="62"/>
  <c r="BI39" i="62"/>
  <c r="BX46" i="62"/>
  <c r="BI47" i="62"/>
  <c r="BC60" i="62"/>
  <c r="AU48" i="62"/>
  <c r="AF48" i="62"/>
  <c r="BI46" i="62"/>
  <c r="BY47" i="62"/>
  <c r="BA47" i="62"/>
  <c r="BI42" i="62"/>
  <c r="BI41" i="62"/>
  <c r="BH39" i="62"/>
  <c r="BL58" i="62"/>
  <c r="AM59" i="62"/>
  <c r="BM59" i="62"/>
  <c r="BC59" i="62"/>
  <c r="BB59" i="62"/>
  <c r="AW48" i="62"/>
  <c r="BH46" i="62"/>
  <c r="BY48" i="62"/>
  <c r="BS64" i="62"/>
  <c r="BL54" i="62"/>
  <c r="BJ48" i="62"/>
  <c r="BD59" i="62"/>
  <c r="BA56" i="62"/>
  <c r="AY52" i="62"/>
  <c r="AW39" i="62"/>
  <c r="AV48" i="62"/>
  <c r="AU39" i="62"/>
  <c r="AN59" i="62"/>
  <c r="BY67" i="62"/>
  <c r="BG46" i="62"/>
  <c r="BW47" i="62"/>
  <c r="AH39" i="62"/>
  <c r="BW45" i="62"/>
  <c r="BW46" i="62"/>
  <c r="BK46" i="62"/>
  <c r="BC47" i="62"/>
  <c r="BV45" i="62"/>
  <c r="BZ48" i="62"/>
  <c r="BO59" i="62"/>
  <c r="BN59" i="62"/>
  <c r="BJ47" i="62"/>
  <c r="BD58" i="62"/>
  <c r="AG48" i="62"/>
  <c r="BV47" i="62"/>
  <c r="BE39" i="62"/>
  <c r="AG39" i="62"/>
  <c r="BZ47" i="62"/>
  <c r="BO58" i="62"/>
  <c r="BL52" i="62"/>
  <c r="BE59" i="62"/>
  <c r="BA54" i="62"/>
  <c r="AZ52" i="62"/>
  <c r="AX48" i="62"/>
  <c r="AD59" i="62"/>
  <c r="BE46" i="62"/>
  <c r="AG46" i="62"/>
  <c r="BU47" i="62"/>
  <c r="AW47" i="62"/>
  <c r="BD39" i="62"/>
  <c r="BZ46" i="62"/>
  <c r="BE58" i="62"/>
  <c r="BD46" i="62"/>
  <c r="AF46" i="62"/>
  <c r="BO45" i="62"/>
  <c r="BU59" i="62"/>
  <c r="BT59" i="62"/>
  <c r="BS60" i="62"/>
  <c r="BR59" i="62"/>
  <c r="BP59" i="62"/>
  <c r="BF59" i="62"/>
  <c r="AY48" i="62"/>
  <c r="AQ59" i="62"/>
  <c r="AO59" i="62"/>
  <c r="AH41" i="62"/>
  <c r="BO65" i="62"/>
  <c r="BC46" i="62"/>
  <c r="BS47" i="62"/>
  <c r="BN45" i="62"/>
  <c r="BC41" i="62"/>
  <c r="AE41" i="62"/>
  <c r="BZ39" i="62"/>
  <c r="BU58" i="62"/>
  <c r="BS59" i="62"/>
  <c r="BQ59" i="62"/>
  <c r="BP58" i="62"/>
  <c r="BN55" i="62"/>
  <c r="BH64" i="62"/>
  <c r="BF58" i="62"/>
  <c r="AW66" i="62"/>
  <c r="AU64" i="62"/>
  <c r="AO58" i="62"/>
  <c r="AK48" i="62"/>
  <c r="AI48" i="62"/>
  <c r="AF64" i="62"/>
  <c r="BB46" i="62"/>
  <c r="BR47" i="62"/>
  <c r="BZ42" i="62"/>
  <c r="BZ41" i="62"/>
  <c r="BB41" i="62"/>
  <c r="BU40" i="62"/>
  <c r="AW40" i="62"/>
  <c r="T40" i="62"/>
  <c r="AS38" i="62"/>
  <c r="BY39" i="62"/>
  <c r="AZ48" i="62"/>
  <c r="AR59" i="62"/>
  <c r="AP59" i="62"/>
  <c r="AL47" i="62"/>
  <c r="AK46" i="62"/>
  <c r="AI46" i="62"/>
  <c r="BY46" i="62"/>
  <c r="BY41" i="62"/>
  <c r="BX39" i="62"/>
  <c r="BL48" i="62"/>
  <c r="AL46" i="62"/>
  <c r="BX42" i="62"/>
  <c r="BX60" i="62"/>
  <c r="BW59" i="62"/>
  <c r="BR55" i="62"/>
  <c r="BQ56" i="62"/>
  <c r="BN52" i="62"/>
  <c r="BG58" i="62"/>
  <c r="BA48" i="62"/>
  <c r="AS59" i="62"/>
  <c r="AM47" i="62"/>
  <c r="AL42" i="62"/>
  <c r="AK39" i="62"/>
  <c r="AJ48" i="62"/>
  <c r="AG64" i="62"/>
  <c r="W59" i="62"/>
  <c r="BW41" i="62"/>
  <c r="BV56" i="62"/>
  <c r="AT59" i="62"/>
  <c r="AL38" i="62"/>
  <c r="AK38" i="62"/>
  <c r="AE59" i="62"/>
  <c r="BG59" i="62"/>
  <c r="BX58" i="62"/>
  <c r="BQ54" i="62"/>
  <c r="BM48" i="62"/>
  <c r="BI59" i="62"/>
  <c r="BH59" i="62"/>
  <c r="BC48" i="62"/>
  <c r="BB48" i="62"/>
  <c r="BA39" i="62"/>
  <c r="AU59" i="62"/>
  <c r="U52" i="62"/>
  <c r="BV59" i="62"/>
  <c r="BV58" i="62"/>
  <c r="AZ39" i="62"/>
  <c r="AM48" i="62"/>
  <c r="BR52" i="62"/>
  <c r="BP52" i="62"/>
  <c r="BJ60" i="62"/>
  <c r="BH58" i="62"/>
  <c r="BD48" i="62"/>
  <c r="AN48" i="62"/>
  <c r="AH64" i="62"/>
  <c r="BL47" i="62"/>
  <c r="AQ56" i="62"/>
  <c r="BX41" i="62"/>
  <c r="BX56" i="62"/>
  <c r="BO48" i="62"/>
  <c r="BN48" i="62"/>
  <c r="BD45" i="62"/>
  <c r="AZ66" i="62"/>
  <c r="AW59" i="62"/>
  <c r="AV59" i="62"/>
  <c r="BK47" i="62"/>
  <c r="BK45" i="62"/>
  <c r="BY59" i="62"/>
  <c r="BO47" i="62"/>
  <c r="BE48" i="62"/>
  <c r="AR52" i="62"/>
  <c r="AK64" i="62"/>
  <c r="AI64" i="62"/>
  <c r="AG59" i="62"/>
  <c r="BY58" i="62"/>
  <c r="BH55" i="62"/>
  <c r="BE45" i="62"/>
  <c r="AP52" i="62"/>
  <c r="U48" i="62"/>
  <c r="BW64" i="62"/>
  <c r="BS53" i="62"/>
  <c r="BQ58" i="62"/>
  <c r="BM64" i="62"/>
  <c r="BI64" i="62"/>
  <c r="BG41" i="62"/>
  <c r="BF45" i="62"/>
  <c r="AW53" i="62"/>
  <c r="AU53" i="62"/>
  <c r="AT52" i="62"/>
  <c r="AS52" i="62"/>
  <c r="AR54" i="62"/>
  <c r="AQ53" i="62"/>
  <c r="AM49" i="62"/>
  <c r="AL49" i="62"/>
  <c r="AI52" i="62"/>
  <c r="AH52" i="62"/>
  <c r="BZ57" i="62"/>
  <c r="BV41" i="62"/>
  <c r="BS52" i="62"/>
  <c r="BQ57" i="62"/>
  <c r="BN64" i="62"/>
  <c r="BF41" i="62"/>
  <c r="BB53" i="62"/>
  <c r="AW52" i="62"/>
  <c r="AU52" i="62"/>
  <c r="AR53" i="62"/>
  <c r="AQ52" i="62"/>
  <c r="AO52" i="62"/>
  <c r="AJ52" i="62"/>
  <c r="AE53" i="62"/>
  <c r="BY57" i="62"/>
  <c r="BZ52" i="62"/>
  <c r="BU64" i="62"/>
  <c r="BT41" i="62"/>
  <c r="BQ52" i="62"/>
  <c r="BO54" i="62"/>
  <c r="BM58" i="62"/>
  <c r="BL57" i="62"/>
  <c r="BJ58" i="62"/>
  <c r="BI58" i="62"/>
  <c r="BF64" i="62"/>
  <c r="AS41" i="62"/>
  <c r="AJ41" i="62"/>
  <c r="AI41" i="62"/>
  <c r="U49" i="62"/>
  <c r="AH27" i="68"/>
  <c r="AH31" i="68"/>
  <c r="BT42" i="62"/>
  <c r="BP57" i="62"/>
  <c r="AH26" i="68"/>
  <c r="AK26" i="68" s="1"/>
  <c r="BV61" i="62"/>
  <c r="BO53" i="62"/>
  <c r="BN58" i="62"/>
  <c r="BM57" i="62"/>
  <c r="BL56" i="62"/>
  <c r="BJ57" i="62"/>
  <c r="BI57" i="62"/>
  <c r="BH61" i="62"/>
  <c r="BE64" i="62"/>
  <c r="BD64" i="62"/>
  <c r="BA49" i="62"/>
  <c r="AZ49" i="62"/>
  <c r="AP49" i="62"/>
  <c r="W49" i="62"/>
  <c r="AX38" i="62"/>
  <c r="BZ53" i="62"/>
  <c r="BQ53" i="62"/>
  <c r="BK57" i="62"/>
  <c r="Y57" i="62"/>
  <c r="AH29" i="68"/>
  <c r="BY53" i="62"/>
  <c r="BX53" i="62"/>
  <c r="BW57" i="62"/>
  <c r="BS45" i="62"/>
  <c r="BO52" i="62"/>
  <c r="BN57" i="62"/>
  <c r="BM56" i="62"/>
  <c r="BJ56" i="62"/>
  <c r="BI56" i="62"/>
  <c r="AY41" i="62"/>
  <c r="AX41" i="62"/>
  <c r="AL64" i="62"/>
  <c r="BF46" i="62"/>
  <c r="AH46" i="62"/>
  <c r="BQ45" i="62"/>
  <c r="BY40" i="62"/>
  <c r="BA40" i="62"/>
  <c r="X40" i="62"/>
  <c r="BU38" i="62"/>
  <c r="AW38" i="62"/>
  <c r="BX57" i="62"/>
  <c r="BY52" i="62"/>
  <c r="BX52" i="62"/>
  <c r="BW56" i="62"/>
  <c r="BT64" i="62"/>
  <c r="BS41" i="62"/>
  <c r="BP53" i="62"/>
  <c r="BN56" i="62"/>
  <c r="AZ41" i="62"/>
  <c r="AM64" i="62"/>
  <c r="BP45" i="62"/>
  <c r="AR45" i="62"/>
  <c r="BE42" i="62"/>
  <c r="BE41" i="62"/>
  <c r="AG41" i="62"/>
  <c r="BU57" i="62"/>
  <c r="BG54" i="62"/>
  <c r="BE57" i="62"/>
  <c r="BD57" i="62"/>
  <c r="AX64" i="62"/>
  <c r="AS61" i="62"/>
  <c r="AL58" i="62"/>
  <c r="AF61" i="62"/>
  <c r="AE64" i="62"/>
  <c r="BV54" i="62"/>
  <c r="BU56" i="62"/>
  <c r="BQ43" i="62"/>
  <c r="BH53" i="62"/>
  <c r="BG53" i="62"/>
  <c r="BE56" i="62"/>
  <c r="BA64" i="62"/>
  <c r="AZ64" i="62"/>
  <c r="AY64" i="62"/>
  <c r="AV64" i="62"/>
  <c r="AQ61" i="62"/>
  <c r="AP64" i="62"/>
  <c r="AM58" i="62"/>
  <c r="AL57" i="62"/>
  <c r="AI61" i="62"/>
  <c r="AP38" i="62"/>
  <c r="BR64" i="62"/>
  <c r="AH31" i="71"/>
  <c r="AK31" i="71" s="1"/>
  <c r="AH25" i="67"/>
  <c r="BW49" i="62"/>
  <c r="BV53" i="62"/>
  <c r="BS61" i="62"/>
  <c r="BR63" i="62"/>
  <c r="BQ41" i="62"/>
  <c r="BP39" i="62"/>
  <c r="BO43" i="62"/>
  <c r="BN49" i="62"/>
  <c r="BH52" i="62"/>
  <c r="BG52" i="62"/>
  <c r="BC58" i="62"/>
  <c r="BB61" i="62"/>
  <c r="BA63" i="62"/>
  <c r="AW61" i="62"/>
  <c r="AP63" i="62"/>
  <c r="AN58" i="62"/>
  <c r="AM57" i="62"/>
  <c r="AK58" i="62"/>
  <c r="X64" i="62"/>
  <c r="BM38" i="62"/>
  <c r="AO38" i="62"/>
  <c r="BG57" i="62"/>
  <c r="BN53" i="62"/>
  <c r="AH28" i="68"/>
  <c r="AH27" i="74"/>
  <c r="AK27" i="74" s="1"/>
  <c r="BV52" i="62"/>
  <c r="BU54" i="62"/>
  <c r="BQ40" i="62"/>
  <c r="BO67" i="62"/>
  <c r="BO40" i="62"/>
  <c r="BH51" i="62"/>
  <c r="BG51" i="62"/>
  <c r="BF53" i="62"/>
  <c r="AS58" i="62"/>
  <c r="AN57" i="62"/>
  <c r="AK57" i="62"/>
  <c r="AF58" i="62"/>
  <c r="S58" i="62"/>
  <c r="BU46" i="62"/>
  <c r="BM47" i="62"/>
  <c r="AW42" i="62"/>
  <c r="BU41" i="62"/>
  <c r="AW41" i="62"/>
  <c r="BP40" i="62"/>
  <c r="AR40" i="62"/>
  <c r="BV57" i="62"/>
  <c r="O30" i="63"/>
  <c r="BW53" i="62"/>
  <c r="BF57" i="62"/>
  <c r="BT58" i="62"/>
  <c r="BZ64" i="62"/>
  <c r="BX67" i="62"/>
  <c r="BV51" i="62"/>
  <c r="BU53" i="62"/>
  <c r="BT55" i="62"/>
  <c r="BR61" i="62"/>
  <c r="BQ63" i="62"/>
  <c r="BQ39" i="62"/>
  <c r="BM40" i="62"/>
  <c r="BL40" i="62"/>
  <c r="BF52" i="62"/>
  <c r="BE53" i="62"/>
  <c r="BD53" i="62"/>
  <c r="BA61" i="62"/>
  <c r="AT58" i="62"/>
  <c r="AS57" i="62"/>
  <c r="AQ58" i="62"/>
  <c r="AP61" i="62"/>
  <c r="AK56" i="62"/>
  <c r="AI58" i="62"/>
  <c r="AH58" i="62"/>
  <c r="AG58" i="62"/>
  <c r="AF57" i="62"/>
  <c r="AC49" i="62"/>
  <c r="S57" i="62"/>
  <c r="P58" i="62"/>
  <c r="BU52" i="62"/>
  <c r="BS58" i="62"/>
  <c r="BE52" i="62"/>
  <c r="BD52" i="62"/>
  <c r="BC56" i="62"/>
  <c r="AW58" i="62"/>
  <c r="AU58" i="62"/>
  <c r="AT57" i="62"/>
  <c r="AR58" i="62"/>
  <c r="AQ57" i="62"/>
  <c r="AJ58" i="62"/>
  <c r="AI57" i="62"/>
  <c r="AH57" i="62"/>
  <c r="AG57" i="62"/>
  <c r="AF56" i="62"/>
  <c r="S56" i="62"/>
  <c r="N54" i="62"/>
  <c r="AH29" i="67"/>
  <c r="AH25" i="68"/>
  <c r="BV49" i="62"/>
  <c r="BU51" i="62"/>
  <c r="BT53" i="62"/>
  <c r="BS57" i="62"/>
  <c r="BO64" i="62"/>
  <c r="BL67" i="62"/>
  <c r="BJ67" i="62"/>
  <c r="BG49" i="62"/>
  <c r="BE51" i="62"/>
  <c r="BD51" i="62"/>
  <c r="BC55" i="62"/>
  <c r="BB58" i="62"/>
  <c r="AW57" i="62"/>
  <c r="AU57" i="62"/>
  <c r="AT56" i="62"/>
  <c r="AS55" i="62"/>
  <c r="AR57" i="62"/>
  <c r="AO57" i="62"/>
  <c r="AJ57" i="62"/>
  <c r="AI56" i="62"/>
  <c r="AG56" i="62"/>
  <c r="AE58" i="62"/>
  <c r="AB58" i="62"/>
  <c r="AH30" i="68"/>
  <c r="AH26" i="67"/>
  <c r="BZ61" i="62"/>
  <c r="BY64" i="62"/>
  <c r="BX64" i="62"/>
  <c r="BW67" i="62"/>
  <c r="BT52" i="62"/>
  <c r="BS56" i="62"/>
  <c r="BR58" i="62"/>
  <c r="BO63" i="62"/>
  <c r="BM67" i="62"/>
  <c r="BI67" i="62"/>
  <c r="BF49" i="62"/>
  <c r="BB57" i="62"/>
  <c r="BA58" i="62"/>
  <c r="AY58" i="62"/>
  <c r="AX58" i="62"/>
  <c r="AW56" i="62"/>
  <c r="AV58" i="62"/>
  <c r="AP58" i="62"/>
  <c r="AO56" i="62"/>
  <c r="AM52" i="62"/>
  <c r="AL52" i="62"/>
  <c r="AJ56" i="62"/>
  <c r="AE57" i="62"/>
  <c r="BH57" i="62"/>
  <c r="BY63" i="62"/>
  <c r="BX63" i="62"/>
  <c r="BU49" i="62"/>
  <c r="BT51" i="62"/>
  <c r="BR57" i="62"/>
  <c r="BN67" i="62"/>
  <c r="BK64" i="62"/>
  <c r="BI66" i="62"/>
  <c r="BE49" i="62"/>
  <c r="BD49" i="62"/>
  <c r="BC53" i="62"/>
  <c r="BB56" i="62"/>
  <c r="BA57" i="62"/>
  <c r="AZ58" i="62"/>
  <c r="AY57" i="62"/>
  <c r="AX57" i="62"/>
  <c r="AV57" i="62"/>
  <c r="AP57" i="62"/>
  <c r="AO55" i="62"/>
  <c r="AN52" i="62"/>
  <c r="AK52" i="62"/>
  <c r="AA64" i="62"/>
  <c r="X58" i="62"/>
  <c r="W58" i="62"/>
  <c r="V65" i="62"/>
  <c r="BW39" i="62"/>
  <c r="BR56" i="62"/>
  <c r="BO61" i="62"/>
  <c r="BL64" i="62"/>
  <c r="BK63" i="62"/>
  <c r="BJ64" i="62"/>
  <c r="BC52" i="62"/>
  <c r="AZ57" i="62"/>
  <c r="AY56" i="62"/>
  <c r="AV56" i="62"/>
  <c r="AT53" i="62"/>
  <c r="AR55" i="62"/>
  <c r="AF52" i="62"/>
  <c r="BI38" i="62"/>
  <c r="BE55" i="62"/>
  <c r="AS65" i="62"/>
  <c r="BY38" i="62"/>
  <c r="BO38" i="62"/>
  <c r="AN66" i="62"/>
  <c r="BK54" i="62"/>
  <c r="BC38" i="62"/>
  <c r="AV38" i="62"/>
  <c r="BK39" i="62"/>
  <c r="AM39" i="62"/>
  <c r="BG65" i="62"/>
  <c r="BE50" i="62"/>
  <c r="AI66" i="62"/>
  <c r="AG40" i="62"/>
  <c r="AE50" i="62"/>
  <c r="AA62" i="62"/>
  <c r="BN65" i="62"/>
  <c r="BN38" i="62"/>
  <c r="AG65" i="62"/>
  <c r="BS65" i="62"/>
  <c r="AG38" i="62"/>
  <c r="BJ54" i="62"/>
  <c r="BP54" i="62"/>
  <c r="BB38" i="62"/>
  <c r="AX54" i="62"/>
  <c r="AP54" i="62"/>
  <c r="BR65" i="62"/>
  <c r="AO53" i="62"/>
  <c r="AN54" i="62"/>
  <c r="AM55" i="62"/>
  <c r="AF38" i="62"/>
  <c r="AE38" i="62"/>
  <c r="X51" i="62"/>
  <c r="BY54" i="62"/>
  <c r="BL38" i="62"/>
  <c r="BJ50" i="62"/>
  <c r="BB62" i="62"/>
  <c r="AN53" i="62"/>
  <c r="AF63" i="62"/>
  <c r="BV38" i="62"/>
  <c r="BT54" i="62"/>
  <c r="BF62" i="62"/>
  <c r="BE65" i="62"/>
  <c r="AS63" i="62"/>
  <c r="AP51" i="62"/>
  <c r="AM53" i="62"/>
  <c r="AE66" i="62"/>
  <c r="BA38" i="62"/>
  <c r="AX50" i="62"/>
  <c r="AS62" i="62"/>
  <c r="AR38" i="62"/>
  <c r="AP50" i="62"/>
  <c r="AO51" i="62"/>
  <c r="AN51" i="62"/>
  <c r="AP43" i="62"/>
  <c r="BK65" i="62"/>
  <c r="BI50" i="62"/>
  <c r="BE38" i="62"/>
  <c r="AW50" i="62"/>
  <c r="AQ38" i="62"/>
  <c r="AO50" i="62"/>
  <c r="AN50" i="62"/>
  <c r="AM51" i="62"/>
  <c r="AL53" i="62"/>
  <c r="W50" i="62"/>
  <c r="S55" i="62"/>
  <c r="BP46" i="62"/>
  <c r="AR46" i="62"/>
  <c r="BM43" i="62"/>
  <c r="AO34" i="62"/>
  <c r="BH47" i="62"/>
  <c r="BC45" i="62"/>
  <c r="BU44" i="62"/>
  <c r="AW34" i="62"/>
  <c r="BP41" i="62"/>
  <c r="AR41" i="62"/>
  <c r="BK40" i="62"/>
  <c r="AM40" i="62"/>
  <c r="BH38" i="62"/>
  <c r="AJ38" i="62"/>
  <c r="BH54" i="62"/>
  <c r="BE62" i="62"/>
  <c r="BA62" i="62"/>
  <c r="AR62" i="62"/>
  <c r="AM50" i="62"/>
  <c r="AK53" i="62"/>
  <c r="S54" i="62"/>
  <c r="BO46" i="62"/>
  <c r="AQ46" i="62"/>
  <c r="BL43" i="62"/>
  <c r="AN43" i="62"/>
  <c r="BG47" i="62"/>
  <c r="AI47" i="62"/>
  <c r="BZ45" i="62"/>
  <c r="BB45" i="62"/>
  <c r="BT44" i="62"/>
  <c r="BO41" i="62"/>
  <c r="AQ41" i="62"/>
  <c r="BJ40" i="62"/>
  <c r="BG38" i="62"/>
  <c r="AI38" i="62"/>
  <c r="BL62" i="62"/>
  <c r="BK38" i="62"/>
  <c r="AY38" i="62"/>
  <c r="AV54" i="62"/>
  <c r="AP40" i="62"/>
  <c r="AL51" i="62"/>
  <c r="AE62" i="62"/>
  <c r="U53" i="62"/>
  <c r="T54" i="62"/>
  <c r="AK45" i="62"/>
  <c r="BN46" i="62"/>
  <c r="BK43" i="62"/>
  <c r="AM43" i="62"/>
  <c r="BF47" i="62"/>
  <c r="AH47" i="62"/>
  <c r="BY34" i="62"/>
  <c r="BA34" i="62"/>
  <c r="BS44" i="62"/>
  <c r="AU34" i="62"/>
  <c r="BN42" i="62"/>
  <c r="BN41" i="62"/>
  <c r="AP34" i="62"/>
  <c r="BI40" i="62"/>
  <c r="AK40" i="62"/>
  <c r="AH38" i="62"/>
  <c r="BW54" i="62"/>
  <c r="BQ38" i="62"/>
  <c r="BN54" i="62"/>
  <c r="AU54" i="62"/>
  <c r="AL50" i="62"/>
  <c r="AK51" i="62"/>
  <c r="AI53" i="62"/>
  <c r="AH53" i="62"/>
  <c r="BZ38" i="62"/>
  <c r="BS54" i="62"/>
  <c r="BJ38" i="62"/>
  <c r="AO40" i="62"/>
  <c r="AK50" i="62"/>
  <c r="AJ53" i="62"/>
  <c r="AG53" i="62"/>
  <c r="U51" i="62"/>
  <c r="BP38" i="62"/>
  <c r="BD38" i="62"/>
  <c r="AQ62" i="62"/>
  <c r="AI51" i="62"/>
  <c r="AH51" i="62"/>
  <c r="AF55" i="62"/>
  <c r="AC51" i="62"/>
  <c r="U50" i="62"/>
  <c r="BD62" i="62"/>
  <c r="BB54" i="62"/>
  <c r="AZ62" i="62"/>
  <c r="AN40" i="62"/>
  <c r="AJ51" i="62"/>
  <c r="AI50" i="62"/>
  <c r="AH50" i="62"/>
  <c r="AG51" i="62"/>
  <c r="AF34" i="62"/>
  <c r="AC50" i="62"/>
  <c r="W39" i="62"/>
  <c r="BQ34" i="62"/>
  <c r="BM54" i="62"/>
  <c r="BI65" i="62"/>
  <c r="BF54" i="62"/>
  <c r="AY34" i="62"/>
  <c r="AV50" i="62"/>
  <c r="AM38" i="62"/>
  <c r="AJ50" i="62"/>
  <c r="AF53" i="62"/>
  <c r="BD34" i="62"/>
  <c r="BB34" i="62"/>
  <c r="AM34" i="62"/>
  <c r="BZ65" i="62"/>
  <c r="BZ44" i="62"/>
  <c r="BP56" i="62"/>
  <c r="AY66" i="62"/>
  <c r="AU56" i="62"/>
  <c r="AS45" i="62"/>
  <c r="AH65" i="62"/>
  <c r="AU41" i="62"/>
  <c r="BZ43" i="62"/>
  <c r="BW66" i="62"/>
  <c r="BP55" i="62"/>
  <c r="BM66" i="62"/>
  <c r="AY65" i="62"/>
  <c r="AY43" i="62"/>
  <c r="AU55" i="62"/>
  <c r="AS44" i="62"/>
  <c r="AQ43" i="62"/>
  <c r="BW44" i="62"/>
  <c r="AY44" i="62"/>
  <c r="BG34" i="62"/>
  <c r="BW65" i="62"/>
  <c r="BS66" i="62"/>
  <c r="BM65" i="62"/>
  <c r="AS66" i="62"/>
  <c r="AS43" i="62"/>
  <c r="BV44" i="62"/>
  <c r="AJ34" i="62"/>
  <c r="BW43" i="62"/>
  <c r="BM45" i="62"/>
  <c r="BK44" i="62"/>
  <c r="BD56" i="62"/>
  <c r="BC65" i="62"/>
  <c r="BM46" i="62"/>
  <c r="AO46" i="62"/>
  <c r="BL34" i="62"/>
  <c r="BX55" i="62"/>
  <c r="BU43" i="62"/>
  <c r="BS43" i="62"/>
  <c r="BM44" i="62"/>
  <c r="BI45" i="62"/>
  <c r="BF56" i="62"/>
  <c r="BD55" i="62"/>
  <c r="BA65" i="62"/>
  <c r="AV66" i="62"/>
  <c r="AV43" i="62"/>
  <c r="AP65" i="62"/>
  <c r="AP41" i="62"/>
  <c r="AM65" i="62"/>
  <c r="AM45" i="62"/>
  <c r="AJ66" i="62"/>
  <c r="AD55" i="62"/>
  <c r="BL46" i="62"/>
  <c r="K41" i="62"/>
  <c r="BE66" i="62"/>
  <c r="AG34" i="62"/>
  <c r="BE34" i="62"/>
  <c r="BA66" i="62"/>
  <c r="AL55" i="62"/>
  <c r="BI44" i="62"/>
  <c r="BH56" i="62"/>
  <c r="BF55" i="62"/>
  <c r="AZ56" i="62"/>
  <c r="AV65" i="62"/>
  <c r="AN56" i="62"/>
  <c r="AJ44" i="62"/>
  <c r="AG44" i="62"/>
  <c r="AE56" i="62"/>
  <c r="X67" i="62"/>
  <c r="AM66" i="62"/>
  <c r="AI55" i="62"/>
  <c r="BI34" i="62"/>
  <c r="BY66" i="62"/>
  <c r="BI43" i="62"/>
  <c r="AZ55" i="62"/>
  <c r="AR66" i="62"/>
  <c r="AJ65" i="62"/>
  <c r="AJ43" i="62"/>
  <c r="AG43" i="62"/>
  <c r="AE55" i="62"/>
  <c r="X66" i="62"/>
  <c r="BY65" i="62"/>
  <c r="BY45" i="62"/>
  <c r="AX65" i="62"/>
  <c r="AW55" i="62"/>
  <c r="AT55" i="62"/>
  <c r="AR65" i="62"/>
  <c r="AH56" i="62"/>
  <c r="BX38" i="62"/>
  <c r="BC66" i="62"/>
  <c r="BZ55" i="62"/>
  <c r="BY44" i="62"/>
  <c r="BQ55" i="62"/>
  <c r="BP66" i="62"/>
  <c r="BO55" i="62"/>
  <c r="BB55" i="62"/>
  <c r="AX44" i="62"/>
  <c r="AR44" i="62"/>
  <c r="AK55" i="62"/>
  <c r="BH34" i="62"/>
  <c r="AZ38" i="62"/>
  <c r="BY43" i="62"/>
  <c r="BP65" i="62"/>
  <c r="BP44" i="62"/>
  <c r="BK56" i="62"/>
  <c r="BG44" i="62"/>
  <c r="BE44" i="62"/>
  <c r="BC44" i="62"/>
  <c r="BA44" i="62"/>
  <c r="AX43" i="62"/>
  <c r="AH55" i="62"/>
  <c r="AF43" i="62"/>
  <c r="BV66" i="62"/>
  <c r="BP43" i="62"/>
  <c r="BL45" i="62"/>
  <c r="BG43" i="62"/>
  <c r="BE43" i="62"/>
  <c r="BA43" i="62"/>
  <c r="AU65" i="62"/>
  <c r="AU43" i="62"/>
  <c r="AS56" i="62"/>
  <c r="AM44" i="62"/>
  <c r="AG66" i="62"/>
  <c r="AP66" i="62"/>
  <c r="BU55" i="62"/>
  <c r="BR44" i="62"/>
  <c r="BL66" i="62"/>
  <c r="BL44" i="62"/>
  <c r="BJ66" i="62"/>
  <c r="BJ45" i="62"/>
  <c r="AY55" i="62"/>
  <c r="AO43" i="62"/>
  <c r="AL66" i="62"/>
  <c r="V55" i="62"/>
  <c r="AL44" i="62"/>
  <c r="BW55" i="62"/>
  <c r="BR43" i="62"/>
  <c r="BN66" i="62"/>
  <c r="BL65" i="62"/>
  <c r="BJ65" i="62"/>
  <c r="BJ44" i="62"/>
  <c r="AL65" i="62"/>
  <c r="AL45" i="62"/>
  <c r="AI45" i="62"/>
  <c r="S66" i="62"/>
  <c r="BV43" i="62"/>
  <c r="BT66" i="62"/>
  <c r="BM55" i="62"/>
  <c r="BJ43" i="62"/>
  <c r="AL43" i="62"/>
  <c r="AI44" i="62"/>
  <c r="AU47" i="62"/>
  <c r="BT65" i="62"/>
  <c r="BI55" i="62"/>
  <c r="AI65" i="62"/>
  <c r="AI43" i="62"/>
  <c r="AF65" i="62"/>
  <c r="W66" i="62"/>
  <c r="AT47" i="62"/>
  <c r="Y41" i="62"/>
  <c r="AS34" i="62"/>
  <c r="BN34" i="62"/>
  <c r="AI34" i="62"/>
  <c r="BX44" i="62"/>
  <c r="BS55" i="62"/>
  <c r="BN44" i="62"/>
  <c r="BG56" i="62"/>
  <c r="AQ45" i="62"/>
  <c r="AM56" i="62"/>
  <c r="AV40" i="62"/>
  <c r="BX43" i="62"/>
  <c r="BT43" i="62"/>
  <c r="BN43" i="62"/>
  <c r="BG55" i="62"/>
  <c r="AQ44" i="62"/>
  <c r="AP55" i="62"/>
  <c r="W65" i="62"/>
  <c r="U56" i="62"/>
  <c r="W41" i="62"/>
  <c r="BX65" i="62"/>
  <c r="BQ66" i="62"/>
  <c r="BO66" i="62"/>
  <c r="BH66" i="62"/>
  <c r="BH44" i="62"/>
  <c r="BD66" i="62"/>
  <c r="BD44" i="62"/>
  <c r="AW65" i="62"/>
  <c r="AW44" i="62"/>
  <c r="AQ65" i="62"/>
  <c r="AJ55" i="62"/>
  <c r="W43" i="62"/>
  <c r="U55" i="62"/>
  <c r="BQ65" i="62"/>
  <c r="BH43" i="62"/>
  <c r="BF65" i="62"/>
  <c r="BF44" i="62"/>
  <c r="BD65" i="62"/>
  <c r="BD43" i="62"/>
  <c r="BB66" i="62"/>
  <c r="AW43" i="62"/>
  <c r="AT65" i="62"/>
  <c r="AT43" i="62"/>
  <c r="AN45" i="62"/>
  <c r="AH45" i="62"/>
  <c r="BU66" i="62"/>
  <c r="BF43" i="62"/>
  <c r="BB65" i="62"/>
  <c r="BB44" i="62"/>
  <c r="BA55" i="62"/>
  <c r="AX56" i="62"/>
  <c r="AK66" i="62"/>
  <c r="AH44" i="62"/>
  <c r="BH45" i="62"/>
  <c r="AJ45" i="62"/>
  <c r="BZ66" i="62"/>
  <c r="BU65" i="62"/>
  <c r="BB43" i="62"/>
  <c r="AR34" i="62"/>
  <c r="AN65" i="62"/>
  <c r="AK65" i="62"/>
  <c r="AK43" i="62"/>
  <c r="AH66" i="62"/>
  <c r="AH43" i="62"/>
  <c r="AE65" i="62"/>
  <c r="S59" i="62"/>
  <c r="BX34" i="62"/>
  <c r="Z20" i="19"/>
  <c r="Z45" i="17"/>
  <c r="Z27" i="62"/>
  <c r="Z61" i="62" s="1"/>
  <c r="AD9" i="62"/>
  <c r="AD43" i="62" s="1"/>
  <c r="BD23" i="18"/>
  <c r="AA22" i="62"/>
  <c r="AA56" i="62" s="1"/>
  <c r="AA48" i="17"/>
  <c r="AA12" i="62"/>
  <c r="AA46" i="62" s="1"/>
  <c r="Z25" i="62"/>
  <c r="Z59" i="62" s="1"/>
  <c r="Y39" i="17"/>
  <c r="AR23" i="70"/>
  <c r="AW23" i="66"/>
  <c r="BA23" i="74"/>
  <c r="BF23" i="74"/>
  <c r="AY23" i="73"/>
  <c r="AQ23" i="18"/>
  <c r="AD29" i="62"/>
  <c r="AD63" i="62" s="1"/>
  <c r="AC20" i="62"/>
  <c r="AC54" i="62" s="1"/>
  <c r="AB27" i="62"/>
  <c r="AB61" i="62" s="1"/>
  <c r="AA32" i="62"/>
  <c r="AA66" i="62" s="1"/>
  <c r="Y27" i="62"/>
  <c r="Y61" i="62" s="1"/>
  <c r="AA50" i="17"/>
  <c r="X47" i="17"/>
  <c r="AB41" i="17"/>
  <c r="X43" i="17"/>
  <c r="AB7" i="62"/>
  <c r="AB41" i="62" s="1"/>
  <c r="AB6" i="62"/>
  <c r="AB40" i="62" s="1"/>
  <c r="AD4" i="62"/>
  <c r="BG23" i="18"/>
  <c r="BE23" i="66"/>
  <c r="BG23" i="73"/>
  <c r="AO23" i="74"/>
  <c r="AT23" i="66"/>
  <c r="AP23" i="18"/>
  <c r="AD28" i="62"/>
  <c r="AD62" i="62" s="1"/>
  <c r="AC19" i="62"/>
  <c r="AC53" i="62" s="1"/>
  <c r="AB26" i="62"/>
  <c r="AB60" i="62" s="1"/>
  <c r="AA31" i="62"/>
  <c r="AA65" i="62" s="1"/>
  <c r="Z18" i="62"/>
  <c r="Z52" i="62" s="1"/>
  <c r="Y26" i="62"/>
  <c r="Y60" i="62" s="1"/>
  <c r="Z50" i="17"/>
  <c r="AA41" i="17"/>
  <c r="Y43" i="17"/>
  <c r="AA7" i="62"/>
  <c r="AA41" i="62" s="1"/>
  <c r="AA6" i="62"/>
  <c r="AA40" i="62" s="1"/>
  <c r="AC4" i="62"/>
  <c r="AC38" i="62" s="1"/>
  <c r="AV23" i="18"/>
  <c r="BH23" i="18"/>
  <c r="AO23" i="18"/>
  <c r="AD27" i="62"/>
  <c r="AD61" i="62" s="1"/>
  <c r="AC18" i="62"/>
  <c r="AC52" i="62" s="1"/>
  <c r="Y25" i="62"/>
  <c r="Y59" i="62" s="1"/>
  <c r="Y50" i="17"/>
  <c r="Z41" i="17"/>
  <c r="Z7" i="62"/>
  <c r="Z41" i="62" s="1"/>
  <c r="Z6" i="62"/>
  <c r="Z40" i="62" s="1"/>
  <c r="AB4" i="62"/>
  <c r="AB38" i="62" s="1"/>
  <c r="AT23" i="70"/>
  <c r="AV23" i="74"/>
  <c r="BF23" i="70"/>
  <c r="AD23" i="62"/>
  <c r="AD57" i="62" s="1"/>
  <c r="AC33" i="62"/>
  <c r="AC67" i="62" s="1"/>
  <c r="AB21" i="62"/>
  <c r="AB55" i="62" s="1"/>
  <c r="Z31" i="62"/>
  <c r="Z65" i="62" s="1"/>
  <c r="Z14" i="62"/>
  <c r="Z48" i="62" s="1"/>
  <c r="Y20" i="62"/>
  <c r="Y54" i="62" s="1"/>
  <c r="Z49" i="17"/>
  <c r="AA44" i="17"/>
  <c r="X40" i="17"/>
  <c r="Y52" i="17"/>
  <c r="AD5" i="62"/>
  <c r="AD39" i="62" s="1"/>
  <c r="Z46" i="17"/>
  <c r="AA40" i="17"/>
  <c r="AB52" i="17"/>
  <c r="AE108" i="62"/>
  <c r="BF23" i="66"/>
  <c r="AB23" i="62"/>
  <c r="AB57" i="62" s="1"/>
  <c r="AB49" i="17"/>
  <c r="AA52" i="17"/>
  <c r="BD23" i="74"/>
  <c r="AD24" i="62"/>
  <c r="AD58" i="62" s="1"/>
  <c r="AB22" i="62"/>
  <c r="AB56" i="62" s="1"/>
  <c r="Z32" i="62"/>
  <c r="Z66" i="62" s="1"/>
  <c r="AA49" i="17"/>
  <c r="AB44" i="17"/>
  <c r="Z52" i="17"/>
  <c r="AW23" i="18"/>
  <c r="AS23" i="73"/>
  <c r="BG23" i="66"/>
  <c r="AC32" i="62"/>
  <c r="AC66" i="62" s="1"/>
  <c r="AB20" i="62"/>
  <c r="AB54" i="62" s="1"/>
  <c r="AA25" i="62"/>
  <c r="AA59" i="62" s="1"/>
  <c r="Z30" i="62"/>
  <c r="Z64" i="62" s="1"/>
  <c r="Y19" i="62"/>
  <c r="Y53" i="62" s="1"/>
  <c r="Y49" i="17"/>
  <c r="Z44" i="17"/>
  <c r="X52" i="17"/>
  <c r="AC5" i="62"/>
  <c r="AC39" i="62" s="1"/>
  <c r="AR23" i="73"/>
  <c r="Z33" i="62"/>
  <c r="Z67" i="62" s="1"/>
  <c r="Z40" i="17"/>
  <c r="AR23" i="66"/>
  <c r="AX23" i="70"/>
  <c r="AA26" i="62"/>
  <c r="AA60" i="62" s="1"/>
  <c r="Y21" i="62"/>
  <c r="Y55" i="62" s="1"/>
  <c r="X46" i="17"/>
  <c r="AS23" i="66"/>
  <c r="BD23" i="70"/>
  <c r="AD22" i="62"/>
  <c r="AD56" i="62" s="1"/>
  <c r="AC31" i="62"/>
  <c r="AC65" i="62" s="1"/>
  <c r="AB19" i="62"/>
  <c r="AB53" i="62" s="1"/>
  <c r="Z29" i="62"/>
  <c r="Z63" i="62" s="1"/>
  <c r="Y18" i="62"/>
  <c r="Y52" i="62" s="1"/>
  <c r="X49" i="17"/>
  <c r="AB45" i="17"/>
  <c r="Y44" i="17"/>
  <c r="AB5" i="62"/>
  <c r="AB39" i="62" s="1"/>
  <c r="BF23" i="18"/>
  <c r="Y4" i="62"/>
  <c r="BC23" i="74"/>
  <c r="AA27" i="62"/>
  <c r="AA61" i="62" s="1"/>
  <c r="Y46" i="17"/>
  <c r="AC14" i="62"/>
  <c r="AC48" i="62" s="1"/>
  <c r="Z15" i="62"/>
  <c r="Z49" i="62" s="1"/>
  <c r="Y40" i="17"/>
  <c r="BC23" i="18"/>
  <c r="AO23" i="73"/>
  <c r="AZ23" i="66"/>
  <c r="BF23" i="73"/>
  <c r="AC30" i="62"/>
  <c r="AC64" i="62" s="1"/>
  <c r="AB18" i="62"/>
  <c r="AB52" i="62" s="1"/>
  <c r="AA24" i="62"/>
  <c r="AA58" i="62" s="1"/>
  <c r="Y17" i="62"/>
  <c r="Y51" i="62" s="1"/>
  <c r="AA45" i="17"/>
  <c r="X44" i="17"/>
  <c r="AB39" i="17"/>
  <c r="AD12" i="62"/>
  <c r="AD46" i="62" s="1"/>
  <c r="AA5" i="62"/>
  <c r="AA39" i="62" s="1"/>
  <c r="AA23" i="62"/>
  <c r="AA57" i="62" s="1"/>
  <c r="Z39" i="17"/>
  <c r="AB12" i="62"/>
  <c r="AB46" i="62" s="1"/>
  <c r="AC27" i="62"/>
  <c r="AC61" i="62" s="1"/>
  <c r="Y15" i="62"/>
  <c r="Y49" i="62" s="1"/>
  <c r="AD13" i="62"/>
  <c r="AD47" i="62" s="1"/>
  <c r="AP23" i="70"/>
  <c r="AC26" i="62"/>
  <c r="AC60" i="62" s="1"/>
  <c r="AA21" i="62"/>
  <c r="AA55" i="62" s="1"/>
  <c r="AA51" i="17"/>
  <c r="Z12" i="62"/>
  <c r="Z46" i="62" s="1"/>
  <c r="AB9" i="62"/>
  <c r="AB43" i="62" s="1"/>
  <c r="AD11" i="62"/>
  <c r="AD45" i="62" s="1"/>
  <c r="AY23" i="18"/>
  <c r="AY23" i="74"/>
  <c r="AW23" i="73"/>
  <c r="AX23" i="66"/>
  <c r="AT23" i="74"/>
  <c r="BH23" i="66"/>
  <c r="AB33" i="62"/>
  <c r="AB67" i="62" s="1"/>
  <c r="AA20" i="62"/>
  <c r="AA54" i="62" s="1"/>
  <c r="Z24" i="62"/>
  <c r="Z58" i="62" s="1"/>
  <c r="Y32" i="62"/>
  <c r="Y66" i="62" s="1"/>
  <c r="Y48" i="17"/>
  <c r="Z51" i="17"/>
  <c r="Y12" i="62"/>
  <c r="Y46" i="62" s="1"/>
  <c r="AA9" i="62"/>
  <c r="AA43" i="62" s="1"/>
  <c r="AB13" i="62"/>
  <c r="AB47" i="62" s="1"/>
  <c r="AC11" i="62"/>
  <c r="AC45" i="62" s="1"/>
  <c r="AC10" i="62"/>
  <c r="AC44" i="62" s="1"/>
  <c r="AD8" i="62"/>
  <c r="AD42" i="62" s="1"/>
  <c r="AD20" i="62"/>
  <c r="AD54" i="62" s="1"/>
  <c r="Y45" i="17"/>
  <c r="Y5" i="62"/>
  <c r="Y39" i="62" s="1"/>
  <c r="AR23" i="74"/>
  <c r="Z26" i="62"/>
  <c r="Z60" i="62" s="1"/>
  <c r="X39" i="17"/>
  <c r="AC9" i="62"/>
  <c r="AC43" i="62" s="1"/>
  <c r="BH23" i="74"/>
  <c r="AZ23" i="70"/>
  <c r="BA23" i="73"/>
  <c r="AD17" i="62"/>
  <c r="AD51" i="62" s="1"/>
  <c r="AC25" i="62"/>
  <c r="AC59" i="62" s="1"/>
  <c r="AB32" i="62"/>
  <c r="AB66" i="62" s="1"/>
  <c r="AA19" i="62"/>
  <c r="AA53" i="62" s="1"/>
  <c r="X48" i="17"/>
  <c r="AB42" i="17"/>
  <c r="Y51" i="17"/>
  <c r="Z9" i="62"/>
  <c r="Z43" i="62" s="1"/>
  <c r="AA13" i="62"/>
  <c r="AA47" i="62" s="1"/>
  <c r="AB11" i="62"/>
  <c r="AB45" i="62" s="1"/>
  <c r="AB10" i="62"/>
  <c r="AB44" i="62" s="1"/>
  <c r="AC8" i="62"/>
  <c r="AC42" i="62" s="1"/>
  <c r="AD19" i="62"/>
  <c r="AD53" i="62" s="1"/>
  <c r="AV23" i="66"/>
  <c r="AB31" i="62"/>
  <c r="AB65" i="62" s="1"/>
  <c r="AA18" i="62"/>
  <c r="AA52" i="62" s="1"/>
  <c r="Z23" i="62"/>
  <c r="Z57" i="62" s="1"/>
  <c r="Y31" i="62"/>
  <c r="Y65" i="62" s="1"/>
  <c r="AA42" i="17"/>
  <c r="X51" i="17"/>
  <c r="Y9" i="62"/>
  <c r="Y43" i="62" s="1"/>
  <c r="Z13" i="62"/>
  <c r="Z47" i="62" s="1"/>
  <c r="AA11" i="62"/>
  <c r="AA45" i="62" s="1"/>
  <c r="AA10" i="62"/>
  <c r="AA44" i="62" s="1"/>
  <c r="AB8" i="62"/>
  <c r="AB42" i="62" s="1"/>
  <c r="AB16" i="62"/>
  <c r="AB50" i="62" s="1"/>
  <c r="Y33" i="62"/>
  <c r="Y67" i="62" s="1"/>
  <c r="AB14" i="62"/>
  <c r="AB48" i="62" s="1"/>
  <c r="AC13" i="62"/>
  <c r="AC47" i="62" s="1"/>
  <c r="BG23" i="74"/>
  <c r="BH23" i="73"/>
  <c r="BG23" i="70"/>
  <c r="BC23" i="73"/>
  <c r="AD16" i="62"/>
  <c r="AD50" i="62" s="1"/>
  <c r="AC24" i="62"/>
  <c r="AC58" i="62" s="1"/>
  <c r="AB30" i="62"/>
  <c r="AB64" i="62" s="1"/>
  <c r="AA17" i="62"/>
  <c r="AA51" i="62" s="1"/>
  <c r="Z42" i="17"/>
  <c r="Y13" i="62"/>
  <c r="Y47" i="62" s="1"/>
  <c r="Z11" i="62"/>
  <c r="Z45" i="62" s="1"/>
  <c r="Z10" i="62"/>
  <c r="Z44" i="62" s="1"/>
  <c r="AA8" i="62"/>
  <c r="AA42" i="62" s="1"/>
  <c r="AQ23" i="70"/>
  <c r="AZ23" i="74"/>
  <c r="AT23" i="73"/>
  <c r="BH23" i="70"/>
  <c r="BD23" i="73"/>
  <c r="AD33" i="62"/>
  <c r="AD67" i="62" s="1"/>
  <c r="AC23" i="62"/>
  <c r="AC57" i="62" s="1"/>
  <c r="AB29" i="62"/>
  <c r="AB63" i="62" s="1"/>
  <c r="Z22" i="62"/>
  <c r="Z56" i="62" s="1"/>
  <c r="Y30" i="62"/>
  <c r="Y64" i="62" s="1"/>
  <c r="AB47" i="17"/>
  <c r="Y42" i="17"/>
  <c r="Y11" i="62"/>
  <c r="Y45" i="62" s="1"/>
  <c r="Y10" i="62"/>
  <c r="Y44" i="62" s="1"/>
  <c r="Z8" i="62"/>
  <c r="Z42" i="62" s="1"/>
  <c r="AD18" i="62"/>
  <c r="AD52" i="62" s="1"/>
  <c r="Y14" i="62"/>
  <c r="Y48" i="62" s="1"/>
  <c r="BE23" i="73"/>
  <c r="AS23" i="18"/>
  <c r="AD32" i="62"/>
  <c r="AD66" i="62" s="1"/>
  <c r="AD15" i="62"/>
  <c r="AD49" i="62" s="1"/>
  <c r="AA16" i="62"/>
  <c r="AA50" i="62" s="1"/>
  <c r="Z21" i="62"/>
  <c r="Z55" i="62" s="1"/>
  <c r="Y29" i="62"/>
  <c r="Y63" i="62" s="1"/>
  <c r="AA47" i="17"/>
  <c r="X42" i="17"/>
  <c r="AB43" i="17"/>
  <c r="Y8" i="62"/>
  <c r="Y42" i="62" s="1"/>
  <c r="AC28" i="62"/>
  <c r="AC62" i="62" s="1"/>
  <c r="AB48" i="17"/>
  <c r="AB51" i="17"/>
  <c r="AZ23" i="18"/>
  <c r="AR23" i="18"/>
  <c r="AD31" i="62"/>
  <c r="AD65" i="62" s="1"/>
  <c r="AD14" i="62"/>
  <c r="AD48" i="62" s="1"/>
  <c r="AC22" i="62"/>
  <c r="AC56" i="62" s="1"/>
  <c r="AB28" i="62"/>
  <c r="AB62" i="62" s="1"/>
  <c r="AA15" i="62"/>
  <c r="AA49" i="62" s="1"/>
  <c r="Z20" i="62"/>
  <c r="Z54" i="62" s="1"/>
  <c r="Z47" i="17"/>
  <c r="AA43" i="17"/>
  <c r="AD7" i="62"/>
  <c r="AD41" i="62" s="1"/>
  <c r="AD6" i="62"/>
  <c r="AD40" i="62" s="1"/>
  <c r="AA39" i="17"/>
  <c r="Y16" i="62"/>
  <c r="Y50" i="62" s="1"/>
  <c r="AB15" i="62"/>
  <c r="AB49" i="62" s="1"/>
  <c r="X45" i="17"/>
  <c r="Z48" i="17"/>
  <c r="AD10" i="62"/>
  <c r="AD44" i="62" s="1"/>
  <c r="BE23" i="18"/>
  <c r="AD30" i="62"/>
  <c r="AD64" i="62" s="1"/>
  <c r="AC21" i="62"/>
  <c r="AC55" i="62" s="1"/>
  <c r="AA33" i="62"/>
  <c r="AA67" i="62" s="1"/>
  <c r="AA14" i="62"/>
  <c r="AA48" i="62" s="1"/>
  <c r="Z19" i="62"/>
  <c r="Z53" i="62" s="1"/>
  <c r="Y28" i="62"/>
  <c r="Y62" i="62" s="1"/>
  <c r="AB50" i="17"/>
  <c r="Y47" i="17"/>
  <c r="AC7" i="62"/>
  <c r="AC41" i="62" s="1"/>
  <c r="W164" i="5"/>
  <c r="D10" i="15" s="1"/>
  <c r="I10" i="15" s="1"/>
  <c r="Y164" i="5"/>
  <c r="Y28" i="19"/>
  <c r="W28" i="19"/>
  <c r="B14" i="64"/>
  <c r="AE164" i="5"/>
  <c r="AA164" i="5"/>
  <c r="BG45" i="5"/>
  <c r="BJ45" i="5" s="1"/>
  <c r="L26" i="4" s="1"/>
  <c r="B30" i="64"/>
  <c r="D30" i="64" s="1"/>
  <c r="X164" i="5"/>
  <c r="B11" i="64"/>
  <c r="D11" i="64" s="1"/>
  <c r="AD164" i="5"/>
  <c r="AC164" i="5"/>
  <c r="Z164" i="5"/>
  <c r="Z163" i="5"/>
  <c r="AB164" i="5"/>
  <c r="AA171" i="5"/>
  <c r="AE171" i="5"/>
  <c r="W171" i="5"/>
  <c r="Z171" i="5"/>
  <c r="AB171" i="5"/>
  <c r="X171" i="5"/>
  <c r="Y171" i="5"/>
  <c r="AD171" i="5"/>
  <c r="AC171" i="5"/>
  <c r="AA169" i="5"/>
  <c r="X169" i="5"/>
  <c r="Y169" i="5"/>
  <c r="AD169" i="5"/>
  <c r="Z169" i="5"/>
  <c r="AC169" i="5"/>
  <c r="AE169" i="5"/>
  <c r="W169" i="5"/>
  <c r="AB169" i="5"/>
  <c r="Z168" i="5"/>
  <c r="X168" i="5"/>
  <c r="AD168" i="5"/>
  <c r="AB168" i="5"/>
  <c r="W168" i="5"/>
  <c r="AC168" i="5"/>
  <c r="Y168" i="5"/>
  <c r="AE168" i="5"/>
  <c r="AA168" i="5"/>
  <c r="AD170" i="5"/>
  <c r="Y170" i="5"/>
  <c r="X170" i="5"/>
  <c r="AA170" i="5"/>
  <c r="W170" i="5"/>
  <c r="AE170" i="5"/>
  <c r="AB170" i="5"/>
  <c r="AC170" i="5"/>
  <c r="Z166" i="5"/>
  <c r="W166" i="5"/>
  <c r="AC166" i="5"/>
  <c r="AE166" i="5"/>
  <c r="AB166" i="5"/>
  <c r="X166" i="5"/>
  <c r="Y166" i="5"/>
  <c r="AD166" i="5"/>
  <c r="AA166" i="5"/>
  <c r="D11" i="15"/>
  <c r="AB165" i="5"/>
  <c r="AH165" i="5" s="1"/>
  <c r="AE165" i="5"/>
  <c r="AD165" i="5"/>
  <c r="AC165" i="5"/>
  <c r="X165" i="5"/>
  <c r="Y165" i="5"/>
  <c r="AA165" i="5"/>
  <c r="AG165" i="5" s="1"/>
  <c r="Z165" i="5"/>
  <c r="AF165" i="5" s="1"/>
  <c r="Z167" i="5"/>
  <c r="AE167" i="5"/>
  <c r="W167" i="5"/>
  <c r="AB167" i="5"/>
  <c r="Y167" i="5"/>
  <c r="X167" i="5"/>
  <c r="AD167" i="5"/>
  <c r="AC167" i="5"/>
  <c r="B31" i="64"/>
  <c r="AY10" i="5"/>
  <c r="AR10" i="5"/>
  <c r="AB163" i="5"/>
  <c r="X163" i="5"/>
  <c r="AC163" i="5"/>
  <c r="W163" i="5"/>
  <c r="B12" i="64"/>
  <c r="B37" i="64"/>
  <c r="B36" i="64" s="1"/>
  <c r="B9" i="64"/>
  <c r="B10" i="64"/>
  <c r="B29" i="64"/>
  <c r="AN38" i="62"/>
  <c r="BR34" i="62"/>
  <c r="BR38" i="62"/>
  <c r="BF38" i="62"/>
  <c r="AH34" i="62"/>
  <c r="AT38" i="62"/>
  <c r="AT34" i="62"/>
  <c r="BV65" i="62"/>
  <c r="AE63" i="62"/>
  <c r="AG50" i="62"/>
  <c r="AK59" i="62"/>
  <c r="AK34" i="62"/>
  <c r="BH49" i="62"/>
  <c r="BH48" i="62"/>
  <c r="BQ64" i="62"/>
  <c r="AL34" i="62"/>
  <c r="AL48" i="62"/>
  <c r="BS34" i="62"/>
  <c r="BS49" i="62"/>
  <c r="AQ34" i="62"/>
  <c r="AQ48" i="62"/>
  <c r="BH41" i="62"/>
  <c r="BT57" i="62"/>
  <c r="BT56" i="62"/>
  <c r="BT34" i="62"/>
  <c r="BH63" i="62"/>
  <c r="BH62" i="62"/>
  <c r="BZ58" i="62"/>
  <c r="BZ34" i="62"/>
  <c r="BJ34" i="62"/>
  <c r="BK66" i="62"/>
  <c r="BK34" i="62"/>
  <c r="CO8" i="16"/>
  <c r="BH65" i="62"/>
  <c r="AJ67" i="62"/>
  <c r="BV40" i="62"/>
  <c r="BV34" i="62"/>
  <c r="BU34" i="62"/>
  <c r="BM42" i="62"/>
  <c r="BM34" i="62"/>
  <c r="AV34" i="62"/>
  <c r="CF26" i="16"/>
  <c r="CU26" i="16" s="1"/>
  <c r="CF23" i="16"/>
  <c r="AN34" i="62"/>
  <c r="AN44" i="62"/>
  <c r="CJ11" i="16"/>
  <c r="AP56" i="62"/>
  <c r="BO56" i="62"/>
  <c r="BN51" i="62"/>
  <c r="CJ14" i="16"/>
  <c r="BW34" i="62"/>
  <c r="BO34" i="62"/>
  <c r="BB60" i="62"/>
  <c r="AW60" i="62"/>
  <c r="BV60" i="62"/>
  <c r="BP64" i="62"/>
  <c r="BU35" i="16"/>
  <c r="G15" i="63" s="1"/>
  <c r="BP63" i="62"/>
  <c r="AX34" i="62"/>
  <c r="BS35" i="16"/>
  <c r="G13" i="63" s="1"/>
  <c r="BP62" i="62"/>
  <c r="BP34" i="62"/>
  <c r="BD54" i="62"/>
  <c r="BC34" i="62"/>
  <c r="AO65" i="62"/>
  <c r="AZ65" i="62"/>
  <c r="AZ34" i="62"/>
  <c r="BP60" i="62"/>
  <c r="BX59" i="62"/>
  <c r="BT60" i="62"/>
  <c r="BR60" i="62"/>
  <c r="BF51" i="62"/>
  <c r="BF34" i="62"/>
  <c r="AB51" i="62"/>
  <c r="AN60" i="62"/>
  <c r="AJ60" i="62"/>
  <c r="S60" i="62"/>
  <c r="AU60" i="62"/>
  <c r="V60" i="62"/>
  <c r="AH60" i="62"/>
  <c r="BA60" i="62"/>
  <c r="BO60" i="62"/>
  <c r="BF60" i="62"/>
  <c r="AE60" i="62"/>
  <c r="AG60" i="62"/>
  <c r="AF60" i="62"/>
  <c r="BW60" i="62"/>
  <c r="BY60" i="62"/>
  <c r="AL60" i="62"/>
  <c r="BQ60" i="62"/>
  <c r="BM60" i="62"/>
  <c r="BZ59" i="62"/>
  <c r="AF59" i="62"/>
  <c r="BH50" i="62"/>
  <c r="CO24" i="16"/>
  <c r="CW24" i="16" s="1"/>
  <c r="CJ8" i="16"/>
  <c r="CV8" i="16" s="1"/>
  <c r="BZ60" i="62"/>
  <c r="BE60" i="62"/>
  <c r="AM60" i="62"/>
  <c r="AE43" i="62"/>
  <c r="AE34" i="62"/>
  <c r="AX42" i="62"/>
  <c r="CO12" i="16"/>
  <c r="CW12" i="16" s="1"/>
  <c r="AW46" i="62"/>
  <c r="AP35" i="16"/>
  <c r="BK60" i="62"/>
  <c r="BH60" i="62"/>
  <c r="W60" i="62"/>
  <c r="AQ60" i="62"/>
  <c r="BL35" i="16"/>
  <c r="BY42" i="62"/>
  <c r="CF24" i="16"/>
  <c r="CU24" i="16" s="1"/>
  <c r="AU35" i="16"/>
  <c r="AG54" i="62"/>
  <c r="AQ54" i="62"/>
  <c r="BR54" i="62"/>
  <c r="AI54" i="62"/>
  <c r="AZ54" i="62"/>
  <c r="BX54" i="62"/>
  <c r="AW54" i="62"/>
  <c r="BE54" i="62"/>
  <c r="AY42" i="62"/>
  <c r="AU42" i="62"/>
  <c r="AZ42" i="62"/>
  <c r="AV42" i="62"/>
  <c r="AE42" i="62"/>
  <c r="V42" i="62"/>
  <c r="AF42" i="62"/>
  <c r="AK42" i="62"/>
  <c r="W42" i="62"/>
  <c r="AG42" i="62"/>
  <c r="X42" i="62"/>
  <c r="AH42" i="62"/>
  <c r="BO42" i="62"/>
  <c r="BF42" i="62"/>
  <c r="BK42" i="62"/>
  <c r="BB42" i="62"/>
  <c r="BP42" i="62"/>
  <c r="AM42" i="62"/>
  <c r="BG42" i="62"/>
  <c r="BU42" i="62"/>
  <c r="BL42" i="62"/>
  <c r="AJ42" i="62"/>
  <c r="AR42" i="62"/>
  <c r="BQ42" i="62"/>
  <c r="AT42" i="62"/>
  <c r="BH42" i="62"/>
  <c r="BV42" i="62"/>
  <c r="BR42" i="62"/>
  <c r="BW42" i="62"/>
  <c r="AO42" i="62"/>
  <c r="BS42" i="62"/>
  <c r="AQ42" i="62"/>
  <c r="BC42" i="62"/>
  <c r="AI42" i="62"/>
  <c r="AW35" i="16"/>
  <c r="BI60" i="62"/>
  <c r="BN60" i="62"/>
  <c r="CO13" i="16"/>
  <c r="CW13" i="16" s="1"/>
  <c r="AQ63" i="62"/>
  <c r="AJ63" i="62"/>
  <c r="AX63" i="62"/>
  <c r="AA63" i="62"/>
  <c r="BT63" i="62"/>
  <c r="AY63" i="62"/>
  <c r="AK63" i="62"/>
  <c r="AV63" i="62"/>
  <c r="BD63" i="62"/>
  <c r="BZ63" i="62"/>
  <c r="AZ63" i="62"/>
  <c r="AZ44" i="62"/>
  <c r="AT35" i="16"/>
  <c r="BD60" i="62"/>
  <c r="BC54" i="62"/>
  <c r="AY54" i="62"/>
  <c r="AT54" i="62"/>
  <c r="AO54" i="62"/>
  <c r="BL60" i="62"/>
  <c r="AJ54" i="62"/>
  <c r="BU60" i="62"/>
  <c r="BC43" i="62"/>
  <c r="X41" i="62"/>
  <c r="BG60" i="62"/>
  <c r="AP60" i="62"/>
  <c r="AM54" i="62"/>
  <c r="V54" i="62"/>
  <c r="S61" i="62"/>
  <c r="AJ62" i="62"/>
  <c r="AZ43" i="62"/>
  <c r="AH54" i="62"/>
  <c r="AE47" i="62"/>
  <c r="AS60" i="62"/>
  <c r="AK54" i="62"/>
  <c r="AI60" i="62"/>
  <c r="AD60" i="62"/>
  <c r="AM61" i="62"/>
  <c r="P61" i="62"/>
  <c r="AX61" i="62"/>
  <c r="AY61" i="62"/>
  <c r="AU61" i="62"/>
  <c r="AF54" i="62"/>
  <c r="AZ60" i="62"/>
  <c r="AS35" i="16"/>
  <c r="AX60" i="62"/>
  <c r="AL40" i="62"/>
  <c r="AO63" i="62"/>
  <c r="AE61" i="62"/>
  <c r="AX45" i="62"/>
  <c r="AR63" i="62"/>
  <c r="AY35" i="16"/>
  <c r="AP42" i="62"/>
  <c r="BJ61" i="62"/>
  <c r="AO61" i="62"/>
  <c r="AM63" i="62"/>
  <c r="BE61" i="62"/>
  <c r="AT63" i="62"/>
  <c r="AR61" i="62"/>
  <c r="AO60" i="62"/>
  <c r="AM62" i="62"/>
  <c r="AH63" i="62"/>
  <c r="AR35" i="16"/>
  <c r="AV62" i="62"/>
  <c r="AT62" i="62"/>
  <c r="AS54" i="62"/>
  <c r="AR60" i="62"/>
  <c r="AH62" i="62"/>
  <c r="AV45" i="62"/>
  <c r="AT61" i="62"/>
  <c r="AJ61" i="62"/>
  <c r="AH61" i="62"/>
  <c r="AC63" i="62"/>
  <c r="BD61" i="62"/>
  <c r="AV61" i="62"/>
  <c r="AT60" i="62"/>
  <c r="AL54" i="62"/>
  <c r="T61" i="62"/>
  <c r="Q60" i="62"/>
  <c r="AS46" i="62"/>
  <c r="AJ46" i="62"/>
  <c r="AX46" i="62"/>
  <c r="AT46" i="62"/>
  <c r="AY46" i="62"/>
  <c r="AP46" i="62"/>
  <c r="AU46" i="62"/>
  <c r="AV46" i="62"/>
  <c r="AE46" i="62"/>
  <c r="AV41" i="62"/>
  <c r="BC62" i="62"/>
  <c r="AY62" i="62"/>
  <c r="AK61" i="62"/>
  <c r="AF62" i="62"/>
  <c r="T60" i="62"/>
  <c r="BA46" i="62"/>
  <c r="AV60" i="62"/>
  <c r="AE54" i="62"/>
  <c r="AV55" i="62"/>
  <c r="AG55" i="62"/>
  <c r="AQ55" i="62"/>
  <c r="AO45" i="62"/>
  <c r="AT45" i="62"/>
  <c r="S45" i="62"/>
  <c r="AY45" i="62"/>
  <c r="AP45" i="62"/>
  <c r="AU45" i="62"/>
  <c r="AZ45" i="62"/>
  <c r="AE45" i="62"/>
  <c r="BA45" i="62"/>
  <c r="AF45" i="62"/>
  <c r="AG45" i="62"/>
  <c r="AY60" i="62"/>
  <c r="AW63" i="62"/>
  <c r="O62" i="62"/>
  <c r="AX35" i="16"/>
  <c r="AZ46" i="62"/>
  <c r="BA42" i="62"/>
  <c r="AW62" i="62"/>
  <c r="AV35" i="16"/>
  <c r="AK47" i="62"/>
  <c r="AX52" i="62"/>
  <c r="AK44" i="62"/>
  <c r="AF44" i="62"/>
  <c r="AV47" i="62"/>
  <c r="AZ47" i="62"/>
  <c r="AE44" i="62"/>
  <c r="AV44" i="62"/>
  <c r="AP47" i="62"/>
  <c r="AY47" i="62"/>
  <c r="AU44" i="62"/>
  <c r="AP44" i="62"/>
  <c r="AO47" i="62"/>
  <c r="AG52" i="62"/>
  <c r="R44" i="62"/>
  <c r="AX47" i="62"/>
  <c r="AJ47" i="62"/>
  <c r="AT44" i="62"/>
  <c r="AS47" i="62"/>
  <c r="AO44" i="62"/>
  <c r="AN47" i="62"/>
  <c r="M2" i="70"/>
  <c r="I10" i="16"/>
  <c r="CB10" i="16"/>
  <c r="CJ10" i="16"/>
  <c r="CV10" i="16" s="1"/>
  <c r="CV6" i="16" l="1"/>
  <c r="AY5" i="5"/>
  <c r="BC6" i="16"/>
  <c r="BD6" i="16"/>
  <c r="BM48" i="5"/>
  <c r="BO48" i="5" s="1"/>
  <c r="K29" i="4" s="1"/>
  <c r="H164" i="5"/>
  <c r="N164" i="5" s="1"/>
  <c r="AA6" i="101"/>
  <c r="AX6" i="101"/>
  <c r="AY6" i="101" s="1"/>
  <c r="AG8" i="72"/>
  <c r="AW7" i="5"/>
  <c r="J63" i="7" s="1"/>
  <c r="BM7" i="5"/>
  <c r="S63" i="7" s="1"/>
  <c r="BN7" i="5"/>
  <c r="T63" i="7" s="1"/>
  <c r="BG7" i="5"/>
  <c r="N63" i="7" s="1"/>
  <c r="AS7" i="5"/>
  <c r="F63" i="7" s="1"/>
  <c r="BE7" i="5"/>
  <c r="L63" i="7" s="1"/>
  <c r="BJ7" i="5"/>
  <c r="P63" i="7" s="1"/>
  <c r="BL7" i="5"/>
  <c r="BO7" i="5" s="1"/>
  <c r="AH28" i="71"/>
  <c r="AN5" i="101"/>
  <c r="AG5" i="101"/>
  <c r="AI5" i="101"/>
  <c r="AF5" i="101"/>
  <c r="AK5" i="101"/>
  <c r="AD5" i="101"/>
  <c r="AO5" i="101"/>
  <c r="AH5" i="101"/>
  <c r="Y5" i="101"/>
  <c r="AL5" i="101"/>
  <c r="AM5" i="101"/>
  <c r="AE5" i="101"/>
  <c r="AJ5" i="101"/>
  <c r="V5" i="101"/>
  <c r="Z5" i="101"/>
  <c r="AB5" i="101"/>
  <c r="AC5" i="101" s="1"/>
  <c r="BD12" i="16"/>
  <c r="BI12" i="16"/>
  <c r="BD11" i="16"/>
  <c r="BF11" i="16"/>
  <c r="AG13" i="72"/>
  <c r="BG16" i="16"/>
  <c r="BD16" i="16"/>
  <c r="BC79" i="16"/>
  <c r="BD14" i="16"/>
  <c r="BF14" i="16"/>
  <c r="Q47" i="17"/>
  <c r="R5" i="17" s="1"/>
  <c r="AH23" i="67"/>
  <c r="AI20" i="67"/>
  <c r="AZ5" i="5"/>
  <c r="BB5" i="5"/>
  <c r="BB20" i="5" s="1"/>
  <c r="S13" i="4" s="1"/>
  <c r="U13" i="4" s="1"/>
  <c r="AN18" i="5" s="1"/>
  <c r="BA5" i="5"/>
  <c r="AH20" i="67"/>
  <c r="W43" i="17"/>
  <c r="N6" i="17" s="1"/>
  <c r="W41" i="17"/>
  <c r="L6" i="17" s="1"/>
  <c r="S32" i="17"/>
  <c r="I8" i="17"/>
  <c r="I11" i="17"/>
  <c r="I15" i="17"/>
  <c r="I9" i="17"/>
  <c r="AI53" i="17"/>
  <c r="AU53" i="17"/>
  <c r="BA53" i="17"/>
  <c r="AH20" i="68"/>
  <c r="AR5" i="5"/>
  <c r="BC20" i="5"/>
  <c r="AI21" i="68"/>
  <c r="BM53" i="17"/>
  <c r="I13" i="17"/>
  <c r="BS53" i="17"/>
  <c r="I12" i="17"/>
  <c r="Q51" i="17"/>
  <c r="V5" i="17" s="1"/>
  <c r="AH21" i="68"/>
  <c r="AA18" i="19"/>
  <c r="K43" i="17"/>
  <c r="N4" i="17" s="1"/>
  <c r="K50" i="17"/>
  <c r="U4" i="17" s="1"/>
  <c r="N32" i="17"/>
  <c r="W32" i="17"/>
  <c r="T32" i="17"/>
  <c r="R32" i="17"/>
  <c r="BA8" i="5"/>
  <c r="BA20" i="5" s="1"/>
  <c r="AR8" i="5"/>
  <c r="BL8" i="5" s="1"/>
  <c r="K32" i="17"/>
  <c r="L32" i="17"/>
  <c r="P32" i="17"/>
  <c r="M32" i="17"/>
  <c r="Q32" i="17"/>
  <c r="J32" i="17"/>
  <c r="U32" i="17"/>
  <c r="O32" i="17"/>
  <c r="AY8" i="5"/>
  <c r="P34" i="62"/>
  <c r="O34" i="62"/>
  <c r="J34" i="62"/>
  <c r="AL5" i="16"/>
  <c r="U6" i="18" s="1"/>
  <c r="U6" i="73"/>
  <c r="DB14" i="73" s="1"/>
  <c r="AK14" i="16"/>
  <c r="W51" i="17"/>
  <c r="V6" i="17" s="1"/>
  <c r="T53" i="17"/>
  <c r="W45" i="17"/>
  <c r="P6" i="17" s="1"/>
  <c r="W42" i="17"/>
  <c r="M6" i="17" s="1"/>
  <c r="L10" i="17"/>
  <c r="I10" i="17" s="1"/>
  <c r="Q44" i="17"/>
  <c r="O5" i="17" s="1"/>
  <c r="BY53" i="17"/>
  <c r="BG53" i="17"/>
  <c r="K39" i="17"/>
  <c r="J4" i="17" s="1"/>
  <c r="AO53" i="17"/>
  <c r="S53" i="17"/>
  <c r="M53" i="17"/>
  <c r="I14" i="17"/>
  <c r="X34" i="62"/>
  <c r="L34" i="62"/>
  <c r="W50" i="17"/>
  <c r="U6" i="17" s="1"/>
  <c r="AA17" i="19"/>
  <c r="K51" i="17"/>
  <c r="V4" i="17" s="1"/>
  <c r="W34" i="62"/>
  <c r="Q34" i="62"/>
  <c r="C53" i="17"/>
  <c r="K49" i="17"/>
  <c r="T4" i="17" s="1"/>
  <c r="K45" i="17"/>
  <c r="P4" i="17" s="1"/>
  <c r="H34" i="62"/>
  <c r="Z18" i="19"/>
  <c r="AC18" i="19" s="1"/>
  <c r="W40" i="17"/>
  <c r="K6" i="17" s="1"/>
  <c r="R53" i="17"/>
  <c r="K52" i="17"/>
  <c r="W4" i="17" s="1"/>
  <c r="AI23" i="68"/>
  <c r="K34" i="62"/>
  <c r="S38" i="62"/>
  <c r="S68" i="62" s="1"/>
  <c r="S34" i="62"/>
  <c r="W44" i="17"/>
  <c r="O6" i="17" s="1"/>
  <c r="W47" i="17"/>
  <c r="R6" i="17" s="1"/>
  <c r="N53" i="17"/>
  <c r="I39" i="62"/>
  <c r="I68" i="62" s="1"/>
  <c r="I34" i="62"/>
  <c r="O38" i="62"/>
  <c r="O68" i="62" s="1"/>
  <c r="Q40" i="17"/>
  <c r="K5" i="17" s="1"/>
  <c r="L53" i="17"/>
  <c r="U53" i="17"/>
  <c r="AE159" i="5"/>
  <c r="W159" i="5"/>
  <c r="D5" i="15" s="1"/>
  <c r="M34" i="62"/>
  <c r="P40" i="62"/>
  <c r="P68" i="62" s="1"/>
  <c r="R34" i="62"/>
  <c r="AI20" i="70"/>
  <c r="K42" i="17"/>
  <c r="M4" i="17" s="1"/>
  <c r="U34" i="62"/>
  <c r="AC20" i="19"/>
  <c r="V34" i="62"/>
  <c r="V38" i="62"/>
  <c r="T34" i="62"/>
  <c r="AI20" i="68"/>
  <c r="Q46" i="17"/>
  <c r="Q5" i="17" s="1"/>
  <c r="J53" i="17"/>
  <c r="N34" i="62"/>
  <c r="Q48" i="17"/>
  <c r="S5" i="17" s="1"/>
  <c r="W49" i="17"/>
  <c r="T6" i="17" s="1"/>
  <c r="Z17" i="19"/>
  <c r="I53" i="17"/>
  <c r="AA20" i="19"/>
  <c r="K38" i="62"/>
  <c r="K68" i="62" s="1"/>
  <c r="G34" i="62"/>
  <c r="K46" i="17"/>
  <c r="Q4" i="17" s="1"/>
  <c r="V53" i="17"/>
  <c r="K48" i="17"/>
  <c r="S4" i="17" s="1"/>
  <c r="AA19" i="19"/>
  <c r="W52" i="17"/>
  <c r="W6" i="17" s="1"/>
  <c r="AC42" i="17"/>
  <c r="M7" i="17" s="1"/>
  <c r="AC41" i="17"/>
  <c r="L7" i="17" s="1"/>
  <c r="O53" i="17"/>
  <c r="Z19" i="19"/>
  <c r="AC19" i="19" s="1"/>
  <c r="Q43" i="17"/>
  <c r="N5" i="17" s="1"/>
  <c r="W39" i="17"/>
  <c r="Q41" i="17"/>
  <c r="L5" i="17" s="1"/>
  <c r="Q49" i="17"/>
  <c r="T5" i="17" s="1"/>
  <c r="H53" i="17"/>
  <c r="K41" i="17"/>
  <c r="L4" i="17" s="1"/>
  <c r="P53" i="17"/>
  <c r="Q52" i="17"/>
  <c r="W5" i="17" s="1"/>
  <c r="M38" i="62"/>
  <c r="Q45" i="17"/>
  <c r="P5" i="17" s="1"/>
  <c r="Q50" i="17"/>
  <c r="U5" i="17" s="1"/>
  <c r="K44" i="17"/>
  <c r="O4" i="17" s="1"/>
  <c r="D53" i="17"/>
  <c r="K40" i="17"/>
  <c r="K4" i="17" s="1"/>
  <c r="Q39" i="17"/>
  <c r="Q42" i="17"/>
  <c r="M5" i="17" s="1"/>
  <c r="W48" i="17"/>
  <c r="S6" i="17" s="1"/>
  <c r="K47" i="17"/>
  <c r="R4" i="17" s="1"/>
  <c r="V32" i="17"/>
  <c r="W162" i="5"/>
  <c r="D8" i="15" s="1"/>
  <c r="L8" i="15" s="1"/>
  <c r="H34" i="64"/>
  <c r="I34" i="64"/>
  <c r="DC6" i="5"/>
  <c r="J6" i="4"/>
  <c r="BU6" i="5"/>
  <c r="AT6" i="5"/>
  <c r="AW6" i="5"/>
  <c r="BT6" i="5"/>
  <c r="BE6" i="5"/>
  <c r="E62" i="7"/>
  <c r="BG6" i="5"/>
  <c r="BL6" i="5"/>
  <c r="CP9" i="5"/>
  <c r="CZ9" i="5"/>
  <c r="S65" i="7"/>
  <c r="AU6" i="5"/>
  <c r="W52" i="64"/>
  <c r="AS6" i="5"/>
  <c r="BD8" i="5"/>
  <c r="AV6" i="5"/>
  <c r="G63" i="7"/>
  <c r="BF6" i="5"/>
  <c r="BH6" i="5"/>
  <c r="W50" i="64"/>
  <c r="CO9" i="5"/>
  <c r="CY9" i="5"/>
  <c r="R65" i="7"/>
  <c r="W40" i="64"/>
  <c r="BD6" i="5"/>
  <c r="BF8" i="5"/>
  <c r="T65" i="7"/>
  <c r="CQ9" i="5"/>
  <c r="DA9" i="5"/>
  <c r="CC9" i="5"/>
  <c r="CD9" i="5"/>
  <c r="CT9" i="5"/>
  <c r="CU9" i="5"/>
  <c r="BU7" i="5"/>
  <c r="CZ7" i="5" s="1"/>
  <c r="DC7" i="5"/>
  <c r="E63" i="7"/>
  <c r="J7" i="4"/>
  <c r="BH7" i="5"/>
  <c r="BF7" i="5"/>
  <c r="AV7" i="5"/>
  <c r="BT7" i="5"/>
  <c r="CP7" i="5" s="1"/>
  <c r="AU7" i="5"/>
  <c r="CX9" i="5"/>
  <c r="D62" i="7"/>
  <c r="AY6" i="5"/>
  <c r="BN6" i="5"/>
  <c r="H8" i="64"/>
  <c r="K63" i="7"/>
  <c r="L65" i="7"/>
  <c r="CI9" i="5"/>
  <c r="CS9" i="5"/>
  <c r="BJ8" i="5"/>
  <c r="CV9" i="5"/>
  <c r="BJ6" i="5"/>
  <c r="F65" i="7"/>
  <c r="AX9" i="5"/>
  <c r="BV9" i="5"/>
  <c r="CA9" i="5" s="1"/>
  <c r="CB9" i="5"/>
  <c r="AZ6" i="5"/>
  <c r="W45" i="64"/>
  <c r="AW8" i="5"/>
  <c r="BK6" i="5"/>
  <c r="BK8" i="5"/>
  <c r="CR9" i="5"/>
  <c r="CW9" i="5"/>
  <c r="Q63" i="7"/>
  <c r="BZ9" i="5"/>
  <c r="CF9" i="5"/>
  <c r="J65" i="7"/>
  <c r="BM6" i="5"/>
  <c r="AG31" i="68"/>
  <c r="AK29" i="68"/>
  <c r="AH24" i="66"/>
  <c r="AC50" i="17"/>
  <c r="U7" i="17" s="1"/>
  <c r="Y53" i="17"/>
  <c r="AC46" i="17"/>
  <c r="Q7" i="17" s="1"/>
  <c r="AE162" i="5"/>
  <c r="U64" i="6"/>
  <c r="V64" i="6"/>
  <c r="K64" i="6"/>
  <c r="D71" i="6" s="1"/>
  <c r="W64" i="6"/>
  <c r="U59" i="6"/>
  <c r="I22" i="6"/>
  <c r="AW41" i="5" s="1"/>
  <c r="V59" i="6"/>
  <c r="K59" i="6"/>
  <c r="I71" i="6" s="1"/>
  <c r="W59" i="6"/>
  <c r="AD161" i="5"/>
  <c r="K7" i="15" s="1"/>
  <c r="AE161" i="5"/>
  <c r="L7" i="15" s="1"/>
  <c r="AC161" i="5"/>
  <c r="J7" i="15" s="1"/>
  <c r="W60" i="6"/>
  <c r="K60" i="6"/>
  <c r="H71" i="6" s="1"/>
  <c r="V60" i="6"/>
  <c r="U60" i="6"/>
  <c r="M67" i="6"/>
  <c r="W62" i="6"/>
  <c r="U62" i="6"/>
  <c r="V62" i="6"/>
  <c r="K62" i="6"/>
  <c r="U66" i="6"/>
  <c r="J27" i="7" s="1"/>
  <c r="G170" i="5" s="1"/>
  <c r="D22" i="6"/>
  <c r="U65" i="6"/>
  <c r="W65" i="6"/>
  <c r="K65" i="6"/>
  <c r="V65" i="6"/>
  <c r="N67" i="6"/>
  <c r="AD160" i="5"/>
  <c r="U52" i="6"/>
  <c r="U57" i="6" s="1"/>
  <c r="J26" i="7" s="1"/>
  <c r="G169" i="5" s="1"/>
  <c r="V52" i="6"/>
  <c r="V57" i="6" s="1"/>
  <c r="K26" i="7" s="1"/>
  <c r="H169" i="5" s="1"/>
  <c r="N169" i="5" s="1"/>
  <c r="K52" i="6"/>
  <c r="G71" i="6" s="1"/>
  <c r="G22" i="6"/>
  <c r="W52" i="6"/>
  <c r="W57" i="6" s="1"/>
  <c r="N26" i="7" s="1"/>
  <c r="K169" i="5" s="1"/>
  <c r="W160" i="5"/>
  <c r="D6" i="15" s="1"/>
  <c r="K53" i="6"/>
  <c r="U53" i="6"/>
  <c r="C22" i="6"/>
  <c r="W53" i="6"/>
  <c r="V53" i="6"/>
  <c r="L67" i="6"/>
  <c r="N11" i="6"/>
  <c r="K54" i="6"/>
  <c r="E71" i="6" s="1"/>
  <c r="W54" i="6"/>
  <c r="U54" i="6"/>
  <c r="V54" i="6"/>
  <c r="E22" i="6"/>
  <c r="F22" i="6"/>
  <c r="U56" i="6"/>
  <c r="K56" i="6"/>
  <c r="F71" i="6" s="1"/>
  <c r="W56" i="6"/>
  <c r="V56" i="6"/>
  <c r="AV41" i="5"/>
  <c r="BX72" i="62"/>
  <c r="BU74" i="62"/>
  <c r="BW86" i="62"/>
  <c r="BW75" i="62"/>
  <c r="T7" i="15"/>
  <c r="BW87" i="62"/>
  <c r="BW89" i="62"/>
  <c r="BX75" i="62"/>
  <c r="BZ89" i="62"/>
  <c r="AU50" i="5"/>
  <c r="AX50" i="5" s="1"/>
  <c r="AW28" i="5"/>
  <c r="J77" i="7" s="1"/>
  <c r="BZ101" i="62"/>
  <c r="BV81" i="62"/>
  <c r="BZ82" i="62"/>
  <c r="BV90" i="62"/>
  <c r="BZ93" i="62"/>
  <c r="BW95" i="62"/>
  <c r="BW92" i="62"/>
  <c r="BY84" i="62"/>
  <c r="BU85" i="62"/>
  <c r="BW99" i="62"/>
  <c r="BW90" i="62"/>
  <c r="BU92" i="62"/>
  <c r="BX83" i="62"/>
  <c r="BW80" i="62"/>
  <c r="BY85" i="62"/>
  <c r="BV98" i="62"/>
  <c r="BY82" i="62"/>
  <c r="H77" i="7"/>
  <c r="AX28" i="5"/>
  <c r="BY73" i="62"/>
  <c r="BV84" i="62"/>
  <c r="BV74" i="62"/>
  <c r="BY76" i="62"/>
  <c r="BX80" i="62"/>
  <c r="BZ95" i="62"/>
  <c r="BU73" i="62"/>
  <c r="BX87" i="62"/>
  <c r="BW85" i="62"/>
  <c r="BZ72" i="62"/>
  <c r="BZ91" i="62"/>
  <c r="BV82" i="62"/>
  <c r="BX86" i="62"/>
  <c r="BY74" i="62"/>
  <c r="BV93" i="62"/>
  <c r="BV73" i="62"/>
  <c r="BX92" i="62"/>
  <c r="BU72" i="62"/>
  <c r="AF31" i="68"/>
  <c r="BY81" i="62"/>
  <c r="BZ81" i="62"/>
  <c r="BW84" i="62"/>
  <c r="BU81" i="62"/>
  <c r="BU77" i="62"/>
  <c r="BX78" i="62"/>
  <c r="BY77" i="62"/>
  <c r="BU75" i="62"/>
  <c r="BV91" i="62"/>
  <c r="BZ100" i="62"/>
  <c r="BX84" i="62"/>
  <c r="BY98" i="62"/>
  <c r="BZ90" i="62"/>
  <c r="BU76" i="62"/>
  <c r="BX96" i="62"/>
  <c r="BZ87" i="62"/>
  <c r="BV86" i="62"/>
  <c r="CA12" i="5"/>
  <c r="BU96" i="62"/>
  <c r="BZ76" i="62"/>
  <c r="BX77" i="62"/>
  <c r="BU79" i="62"/>
  <c r="BU91" i="62"/>
  <c r="BW98" i="62"/>
  <c r="BZ85" i="62"/>
  <c r="BX82" i="62"/>
  <c r="BY99" i="62"/>
  <c r="BY75" i="62"/>
  <c r="BV95" i="62"/>
  <c r="BZ77" i="62"/>
  <c r="BW100" i="62"/>
  <c r="BV101" i="62"/>
  <c r="BW96" i="62"/>
  <c r="BV76" i="62"/>
  <c r="BV85" i="62"/>
  <c r="BX85" i="62"/>
  <c r="BU82" i="62"/>
  <c r="BY101" i="62"/>
  <c r="BX93" i="62"/>
  <c r="BV79" i="62"/>
  <c r="BU89" i="62"/>
  <c r="BW76" i="62"/>
  <c r="BY78" i="62"/>
  <c r="BY91" i="62"/>
  <c r="BU100" i="62"/>
  <c r="BU90" i="62"/>
  <c r="BX79" i="62"/>
  <c r="BW79" i="62"/>
  <c r="BV75" i="62"/>
  <c r="BU78" i="62"/>
  <c r="BY79" i="62"/>
  <c r="BU93" i="62"/>
  <c r="BV78" i="62"/>
  <c r="BU83" i="62"/>
  <c r="BV87" i="62"/>
  <c r="BX89" i="62"/>
  <c r="BX91" i="62"/>
  <c r="BU80" i="62"/>
  <c r="BX95" i="62"/>
  <c r="BX94" i="62"/>
  <c r="BZ74" i="62"/>
  <c r="BW72" i="62"/>
  <c r="BX100" i="62"/>
  <c r="BU86" i="62"/>
  <c r="BW91" i="62"/>
  <c r="BV94" i="62"/>
  <c r="BV92" i="62"/>
  <c r="BX73" i="62"/>
  <c r="S67" i="7"/>
  <c r="CP11" i="5"/>
  <c r="CZ11" i="5"/>
  <c r="DA11" i="5"/>
  <c r="CQ11" i="5"/>
  <c r="T67" i="7"/>
  <c r="BZ11" i="5"/>
  <c r="J67" i="7"/>
  <c r="CF11" i="5"/>
  <c r="AX11" i="5"/>
  <c r="BV11" i="5"/>
  <c r="CB11" i="5"/>
  <c r="F67" i="7"/>
  <c r="H67" i="7"/>
  <c r="BX11" i="5"/>
  <c r="CD11" i="5"/>
  <c r="L67" i="7"/>
  <c r="CI11" i="5"/>
  <c r="CS11" i="5"/>
  <c r="AF31" i="71"/>
  <c r="K67" i="7"/>
  <c r="BI11" i="5"/>
  <c r="CH11" i="5"/>
  <c r="CR11" i="5"/>
  <c r="O67" i="7"/>
  <c r="CV11" i="5"/>
  <c r="CL11" i="5"/>
  <c r="CY11" i="5"/>
  <c r="R67" i="7"/>
  <c r="CO11" i="5"/>
  <c r="M67" i="7"/>
  <c r="CJ11" i="5"/>
  <c r="CT11" i="5"/>
  <c r="Q67" i="7"/>
  <c r="CX11" i="5"/>
  <c r="CN11" i="5"/>
  <c r="CW11" i="5"/>
  <c r="CM11" i="5"/>
  <c r="P67" i="7"/>
  <c r="BO11" i="5"/>
  <c r="G67" i="7"/>
  <c r="CC11" i="5"/>
  <c r="BW11" i="5"/>
  <c r="CU11" i="5"/>
  <c r="CK11" i="5"/>
  <c r="N67" i="7"/>
  <c r="I67" i="7"/>
  <c r="BY11" i="5"/>
  <c r="CE11" i="5"/>
  <c r="AG31" i="87"/>
  <c r="AE31" i="87"/>
  <c r="AF31" i="87"/>
  <c r="AG31" i="98"/>
  <c r="AF31" i="98"/>
  <c r="AE31" i="98"/>
  <c r="CE13" i="5"/>
  <c r="BY13" i="5"/>
  <c r="I69" i="7"/>
  <c r="CY13" i="5"/>
  <c r="K10" i="15"/>
  <c r="DB20" i="5"/>
  <c r="G69" i="7"/>
  <c r="CC13" i="5"/>
  <c r="BW13" i="5"/>
  <c r="BZ78" i="62"/>
  <c r="BV80" i="62"/>
  <c r="BU88" i="62"/>
  <c r="BY88" i="62"/>
  <c r="BY83" i="62"/>
  <c r="BW101" i="62"/>
  <c r="W51" i="64"/>
  <c r="BZ84" i="62"/>
  <c r="BW94" i="62"/>
  <c r="BW97" i="62"/>
  <c r="BX99" i="62"/>
  <c r="G10" i="15"/>
  <c r="P25" i="69" s="1"/>
  <c r="AG31" i="100"/>
  <c r="AE31" i="100"/>
  <c r="AF31" i="100"/>
  <c r="N69" i="7"/>
  <c r="CU13" i="5"/>
  <c r="CK13" i="5"/>
  <c r="BW81" i="62"/>
  <c r="W48" i="64"/>
  <c r="BU101" i="62"/>
  <c r="BX90" i="62"/>
  <c r="BY90" i="62"/>
  <c r="BY97" i="62"/>
  <c r="BY93" i="62"/>
  <c r="W10" i="15"/>
  <c r="BZ13" i="5"/>
  <c r="J69" i="7"/>
  <c r="CF13" i="5"/>
  <c r="AG31" i="99"/>
  <c r="AE31" i="99"/>
  <c r="AF31" i="99"/>
  <c r="BZ92" i="62"/>
  <c r="BV77" i="62"/>
  <c r="BW88" i="62"/>
  <c r="AF164" i="5"/>
  <c r="BX97" i="62"/>
  <c r="BX88" i="62"/>
  <c r="BU98" i="62"/>
  <c r="H10" i="15"/>
  <c r="AG31" i="85"/>
  <c r="AF31" i="85"/>
  <c r="AE31" i="85"/>
  <c r="S69" i="7"/>
  <c r="CP13" i="5"/>
  <c r="CZ13" i="5"/>
  <c r="AG31" i="96"/>
  <c r="AF31" i="96"/>
  <c r="AE31" i="96"/>
  <c r="AH164" i="5"/>
  <c r="BU94" i="62"/>
  <c r="CT13" i="5"/>
  <c r="M69" i="7"/>
  <c r="CJ13" i="5"/>
  <c r="BX101" i="62"/>
  <c r="BU87" i="62"/>
  <c r="BY87" i="62"/>
  <c r="BW73" i="62"/>
  <c r="C9" i="17"/>
  <c r="BZ73" i="62"/>
  <c r="BZ94" i="62"/>
  <c r="BU99" i="62"/>
  <c r="BW78" i="62"/>
  <c r="BY95" i="62"/>
  <c r="BY96" i="62"/>
  <c r="F10" i="15"/>
  <c r="BV96" i="62"/>
  <c r="BX74" i="62"/>
  <c r="BV83" i="62"/>
  <c r="BZ98" i="62"/>
  <c r="BZ99" i="62"/>
  <c r="BZ97" i="62"/>
  <c r="AG164" i="5"/>
  <c r="L10" i="15"/>
  <c r="BZ96" i="62"/>
  <c r="AG31" i="92"/>
  <c r="AF31" i="92"/>
  <c r="AE31" i="92"/>
  <c r="E10" i="15"/>
  <c r="AG31" i="83"/>
  <c r="AE31" i="83"/>
  <c r="AF31" i="83"/>
  <c r="BZ75" i="62"/>
  <c r="BY80" i="62"/>
  <c r="BV97" i="62"/>
  <c r="AG31" i="81"/>
  <c r="AF31" i="81"/>
  <c r="AE31" i="81"/>
  <c r="AG31" i="86"/>
  <c r="AF31" i="86"/>
  <c r="AE31" i="86"/>
  <c r="AG31" i="90"/>
  <c r="AF31" i="90"/>
  <c r="AE31" i="90"/>
  <c r="F69" i="7"/>
  <c r="AX13" i="5"/>
  <c r="DE13" i="5" s="1"/>
  <c r="CB13" i="5"/>
  <c r="BV13" i="5"/>
  <c r="AG31" i="82"/>
  <c r="AF31" i="82"/>
  <c r="AE31" i="82"/>
  <c r="AG31" i="95"/>
  <c r="AF31" i="95"/>
  <c r="AE31" i="95"/>
  <c r="AG31" i="91"/>
  <c r="AE31" i="91"/>
  <c r="AF31" i="91"/>
  <c r="BV99" i="62"/>
  <c r="BV88" i="62"/>
  <c r="BW74" i="62"/>
  <c r="BU97" i="62"/>
  <c r="AG31" i="89"/>
  <c r="AF31" i="89"/>
  <c r="AE31" i="89"/>
  <c r="BX81" i="62"/>
  <c r="BX98" i="62"/>
  <c r="BV89" i="62"/>
  <c r="BY100" i="62"/>
  <c r="BW77" i="62"/>
  <c r="BZ83" i="62"/>
  <c r="BZ86" i="62"/>
  <c r="BV100" i="62"/>
  <c r="BU95" i="62"/>
  <c r="BY94" i="62"/>
  <c r="BY86" i="62"/>
  <c r="BW82" i="62"/>
  <c r="AG31" i="97"/>
  <c r="AF31" i="97"/>
  <c r="AE31" i="97"/>
  <c r="CR13" i="5"/>
  <c r="BI13" i="5"/>
  <c r="CH13" i="5"/>
  <c r="K69" i="7"/>
  <c r="AG31" i="88"/>
  <c r="AF31" i="88"/>
  <c r="AE31" i="88"/>
  <c r="CN13" i="5"/>
  <c r="Q69" i="7"/>
  <c r="CX13" i="5"/>
  <c r="J10" i="15"/>
  <c r="DA13" i="5"/>
  <c r="CQ13" i="5"/>
  <c r="T69" i="7"/>
  <c r="T10" i="15"/>
  <c r="BY72" i="62"/>
  <c r="BX76" i="62"/>
  <c r="AG31" i="94"/>
  <c r="AF31" i="94"/>
  <c r="AE31" i="94"/>
  <c r="BY92" i="62"/>
  <c r="AG31" i="93"/>
  <c r="AF31" i="93"/>
  <c r="AE31" i="93"/>
  <c r="BW93" i="62"/>
  <c r="BZ80" i="62"/>
  <c r="BV72" i="62"/>
  <c r="BU84" i="62"/>
  <c r="BY89" i="62"/>
  <c r="BZ88" i="62"/>
  <c r="BZ79" i="62"/>
  <c r="H69" i="7"/>
  <c r="CD13" i="5"/>
  <c r="BX13" i="5"/>
  <c r="L69" i="7"/>
  <c r="CS13" i="5"/>
  <c r="CI13" i="5"/>
  <c r="AG31" i="84"/>
  <c r="AF31" i="84"/>
  <c r="AE31" i="84"/>
  <c r="DW12" i="16"/>
  <c r="AL12" i="16" s="1"/>
  <c r="DW6" i="16"/>
  <c r="AL6" i="16" s="1"/>
  <c r="DW9" i="16"/>
  <c r="AL9" i="16" s="1"/>
  <c r="AK10" i="16"/>
  <c r="U6" i="70"/>
  <c r="AK7" i="16"/>
  <c r="U6" i="67"/>
  <c r="DB14" i="68"/>
  <c r="DD13" i="68"/>
  <c r="DB15" i="68"/>
  <c r="DC13" i="68"/>
  <c r="DB15" i="74"/>
  <c r="DB14" i="74"/>
  <c r="AK11" i="16"/>
  <c r="U6" i="71"/>
  <c r="AK25" i="68"/>
  <c r="AI21" i="66"/>
  <c r="AH23" i="68"/>
  <c r="AJ24" i="68"/>
  <c r="AK31" i="68"/>
  <c r="AJ23" i="68"/>
  <c r="AI27" i="69"/>
  <c r="AH26" i="69"/>
  <c r="AH20" i="70"/>
  <c r="AJ25" i="71"/>
  <c r="AJ28" i="71"/>
  <c r="AI21" i="71"/>
  <c r="AJ27" i="71"/>
  <c r="AJ21" i="71"/>
  <c r="AJ30" i="71"/>
  <c r="AJ26" i="71"/>
  <c r="AH26" i="72"/>
  <c r="AK26" i="72" s="1"/>
  <c r="AH28" i="72"/>
  <c r="AK28" i="72" s="1"/>
  <c r="AH20" i="72"/>
  <c r="CL15" i="18"/>
  <c r="CM15" i="18" s="1"/>
  <c r="V38" i="101"/>
  <c r="Z38" i="101"/>
  <c r="X38" i="101"/>
  <c r="W38" i="101"/>
  <c r="Z37" i="101"/>
  <c r="X37" i="101"/>
  <c r="Y37" i="101"/>
  <c r="W37" i="101"/>
  <c r="V37" i="101"/>
  <c r="AE8" i="68"/>
  <c r="AE13" i="68" s="1"/>
  <c r="AK30" i="68"/>
  <c r="AK28" i="68"/>
  <c r="AI24" i="66"/>
  <c r="AK30" i="16"/>
  <c r="U6" i="96"/>
  <c r="AK28" i="16"/>
  <c r="U6" i="94"/>
  <c r="AK31" i="16"/>
  <c r="U6" i="97"/>
  <c r="AK23" i="16"/>
  <c r="U6" i="89"/>
  <c r="AK25" i="16"/>
  <c r="U6" i="91"/>
  <c r="AK26" i="16"/>
  <c r="U6" i="92"/>
  <c r="AK32" i="16"/>
  <c r="U6" i="98"/>
  <c r="AK27" i="16"/>
  <c r="U6" i="93"/>
  <c r="AK29" i="16"/>
  <c r="U6" i="95"/>
  <c r="AK34" i="16"/>
  <c r="U6" i="100"/>
  <c r="AK33" i="16"/>
  <c r="U6" i="99"/>
  <c r="AK18" i="16"/>
  <c r="U6" i="84"/>
  <c r="AK17" i="16"/>
  <c r="U6" i="83"/>
  <c r="AK19" i="16"/>
  <c r="U6" i="85"/>
  <c r="AK20" i="16"/>
  <c r="U6" i="86"/>
  <c r="AK24" i="16"/>
  <c r="U6" i="90"/>
  <c r="AK22" i="16"/>
  <c r="U6" i="88"/>
  <c r="AK21" i="16"/>
  <c r="U6" i="87"/>
  <c r="CR13" i="69"/>
  <c r="CY13" i="69" s="1"/>
  <c r="BP8" i="101"/>
  <c r="BR8" i="101" s="1"/>
  <c r="CS13" i="69"/>
  <c r="CZ13" i="69" s="1"/>
  <c r="BQ8" i="101"/>
  <c r="BS8" i="101" s="1"/>
  <c r="AH24" i="71"/>
  <c r="AH21" i="71"/>
  <c r="CS13" i="71"/>
  <c r="CZ13" i="71" s="1"/>
  <c r="BQ10" i="101"/>
  <c r="BS10" i="101" s="1"/>
  <c r="CR13" i="71"/>
  <c r="CY13" i="71" s="1"/>
  <c r="BP10" i="101"/>
  <c r="BR10" i="101" s="1"/>
  <c r="AG8" i="67"/>
  <c r="AG13" i="67" s="1"/>
  <c r="AR70" i="16" s="1"/>
  <c r="AI8" i="67"/>
  <c r="AI13" i="67" s="1"/>
  <c r="AT70" i="16" s="1"/>
  <c r="AK29" i="67"/>
  <c r="AH30" i="67"/>
  <c r="AX65" i="16"/>
  <c r="AX54" i="16" s="1"/>
  <c r="D28" i="18" s="1"/>
  <c r="AK15" i="16"/>
  <c r="U6" i="81"/>
  <c r="X54" i="101"/>
  <c r="X53" i="101"/>
  <c r="AJ28" i="18"/>
  <c r="BF16" i="16"/>
  <c r="BE16" i="16"/>
  <c r="BA79" i="16"/>
  <c r="AI30" i="73"/>
  <c r="AJ31" i="73"/>
  <c r="AG31" i="73" s="1"/>
  <c r="AJ29" i="73"/>
  <c r="AH24" i="73"/>
  <c r="AI28" i="73"/>
  <c r="AH28" i="73"/>
  <c r="AH30" i="73"/>
  <c r="AH21" i="73"/>
  <c r="AI20" i="73"/>
  <c r="AJ30" i="73"/>
  <c r="AJ21" i="73"/>
  <c r="AJ20" i="73"/>
  <c r="W53" i="101"/>
  <c r="Z53" i="101"/>
  <c r="AA53" i="101" s="1"/>
  <c r="Y53" i="101"/>
  <c r="V53" i="101"/>
  <c r="AB53" i="101"/>
  <c r="AC53" i="101" s="1"/>
  <c r="W54" i="101"/>
  <c r="AB54" i="101"/>
  <c r="AC54" i="101" s="1"/>
  <c r="V54" i="101"/>
  <c r="Z54" i="101"/>
  <c r="AA54" i="101" s="1"/>
  <c r="AH8" i="73"/>
  <c r="AH13" i="73" s="1"/>
  <c r="AS76" i="16" s="1"/>
  <c r="AF8" i="73"/>
  <c r="AF13" i="73" s="1"/>
  <c r="AQ76" i="16" s="1"/>
  <c r="AE8" i="73"/>
  <c r="AE13" i="73" s="1"/>
  <c r="BA109" i="16" s="1"/>
  <c r="AJ24" i="73"/>
  <c r="AJ26" i="73"/>
  <c r="AJ23" i="73"/>
  <c r="AJ25" i="73"/>
  <c r="AJ22" i="73"/>
  <c r="AJ27" i="73"/>
  <c r="AJ28" i="73"/>
  <c r="AI21" i="73"/>
  <c r="BE79" i="16"/>
  <c r="BD79" i="16"/>
  <c r="AK16" i="16"/>
  <c r="U6" i="82"/>
  <c r="W13" i="82" s="1"/>
  <c r="BP12" i="101"/>
  <c r="BR12" i="101" s="1"/>
  <c r="BQ12" i="101"/>
  <c r="BS12" i="101" s="1"/>
  <c r="CS13" i="72"/>
  <c r="CZ13" i="72" s="1"/>
  <c r="BQ11" i="101"/>
  <c r="BS11" i="101" s="1"/>
  <c r="CR13" i="72"/>
  <c r="CY13" i="72" s="1"/>
  <c r="BP11" i="101"/>
  <c r="BR11" i="101" s="1"/>
  <c r="AH28" i="67"/>
  <c r="AK28" i="67" s="1"/>
  <c r="AJ23" i="66"/>
  <c r="AJ31" i="66"/>
  <c r="AG31" i="66" s="1"/>
  <c r="AJ25" i="66"/>
  <c r="AJ29" i="66"/>
  <c r="AJ24" i="66"/>
  <c r="BO103" i="16"/>
  <c r="BO70" i="16" s="1"/>
  <c r="AJ8" i="67"/>
  <c r="AJ13" i="67" s="1"/>
  <c r="BF103" i="16" s="1"/>
  <c r="CR13" i="67"/>
  <c r="CY13" i="67" s="1"/>
  <c r="BP6" i="101"/>
  <c r="BR6" i="101" s="1"/>
  <c r="CS13" i="67"/>
  <c r="CZ13" i="67" s="1"/>
  <c r="BQ6" i="101"/>
  <c r="BS6" i="101" s="1"/>
  <c r="AJ26" i="66"/>
  <c r="AJ22" i="66"/>
  <c r="AJ28" i="66"/>
  <c r="AJ20" i="66"/>
  <c r="AJ27" i="66"/>
  <c r="CS13" i="66"/>
  <c r="CZ13" i="66" s="1"/>
  <c r="BQ5" i="101"/>
  <c r="BS5" i="101" s="1"/>
  <c r="CR13" i="66"/>
  <c r="CY13" i="66" s="1"/>
  <c r="BP5" i="101"/>
  <c r="BR5" i="101" s="1"/>
  <c r="E14" i="101" a="1"/>
  <c r="E14" i="101" s="1"/>
  <c r="E18" i="101" a="1"/>
  <c r="E18" i="101" s="1"/>
  <c r="E5" i="101" a="1"/>
  <c r="E5" i="101" s="1"/>
  <c r="E24" i="101" a="1"/>
  <c r="E24" i="101" s="1"/>
  <c r="E26" i="101" a="1"/>
  <c r="E26" i="101" s="1"/>
  <c r="E23" i="101" a="1"/>
  <c r="E23" i="101" s="1"/>
  <c r="E4" i="101" a="1"/>
  <c r="E4" i="101" s="1"/>
  <c r="E21" i="101" a="1"/>
  <c r="E21" i="101" s="1"/>
  <c r="E7" i="101" a="1"/>
  <c r="E7" i="101" s="1"/>
  <c r="E27" i="101" a="1"/>
  <c r="E27" i="101" s="1"/>
  <c r="E9" i="101" a="1"/>
  <c r="E9" i="101" s="1"/>
  <c r="E29" i="101" a="1"/>
  <c r="E29" i="101" s="1"/>
  <c r="E6" i="101" a="1"/>
  <c r="E6" i="101" s="1"/>
  <c r="E19" i="101" a="1"/>
  <c r="E19" i="101" s="1"/>
  <c r="E20" i="101" a="1"/>
  <c r="E20" i="101" s="1"/>
  <c r="E28" i="101" a="1"/>
  <c r="E28" i="101" s="1"/>
  <c r="E12" i="101" a="1"/>
  <c r="E12" i="101" s="1"/>
  <c r="E13" i="101" a="1"/>
  <c r="E13" i="101" s="1"/>
  <c r="E16" i="101" a="1"/>
  <c r="E16" i="101" s="1"/>
  <c r="E25" i="101" a="1"/>
  <c r="E25" i="101" s="1"/>
  <c r="E8" i="101" a="1"/>
  <c r="E8" i="101" s="1"/>
  <c r="E22" i="101" a="1"/>
  <c r="E22" i="101" s="1"/>
  <c r="E10" i="101" a="1"/>
  <c r="E10" i="101" s="1"/>
  <c r="E30" i="101" a="1"/>
  <c r="E30" i="101" s="1"/>
  <c r="E31" i="101" a="1"/>
  <c r="E31" i="101" s="1"/>
  <c r="E15" i="101" a="1"/>
  <c r="E15" i="101" s="1"/>
  <c r="E17" i="101" a="1"/>
  <c r="E17" i="101" s="1"/>
  <c r="E11" i="101" a="1"/>
  <c r="E11" i="101" s="1"/>
  <c r="E32" i="101" a="1"/>
  <c r="E32" i="101" s="1"/>
  <c r="E33" i="101" a="1"/>
  <c r="E33" i="101" s="1"/>
  <c r="CR13" i="18"/>
  <c r="CY13" i="18" s="1"/>
  <c r="BP4" i="101"/>
  <c r="BR4" i="101" s="1"/>
  <c r="BT4" i="101" s="1"/>
  <c r="CS13" i="18"/>
  <c r="CZ13" i="18" s="1"/>
  <c r="BQ4" i="101"/>
  <c r="BS4" i="101" s="1"/>
  <c r="CS13" i="74"/>
  <c r="CZ13" i="74" s="1"/>
  <c r="BQ13" i="101"/>
  <c r="BS13" i="101" s="1"/>
  <c r="CR13" i="74"/>
  <c r="CY13" i="74" s="1"/>
  <c r="BP13" i="101"/>
  <c r="BR13" i="101" s="1"/>
  <c r="AH28" i="70"/>
  <c r="CS13" i="70"/>
  <c r="CZ13" i="70" s="1"/>
  <c r="BQ9" i="101"/>
  <c r="BS9" i="101" s="1"/>
  <c r="CR13" i="70"/>
  <c r="CY13" i="70" s="1"/>
  <c r="BP9" i="101"/>
  <c r="BR9" i="101" s="1"/>
  <c r="AH22" i="71"/>
  <c r="AH21" i="66"/>
  <c r="W13" i="73"/>
  <c r="AP71" i="16"/>
  <c r="BA104" i="16"/>
  <c r="CE14" i="18"/>
  <c r="CJ14" i="18"/>
  <c r="CF14" i="18"/>
  <c r="CE13" i="18"/>
  <c r="CF13" i="18"/>
  <c r="CG13" i="18"/>
  <c r="CH13" i="18"/>
  <c r="CI13" i="18"/>
  <c r="CI14" i="18"/>
  <c r="CH14" i="18"/>
  <c r="AH31" i="74"/>
  <c r="AE31" i="74" s="1"/>
  <c r="AI30" i="74"/>
  <c r="AH25" i="74"/>
  <c r="AI8" i="74"/>
  <c r="AI13" i="74" s="1"/>
  <c r="AJ8" i="74"/>
  <c r="AJ13" i="74" s="1"/>
  <c r="AH21" i="74"/>
  <c r="AH8" i="74"/>
  <c r="AH13" i="74" s="1"/>
  <c r="AH24" i="74"/>
  <c r="AH28" i="74"/>
  <c r="AF8" i="74"/>
  <c r="AF13" i="74" s="1"/>
  <c r="AG8" i="74"/>
  <c r="AG13" i="74" s="1"/>
  <c r="AK30" i="74"/>
  <c r="AE8" i="74"/>
  <c r="AE13" i="74" s="1"/>
  <c r="AH26" i="74"/>
  <c r="AH29" i="74"/>
  <c r="AI31" i="74"/>
  <c r="AF31" i="74" s="1"/>
  <c r="AI26" i="74"/>
  <c r="AI20" i="74"/>
  <c r="AI28" i="74"/>
  <c r="AH22" i="74"/>
  <c r="AH20" i="74"/>
  <c r="AI21" i="74"/>
  <c r="AI24" i="74"/>
  <c r="AI22" i="74"/>
  <c r="AI29" i="74"/>
  <c r="AI25" i="74"/>
  <c r="AH27" i="73"/>
  <c r="AH29" i="73"/>
  <c r="AI31" i="73"/>
  <c r="AF31" i="73" s="1"/>
  <c r="AH20" i="73"/>
  <c r="AI27" i="73"/>
  <c r="AH25" i="73"/>
  <c r="AI22" i="73"/>
  <c r="AH26" i="73"/>
  <c r="AJ8" i="73"/>
  <c r="AJ13" i="73" s="1"/>
  <c r="AI25" i="73"/>
  <c r="AI29" i="73"/>
  <c r="AH31" i="73"/>
  <c r="AE31" i="73" s="1"/>
  <c r="AH22" i="73"/>
  <c r="AI26" i="73"/>
  <c r="AI24" i="73"/>
  <c r="AI23" i="73"/>
  <c r="AI27" i="72"/>
  <c r="AI29" i="72"/>
  <c r="AK29" i="72" s="1"/>
  <c r="AH25" i="72"/>
  <c r="AH21" i="72"/>
  <c r="AI26" i="72"/>
  <c r="AI31" i="72"/>
  <c r="AF31" i="72" s="1"/>
  <c r="AH31" i="72"/>
  <c r="AE31" i="72" s="1"/>
  <c r="AH27" i="72"/>
  <c r="AH22" i="72"/>
  <c r="AH30" i="72"/>
  <c r="AI25" i="72"/>
  <c r="AI20" i="72"/>
  <c r="AJ8" i="72"/>
  <c r="AJ13" i="72" s="1"/>
  <c r="AH24" i="72"/>
  <c r="AH23" i="72"/>
  <c r="AI30" i="72"/>
  <c r="AI23" i="72"/>
  <c r="AI21" i="72"/>
  <c r="AI22" i="72"/>
  <c r="AF8" i="72"/>
  <c r="AF13" i="72" s="1"/>
  <c r="AI24" i="72"/>
  <c r="AG8" i="71"/>
  <c r="AG13" i="71" s="1"/>
  <c r="BC107" i="16" s="1"/>
  <c r="AI22" i="71"/>
  <c r="AH30" i="71"/>
  <c r="AH23" i="71"/>
  <c r="AH27" i="71"/>
  <c r="AI24" i="71"/>
  <c r="AH25" i="71"/>
  <c r="AI27" i="71"/>
  <c r="AI23" i="71"/>
  <c r="AI26" i="71"/>
  <c r="AH26" i="71"/>
  <c r="AH29" i="71"/>
  <c r="AI28" i="71"/>
  <c r="AK28" i="71" s="1"/>
  <c r="AI30" i="71"/>
  <c r="AI20" i="71"/>
  <c r="AH20" i="71"/>
  <c r="AF8" i="71"/>
  <c r="AF13" i="71" s="1"/>
  <c r="AI8" i="71"/>
  <c r="AI13" i="71" s="1"/>
  <c r="AJ8" i="71"/>
  <c r="AJ13" i="71" s="1"/>
  <c r="BF107" i="16" s="1"/>
  <c r="AI25" i="71"/>
  <c r="AI29" i="71"/>
  <c r="AE8" i="71"/>
  <c r="AE13" i="71" s="1"/>
  <c r="BK107" i="16" s="1"/>
  <c r="BK74" i="16" s="1"/>
  <c r="AI28" i="70"/>
  <c r="AI27" i="70"/>
  <c r="AH24" i="70"/>
  <c r="AH22" i="70"/>
  <c r="AH26" i="70"/>
  <c r="AH27" i="70"/>
  <c r="AK27" i="70" s="1"/>
  <c r="AH21" i="70"/>
  <c r="AH29" i="70"/>
  <c r="AI21" i="70"/>
  <c r="AH25" i="70"/>
  <c r="AI25" i="70"/>
  <c r="AI26" i="70"/>
  <c r="AI22" i="70"/>
  <c r="AI31" i="70"/>
  <c r="AF31" i="70" s="1"/>
  <c r="AH31" i="70"/>
  <c r="AE31" i="70" s="1"/>
  <c r="AI30" i="70"/>
  <c r="AH30" i="70"/>
  <c r="AK30" i="70" s="1"/>
  <c r="AI23" i="70"/>
  <c r="AH23" i="70"/>
  <c r="AI29" i="70"/>
  <c r="AI8" i="70"/>
  <c r="AI13" i="70" s="1"/>
  <c r="AI24" i="70"/>
  <c r="AH30" i="69"/>
  <c r="AI30" i="69"/>
  <c r="AI29" i="69"/>
  <c r="AH23" i="69"/>
  <c r="AI28" i="69"/>
  <c r="AH28" i="69"/>
  <c r="AK28" i="69" s="1"/>
  <c r="AI26" i="69"/>
  <c r="AI23" i="69"/>
  <c r="AH27" i="69"/>
  <c r="AK27" i="69" s="1"/>
  <c r="AH20" i="69"/>
  <c r="AH24" i="69"/>
  <c r="AI20" i="69"/>
  <c r="AI31" i="69"/>
  <c r="AF31" i="69" s="1"/>
  <c r="AE8" i="69"/>
  <c r="AE13" i="69" s="1"/>
  <c r="AH29" i="69"/>
  <c r="AK25" i="69"/>
  <c r="AI21" i="69"/>
  <c r="AH22" i="69"/>
  <c r="AI24" i="69"/>
  <c r="AH21" i="69"/>
  <c r="AI22" i="69"/>
  <c r="AK22" i="68"/>
  <c r="AK27" i="68"/>
  <c r="AH24" i="68"/>
  <c r="AI24" i="68"/>
  <c r="AI8" i="68"/>
  <c r="AI13" i="68" s="1"/>
  <c r="AJ8" i="68"/>
  <c r="AJ13" i="68" s="1"/>
  <c r="AH8" i="68"/>
  <c r="AH13" i="68" s="1"/>
  <c r="AJ21" i="67"/>
  <c r="AH21" i="67"/>
  <c r="AH31" i="67"/>
  <c r="AE31" i="67" s="1"/>
  <c r="AJ26" i="67"/>
  <c r="AK26" i="67" s="1"/>
  <c r="AI31" i="67"/>
  <c r="AF31" i="67" s="1"/>
  <c r="AI21" i="67"/>
  <c r="AI27" i="67"/>
  <c r="AF8" i="67"/>
  <c r="AF13" i="67" s="1"/>
  <c r="BB103" i="16" s="1"/>
  <c r="AE8" i="67"/>
  <c r="AE13" i="67" s="1"/>
  <c r="BA103" i="16" s="1"/>
  <c r="AI23" i="67"/>
  <c r="AK25" i="67"/>
  <c r="AH27" i="67"/>
  <c r="AI22" i="67"/>
  <c r="AJ23" i="67"/>
  <c r="AH22" i="67"/>
  <c r="AJ22" i="67"/>
  <c r="AJ30" i="67"/>
  <c r="AH24" i="67"/>
  <c r="AK24" i="67" s="1"/>
  <c r="AJ27" i="67"/>
  <c r="AJ31" i="67"/>
  <c r="AG31" i="67" s="1"/>
  <c r="AJ20" i="18"/>
  <c r="AI22" i="18"/>
  <c r="AJ30" i="18"/>
  <c r="AJ22" i="18"/>
  <c r="AJ25" i="18"/>
  <c r="AJ26" i="18"/>
  <c r="AJ29" i="18"/>
  <c r="AJ31" i="18"/>
  <c r="AG31" i="18" s="1"/>
  <c r="AE8" i="70"/>
  <c r="AE13" i="70" s="1"/>
  <c r="BI5" i="16"/>
  <c r="BH5" i="16"/>
  <c r="AJ8" i="70"/>
  <c r="AJ13" i="70" s="1"/>
  <c r="AF8" i="70"/>
  <c r="AF13" i="70" s="1"/>
  <c r="AW68" i="16"/>
  <c r="AH22" i="18"/>
  <c r="AI26" i="18"/>
  <c r="AH31" i="66"/>
  <c r="AE31" i="66" s="1"/>
  <c r="AH27" i="66"/>
  <c r="AH29" i="66"/>
  <c r="AI31" i="66"/>
  <c r="AF31" i="66" s="1"/>
  <c r="AI27" i="66"/>
  <c r="AI20" i="66"/>
  <c r="AI8" i="66"/>
  <c r="AI13" i="66" s="1"/>
  <c r="AI26" i="66"/>
  <c r="AI25" i="66"/>
  <c r="AH20" i="66"/>
  <c r="AH26" i="66"/>
  <c r="AH8" i="66"/>
  <c r="AH13" i="66" s="1"/>
  <c r="AH23" i="66"/>
  <c r="AI28" i="66"/>
  <c r="AI22" i="66"/>
  <c r="AH25" i="66"/>
  <c r="AI29" i="66"/>
  <c r="AH28" i="66"/>
  <c r="AH22" i="66"/>
  <c r="AJ8" i="66"/>
  <c r="AJ13" i="66" s="1"/>
  <c r="AK30" i="66"/>
  <c r="AH25" i="18"/>
  <c r="AI30" i="18"/>
  <c r="AH20" i="18"/>
  <c r="AI25" i="18"/>
  <c r="AH21" i="18"/>
  <c r="AI31" i="18"/>
  <c r="AF31" i="18" s="1"/>
  <c r="AH28" i="18"/>
  <c r="AH24" i="18"/>
  <c r="AI21" i="18"/>
  <c r="AI27" i="18"/>
  <c r="AH29" i="18"/>
  <c r="AH27" i="18"/>
  <c r="AH31" i="18"/>
  <c r="AE31" i="18" s="1"/>
  <c r="AI29" i="18"/>
  <c r="AH26" i="18"/>
  <c r="AH30" i="18"/>
  <c r="AI28" i="18"/>
  <c r="BR65" i="16"/>
  <c r="AW70" i="16"/>
  <c r="AG8" i="70"/>
  <c r="AG13" i="70" s="1"/>
  <c r="AH8" i="71"/>
  <c r="AH13" i="71" s="1"/>
  <c r="BD107" i="16" s="1"/>
  <c r="AH8" i="69"/>
  <c r="AH13" i="69" s="1"/>
  <c r="AI8" i="69"/>
  <c r="AI13" i="69" s="1"/>
  <c r="F119" i="62"/>
  <c r="AL20" i="81" s="1"/>
  <c r="AM20" i="81" s="1"/>
  <c r="AB119" i="62" s="1"/>
  <c r="AH8" i="67"/>
  <c r="AH13" i="67" s="1"/>
  <c r="AJ8" i="69"/>
  <c r="AJ13" i="69" s="1"/>
  <c r="G118" i="62"/>
  <c r="AL21" i="74" s="1"/>
  <c r="BM103" i="16"/>
  <c r="BM70" i="16" s="1"/>
  <c r="AI8" i="72"/>
  <c r="AI13" i="72" s="1"/>
  <c r="AE8" i="66"/>
  <c r="AE13" i="66" s="1"/>
  <c r="AF8" i="68"/>
  <c r="AF13" i="68" s="1"/>
  <c r="AI8" i="73"/>
  <c r="AI13" i="73" s="1"/>
  <c r="AH8" i="72"/>
  <c r="AH13" i="72" s="1"/>
  <c r="AG8" i="69"/>
  <c r="AG13" i="69" s="1"/>
  <c r="AF8" i="66"/>
  <c r="AF13" i="66" s="1"/>
  <c r="AG8" i="68"/>
  <c r="AG13" i="68" s="1"/>
  <c r="AG8" i="73"/>
  <c r="AG13" i="73" s="1"/>
  <c r="AH8" i="70"/>
  <c r="AH13" i="70" s="1"/>
  <c r="AF8" i="69"/>
  <c r="AF13" i="69" s="1"/>
  <c r="AE8" i="72"/>
  <c r="AE13" i="72" s="1"/>
  <c r="AG8" i="66"/>
  <c r="AG13" i="66" s="1"/>
  <c r="AF8" i="18"/>
  <c r="AF13" i="18" s="1"/>
  <c r="BL101" i="16" s="1"/>
  <c r="BL68" i="16" s="1"/>
  <c r="AI8" i="18"/>
  <c r="AI13" i="18" s="1"/>
  <c r="BO101" i="16" s="1"/>
  <c r="BO68" i="16" s="1"/>
  <c r="AJ8" i="18"/>
  <c r="AJ13" i="18" s="1"/>
  <c r="AH8" i="18"/>
  <c r="AH13" i="18" s="1"/>
  <c r="BN101" i="16" s="1"/>
  <c r="BN68" i="16" s="1"/>
  <c r="AI20" i="18"/>
  <c r="AI24" i="18"/>
  <c r="AJ27" i="18"/>
  <c r="AJ23" i="18"/>
  <c r="AJ24" i="18"/>
  <c r="AJ21" i="18"/>
  <c r="AG8" i="18"/>
  <c r="AG13" i="18" s="1"/>
  <c r="AE8" i="18"/>
  <c r="AE13" i="18" s="1"/>
  <c r="BK101" i="16" s="1"/>
  <c r="BK68" i="16" s="1"/>
  <c r="AT77" i="16"/>
  <c r="BE110" i="16"/>
  <c r="BA110" i="16"/>
  <c r="AP77" i="16"/>
  <c r="AS77" i="16"/>
  <c r="BD110" i="16"/>
  <c r="AU77" i="16"/>
  <c r="BF110" i="16"/>
  <c r="AQ77" i="16"/>
  <c r="BB110" i="16"/>
  <c r="BC110" i="16"/>
  <c r="BC77" i="16" s="1"/>
  <c r="BH101" i="16"/>
  <c r="BE107" i="16"/>
  <c r="BC106" i="16"/>
  <c r="BC73" i="16" s="1"/>
  <c r="BE106" i="16"/>
  <c r="BE73" i="16" s="1"/>
  <c r="BF106" i="16"/>
  <c r="BF73" i="16" s="1"/>
  <c r="BD106" i="16"/>
  <c r="BD73" i="16" s="1"/>
  <c r="BB106" i="16"/>
  <c r="BB73" i="16" s="1"/>
  <c r="BA106" i="16"/>
  <c r="AP73" i="16"/>
  <c r="BD105" i="16"/>
  <c r="BD72" i="16" s="1"/>
  <c r="BF105" i="16"/>
  <c r="BF72" i="16" s="1"/>
  <c r="BA105" i="16"/>
  <c r="AP72" i="16"/>
  <c r="BB105" i="16"/>
  <c r="BB72" i="16" s="1"/>
  <c r="BE105" i="16"/>
  <c r="BE72" i="16" s="1"/>
  <c r="BC105" i="16"/>
  <c r="BC72" i="16" s="1"/>
  <c r="BE103" i="16"/>
  <c r="BD10" i="16"/>
  <c r="BE10" i="16"/>
  <c r="BB10" i="16"/>
  <c r="BI10" i="16"/>
  <c r="AK8" i="16"/>
  <c r="BY33" i="16"/>
  <c r="P36" i="64" s="1"/>
  <c r="BY29" i="16"/>
  <c r="P32" i="64" s="1"/>
  <c r="CV5" i="16"/>
  <c r="CV14" i="16"/>
  <c r="BY14" i="16" s="1"/>
  <c r="P17" i="64" s="1"/>
  <c r="BI6" i="16"/>
  <c r="BH6" i="16"/>
  <c r="BG5" i="16"/>
  <c r="BG35" i="16" s="1"/>
  <c r="F12" i="63" s="1"/>
  <c r="BJ5" i="16"/>
  <c r="BJ35" i="16" s="1"/>
  <c r="F15" i="63" s="1"/>
  <c r="BY32" i="16"/>
  <c r="P35" i="64" s="1"/>
  <c r="BX6" i="16"/>
  <c r="O9" i="64" s="1"/>
  <c r="BY27" i="16"/>
  <c r="P30" i="64" s="1"/>
  <c r="CV11" i="16"/>
  <c r="BY11" i="16" s="1"/>
  <c r="P14" i="64" s="1"/>
  <c r="BX27" i="16"/>
  <c r="O30" i="64" s="1"/>
  <c r="BY6" i="16"/>
  <c r="P9" i="64" s="1"/>
  <c r="BX15" i="16"/>
  <c r="O18" i="64" s="1"/>
  <c r="CW8" i="16"/>
  <c r="BY8" i="16" s="1"/>
  <c r="P11" i="64" s="1"/>
  <c r="BX32" i="16"/>
  <c r="O35" i="64" s="1"/>
  <c r="BY16" i="16"/>
  <c r="P19" i="64" s="1"/>
  <c r="BX21" i="16"/>
  <c r="O24" i="64" s="1"/>
  <c r="BX29" i="16"/>
  <c r="O32" i="64" s="1"/>
  <c r="BX33" i="16"/>
  <c r="O36" i="64" s="1"/>
  <c r="O124" i="62"/>
  <c r="AL29" i="86" s="1"/>
  <c r="AM29" i="86" s="1"/>
  <c r="CU5" i="16"/>
  <c r="BD5" i="16"/>
  <c r="BF5" i="16"/>
  <c r="B8" i="63"/>
  <c r="AQ53" i="16" s="1"/>
  <c r="BB5" i="16"/>
  <c r="BC5" i="16"/>
  <c r="BC35" i="16" s="1"/>
  <c r="BE5" i="16"/>
  <c r="BA5" i="16"/>
  <c r="BA35" i="16" s="1"/>
  <c r="F7" i="63" s="1"/>
  <c r="K138" i="62"/>
  <c r="AL25" i="100" s="1"/>
  <c r="AM25" i="100" s="1"/>
  <c r="BY21" i="16"/>
  <c r="P24" i="64" s="1"/>
  <c r="BY30" i="16"/>
  <c r="P33" i="64" s="1"/>
  <c r="BX18" i="16"/>
  <c r="O21" i="64" s="1"/>
  <c r="N138" i="62"/>
  <c r="AL28" i="100" s="1"/>
  <c r="AM28" i="100" s="1"/>
  <c r="BY12" i="16"/>
  <c r="P15" i="64" s="1"/>
  <c r="BX26" i="16"/>
  <c r="O29" i="64" s="1"/>
  <c r="BY9" i="16"/>
  <c r="P12" i="64" s="1"/>
  <c r="BX25" i="16"/>
  <c r="O28" i="64" s="1"/>
  <c r="BX16" i="16"/>
  <c r="O19" i="64" s="1"/>
  <c r="BX30" i="16"/>
  <c r="O33" i="64" s="1"/>
  <c r="BY17" i="16"/>
  <c r="P20" i="64" s="1"/>
  <c r="BX10" i="16"/>
  <c r="O13" i="64" s="1"/>
  <c r="BY31" i="16"/>
  <c r="P34" i="64" s="1"/>
  <c r="BY25" i="16"/>
  <c r="P28" i="64" s="1"/>
  <c r="BX11" i="16"/>
  <c r="O14" i="64" s="1"/>
  <c r="BY20" i="16"/>
  <c r="P23" i="64" s="1"/>
  <c r="M138" i="62"/>
  <c r="AL27" i="100" s="1"/>
  <c r="AM27" i="100" s="1"/>
  <c r="L138" i="62"/>
  <c r="AL26" i="100" s="1"/>
  <c r="AM26" i="100" s="1"/>
  <c r="BX22" i="16"/>
  <c r="O25" i="64" s="1"/>
  <c r="BX31" i="16"/>
  <c r="O34" i="64" s="1"/>
  <c r="BX5" i="16"/>
  <c r="O8" i="64" s="1"/>
  <c r="BY19" i="16"/>
  <c r="P22" i="64" s="1"/>
  <c r="BY10" i="16"/>
  <c r="P13" i="64" s="1"/>
  <c r="BY22" i="16"/>
  <c r="P25" i="64" s="1"/>
  <c r="BX28" i="16"/>
  <c r="O31" i="64" s="1"/>
  <c r="CU28" i="16"/>
  <c r="BY28" i="16" s="1"/>
  <c r="P31" i="64" s="1"/>
  <c r="BX13" i="16"/>
  <c r="O16" i="64" s="1"/>
  <c r="BX20" i="16"/>
  <c r="O23" i="64" s="1"/>
  <c r="CV7" i="16"/>
  <c r="BX7" i="16"/>
  <c r="O10" i="64" s="1"/>
  <c r="P138" i="62"/>
  <c r="AL30" i="100" s="1"/>
  <c r="AM30" i="100" s="1"/>
  <c r="BX17" i="16"/>
  <c r="O20" i="64" s="1"/>
  <c r="BY13" i="16"/>
  <c r="P16" i="64" s="1"/>
  <c r="BX9" i="16"/>
  <c r="O12" i="64" s="1"/>
  <c r="BY26" i="16"/>
  <c r="P29" i="64" s="1"/>
  <c r="CW7" i="16"/>
  <c r="BY18" i="16"/>
  <c r="P21" i="64" s="1"/>
  <c r="CU34" i="16"/>
  <c r="BY34" i="16" s="1"/>
  <c r="BX34" i="16"/>
  <c r="BX19" i="16"/>
  <c r="O22" i="64" s="1"/>
  <c r="BY15" i="16"/>
  <c r="P18" i="64" s="1"/>
  <c r="J138" i="62"/>
  <c r="AL24" i="100" s="1"/>
  <c r="AM24" i="100" s="1"/>
  <c r="N120" i="62"/>
  <c r="AL28" i="82" s="1"/>
  <c r="AM28" i="82" s="1"/>
  <c r="AJ120" i="62" s="1"/>
  <c r="O120" i="62"/>
  <c r="AL29" i="82" s="1"/>
  <c r="AM29" i="82" s="1"/>
  <c r="AK120" i="62" s="1"/>
  <c r="L120" i="62"/>
  <c r="AL26" i="82" s="1"/>
  <c r="AM26" i="82" s="1"/>
  <c r="AH120" i="62" s="1"/>
  <c r="O133" i="62"/>
  <c r="AL29" i="95" s="1"/>
  <c r="AM29" i="95" s="1"/>
  <c r="P109" i="62"/>
  <c r="AD27" i="19" s="1"/>
  <c r="AE27" i="19" s="1"/>
  <c r="N117" i="62"/>
  <c r="AL28" i="73" s="1"/>
  <c r="K120" i="62"/>
  <c r="AL25" i="82" s="1"/>
  <c r="AM25" i="82" s="1"/>
  <c r="AG120" i="62" s="1"/>
  <c r="J135" i="62"/>
  <c r="AL24" i="97" s="1"/>
  <c r="AM24" i="97" s="1"/>
  <c r="J120" i="62"/>
  <c r="AL24" i="82" s="1"/>
  <c r="AM24" i="82" s="1"/>
  <c r="AF120" i="62" s="1"/>
  <c r="O123" i="62"/>
  <c r="AL29" i="85" s="1"/>
  <c r="AM29" i="85" s="1"/>
  <c r="N119" i="62"/>
  <c r="AL28" i="81" s="1"/>
  <c r="AM28" i="81" s="1"/>
  <c r="AJ119" i="62" s="1"/>
  <c r="L110" i="62"/>
  <c r="AL26" i="66" s="1"/>
  <c r="N130" i="62"/>
  <c r="AL28" i="92" s="1"/>
  <c r="AM28" i="92" s="1"/>
  <c r="M122" i="62"/>
  <c r="AL27" i="84" s="1"/>
  <c r="AM27" i="84" s="1"/>
  <c r="N129" i="62"/>
  <c r="AL28" i="91" s="1"/>
  <c r="AM28" i="91" s="1"/>
  <c r="N111" i="62"/>
  <c r="AL28" i="67" s="1"/>
  <c r="Q121" i="62"/>
  <c r="AL31" i="83" s="1"/>
  <c r="AM31" i="83" s="1"/>
  <c r="L122" i="62"/>
  <c r="AL26" i="84" s="1"/>
  <c r="AM26" i="84" s="1"/>
  <c r="P110" i="62"/>
  <c r="AL30" i="66" s="1"/>
  <c r="L135" i="62"/>
  <c r="AL26" i="97" s="1"/>
  <c r="AM26" i="97" s="1"/>
  <c r="P121" i="62"/>
  <c r="AL30" i="83" s="1"/>
  <c r="AM30" i="83" s="1"/>
  <c r="P133" i="62"/>
  <c r="AL30" i="95" s="1"/>
  <c r="AM30" i="95" s="1"/>
  <c r="O132" i="62"/>
  <c r="AL29" i="94" s="1"/>
  <c r="AM29" i="94" s="1"/>
  <c r="O128" i="62"/>
  <c r="AL29" i="90" s="1"/>
  <c r="AM29" i="90" s="1"/>
  <c r="P123" i="62"/>
  <c r="AL30" i="85" s="1"/>
  <c r="AM30" i="85" s="1"/>
  <c r="Q133" i="62"/>
  <c r="AL31" i="95" s="1"/>
  <c r="AM31" i="95" s="1"/>
  <c r="Q132" i="62"/>
  <c r="AL31" i="94" s="1"/>
  <c r="AM31" i="94" s="1"/>
  <c r="H129" i="62"/>
  <c r="AL22" i="91" s="1"/>
  <c r="AM22" i="91" s="1"/>
  <c r="N128" i="62"/>
  <c r="AL28" i="90" s="1"/>
  <c r="AM28" i="90" s="1"/>
  <c r="K123" i="62"/>
  <c r="AL25" i="85" s="1"/>
  <c r="AM25" i="85" s="1"/>
  <c r="J128" i="62"/>
  <c r="AL24" i="90" s="1"/>
  <c r="AM24" i="90" s="1"/>
  <c r="K128" i="62"/>
  <c r="AL25" i="90" s="1"/>
  <c r="AM25" i="90" s="1"/>
  <c r="J119" i="62"/>
  <c r="AL24" i="81" s="1"/>
  <c r="AM24" i="81" s="1"/>
  <c r="AF119" i="62" s="1"/>
  <c r="M130" i="62"/>
  <c r="AL27" i="92" s="1"/>
  <c r="AM27" i="92" s="1"/>
  <c r="N123" i="62"/>
  <c r="AL28" i="85" s="1"/>
  <c r="AM28" i="85" s="1"/>
  <c r="P129" i="62"/>
  <c r="AL30" i="91" s="1"/>
  <c r="AM30" i="91" s="1"/>
  <c r="Q122" i="62"/>
  <c r="AL31" i="84" s="1"/>
  <c r="AM31" i="84" s="1"/>
  <c r="P120" i="62"/>
  <c r="AL30" i="82" s="1"/>
  <c r="AM30" i="82" s="1"/>
  <c r="AL120" i="62" s="1"/>
  <c r="L129" i="62"/>
  <c r="AL26" i="91" s="1"/>
  <c r="AM26" i="91" s="1"/>
  <c r="M120" i="62"/>
  <c r="AL27" i="82" s="1"/>
  <c r="AM27" i="82" s="1"/>
  <c r="AI120" i="62" s="1"/>
  <c r="M124" i="62"/>
  <c r="AL27" i="86" s="1"/>
  <c r="AM27" i="86" s="1"/>
  <c r="G119" i="62"/>
  <c r="AL21" i="81" s="1"/>
  <c r="AM21" i="81" s="1"/>
  <c r="AC119" i="62" s="1"/>
  <c r="J111" i="62"/>
  <c r="AL24" i="67" s="1"/>
  <c r="N135" i="62"/>
  <c r="AL28" i="97" s="1"/>
  <c r="AM28" i="97" s="1"/>
  <c r="AE31" i="69"/>
  <c r="H130" i="62"/>
  <c r="AL22" i="92" s="1"/>
  <c r="AM22" i="92" s="1"/>
  <c r="Q124" i="62"/>
  <c r="AL31" i="86" s="1"/>
  <c r="AM31" i="86" s="1"/>
  <c r="G135" i="62"/>
  <c r="AL21" i="97" s="1"/>
  <c r="AM21" i="97" s="1"/>
  <c r="AC135" i="62" s="1"/>
  <c r="O135" i="62"/>
  <c r="AL29" i="97" s="1"/>
  <c r="AM29" i="97" s="1"/>
  <c r="N124" i="62"/>
  <c r="AL28" i="86" s="1"/>
  <c r="AM28" i="86" s="1"/>
  <c r="K129" i="62"/>
  <c r="AL25" i="91" s="1"/>
  <c r="AM25" i="91" s="1"/>
  <c r="K130" i="62"/>
  <c r="AL25" i="92" s="1"/>
  <c r="AM25" i="92" s="1"/>
  <c r="O134" i="62"/>
  <c r="AL29" i="96" s="1"/>
  <c r="AM29" i="96" s="1"/>
  <c r="K135" i="62"/>
  <c r="AL25" i="97" s="1"/>
  <c r="AM25" i="97" s="1"/>
  <c r="H123" i="62"/>
  <c r="AL22" i="85" s="1"/>
  <c r="AM22" i="85" s="1"/>
  <c r="L123" i="62"/>
  <c r="AL26" i="85" s="1"/>
  <c r="AM26" i="85" s="1"/>
  <c r="G129" i="62"/>
  <c r="AL21" i="91" s="1"/>
  <c r="AM21" i="91" s="1"/>
  <c r="AC129" i="62" s="1"/>
  <c r="N114" i="62"/>
  <c r="AL28" i="70" s="1"/>
  <c r="K112" i="62"/>
  <c r="AL25" i="68" s="1"/>
  <c r="O112" i="62"/>
  <c r="AL29" i="68" s="1"/>
  <c r="J110" i="62"/>
  <c r="AL24" i="66" s="1"/>
  <c r="M123" i="62"/>
  <c r="AL27" i="85" s="1"/>
  <c r="AM27" i="85" s="1"/>
  <c r="P122" i="62"/>
  <c r="AL30" i="84" s="1"/>
  <c r="AM30" i="84" s="1"/>
  <c r="G124" i="62"/>
  <c r="AL21" i="86" s="1"/>
  <c r="AM21" i="86" s="1"/>
  <c r="AC124" i="62" s="1"/>
  <c r="O138" i="62"/>
  <c r="AL29" i="100" s="1"/>
  <c r="AM29" i="100" s="1"/>
  <c r="M121" i="62"/>
  <c r="AL27" i="83" s="1"/>
  <c r="AM27" i="83" s="1"/>
  <c r="M119" i="62"/>
  <c r="AL27" i="81" s="1"/>
  <c r="AM27" i="81" s="1"/>
  <c r="AI119" i="62" s="1"/>
  <c r="N110" i="62"/>
  <c r="AL28" i="66" s="1"/>
  <c r="M110" i="62"/>
  <c r="AL27" i="66" s="1"/>
  <c r="J112" i="62"/>
  <c r="AL24" i="68" s="1"/>
  <c r="O118" i="62"/>
  <c r="AL29" i="74" s="1"/>
  <c r="O119" i="62"/>
  <c r="AL29" i="81" s="1"/>
  <c r="AM29" i="81" s="1"/>
  <c r="AK119" i="62" s="1"/>
  <c r="J132" i="62"/>
  <c r="AL24" i="94" s="1"/>
  <c r="AM24" i="94" s="1"/>
  <c r="G138" i="62"/>
  <c r="AL21" i="100" s="1"/>
  <c r="AM21" i="100" s="1"/>
  <c r="AC138" i="62" s="1"/>
  <c r="Q116" i="62"/>
  <c r="AL31" i="72" s="1"/>
  <c r="H111" i="62"/>
  <c r="AL22" i="67" s="1"/>
  <c r="P119" i="62"/>
  <c r="AL30" i="81" s="1"/>
  <c r="AM30" i="81" s="1"/>
  <c r="AL119" i="62" s="1"/>
  <c r="L130" i="62"/>
  <c r="AL26" i="92" s="1"/>
  <c r="AM26" i="92" s="1"/>
  <c r="Q118" i="62"/>
  <c r="AL31" i="74" s="1"/>
  <c r="O130" i="62"/>
  <c r="AL29" i="92" s="1"/>
  <c r="AM29" i="92" s="1"/>
  <c r="K119" i="62"/>
  <c r="AL25" i="81" s="1"/>
  <c r="AM25" i="81" s="1"/>
  <c r="AG119" i="62" s="1"/>
  <c r="G130" i="62"/>
  <c r="AL21" i="92" s="1"/>
  <c r="AM21" i="92" s="1"/>
  <c r="AC130" i="62" s="1"/>
  <c r="L121" i="62"/>
  <c r="AL26" i="83" s="1"/>
  <c r="AM26" i="83" s="1"/>
  <c r="M111" i="62"/>
  <c r="AL27" i="67" s="1"/>
  <c r="F129" i="62"/>
  <c r="AL20" i="91" s="1"/>
  <c r="AM20" i="91" s="1"/>
  <c r="AB129" i="62" s="1"/>
  <c r="H119" i="62"/>
  <c r="AL22" i="81" s="1"/>
  <c r="AM22" i="81" s="1"/>
  <c r="AD119" i="62" s="1"/>
  <c r="P118" i="62"/>
  <c r="AL30" i="74" s="1"/>
  <c r="P130" i="62"/>
  <c r="AL30" i="92" s="1"/>
  <c r="AM30" i="92" s="1"/>
  <c r="Q119" i="62"/>
  <c r="AL31" i="81" s="1"/>
  <c r="AM31" i="81" s="1"/>
  <c r="AM119" i="62" s="1"/>
  <c r="K133" i="62"/>
  <c r="AL25" i="95" s="1"/>
  <c r="AM25" i="95" s="1"/>
  <c r="O129" i="62"/>
  <c r="AL29" i="91" s="1"/>
  <c r="AM29" i="91" s="1"/>
  <c r="Q138" i="62"/>
  <c r="AL31" i="100" s="1"/>
  <c r="AM31" i="100" s="1"/>
  <c r="P132" i="62"/>
  <c r="AL30" i="94" s="1"/>
  <c r="AM30" i="94" s="1"/>
  <c r="M135" i="62"/>
  <c r="AL27" i="97" s="1"/>
  <c r="AM27" i="97" s="1"/>
  <c r="Q112" i="62"/>
  <c r="AL31" i="68" s="1"/>
  <c r="Q135" i="62"/>
  <c r="AL31" i="97" s="1"/>
  <c r="AM31" i="97" s="1"/>
  <c r="Q123" i="62"/>
  <c r="AL31" i="85" s="1"/>
  <c r="AM31" i="85" s="1"/>
  <c r="Q127" i="62"/>
  <c r="AL31" i="89" s="1"/>
  <c r="AM31" i="89" s="1"/>
  <c r="L124" i="62"/>
  <c r="AL26" i="86" s="1"/>
  <c r="AM26" i="86" s="1"/>
  <c r="M128" i="62"/>
  <c r="AL27" i="90" s="1"/>
  <c r="AM27" i="90" s="1"/>
  <c r="Q129" i="62"/>
  <c r="AL31" i="91" s="1"/>
  <c r="AM31" i="91" s="1"/>
  <c r="L128" i="62"/>
  <c r="AL26" i="90" s="1"/>
  <c r="AM26" i="90" s="1"/>
  <c r="F128" i="62"/>
  <c r="AL20" i="90" s="1"/>
  <c r="AM20" i="90" s="1"/>
  <c r="AB128" i="62" s="1"/>
  <c r="P116" i="62"/>
  <c r="AL30" i="72" s="1"/>
  <c r="O125" i="62"/>
  <c r="AL29" i="87" s="1"/>
  <c r="AM29" i="87" s="1"/>
  <c r="Q110" i="62"/>
  <c r="AL31" i="66" s="1"/>
  <c r="Q128" i="62"/>
  <c r="AL31" i="90" s="1"/>
  <c r="AM31" i="90" s="1"/>
  <c r="G128" i="62"/>
  <c r="AL21" i="90" s="1"/>
  <c r="AM21" i="90" s="1"/>
  <c r="AC128" i="62" s="1"/>
  <c r="P124" i="62"/>
  <c r="AL30" i="86" s="1"/>
  <c r="AM30" i="86" s="1"/>
  <c r="F111" i="62"/>
  <c r="M129" i="62"/>
  <c r="AL27" i="91" s="1"/>
  <c r="AM27" i="91" s="1"/>
  <c r="O127" i="62"/>
  <c r="AL29" i="89" s="1"/>
  <c r="AM29" i="89" s="1"/>
  <c r="Q120" i="62"/>
  <c r="AL31" i="82" s="1"/>
  <c r="AM31" i="82" s="1"/>
  <c r="AM120" i="62" s="1"/>
  <c r="J122" i="62"/>
  <c r="AL24" i="84" s="1"/>
  <c r="AM24" i="84" s="1"/>
  <c r="K122" i="62"/>
  <c r="AL25" i="84" s="1"/>
  <c r="AM25" i="84" s="1"/>
  <c r="K110" i="62"/>
  <c r="AL25" i="66" s="1"/>
  <c r="O110" i="62"/>
  <c r="AL29" i="66" s="1"/>
  <c r="J129" i="62"/>
  <c r="AL24" i="91" s="1"/>
  <c r="AM24" i="91" s="1"/>
  <c r="J109" i="62"/>
  <c r="AD21" i="19" s="1"/>
  <c r="AE21" i="19" s="1"/>
  <c r="N132" i="62"/>
  <c r="AL28" i="94" s="1"/>
  <c r="AM28" i="94" s="1"/>
  <c r="N121" i="62"/>
  <c r="AL28" i="83" s="1"/>
  <c r="AM28" i="83" s="1"/>
  <c r="L119" i="62"/>
  <c r="AL26" i="81" s="1"/>
  <c r="AM26" i="81" s="1"/>
  <c r="AH119" i="62" s="1"/>
  <c r="O111" i="62"/>
  <c r="AL29" i="67" s="1"/>
  <c r="Q117" i="62"/>
  <c r="AL31" i="73" s="1"/>
  <c r="J130" i="62"/>
  <c r="AL24" i="92" s="1"/>
  <c r="AM24" i="92" s="1"/>
  <c r="H128" i="62"/>
  <c r="AL22" i="90" s="1"/>
  <c r="AM22" i="90" s="1"/>
  <c r="O121" i="62"/>
  <c r="AL29" i="83" s="1"/>
  <c r="AM29" i="83" s="1"/>
  <c r="L68" i="62"/>
  <c r="P112" i="62"/>
  <c r="AL30" i="68" s="1"/>
  <c r="P137" i="62"/>
  <c r="AL30" i="99" s="1"/>
  <c r="AM30" i="99" s="1"/>
  <c r="P114" i="62"/>
  <c r="AL30" i="70" s="1"/>
  <c r="P111" i="62"/>
  <c r="AL30" i="67" s="1"/>
  <c r="Q134" i="62"/>
  <c r="AL31" i="96" s="1"/>
  <c r="AM31" i="96" s="1"/>
  <c r="BL68" i="62"/>
  <c r="Q137" i="62"/>
  <c r="AL31" i="99" s="1"/>
  <c r="AM31" i="99" s="1"/>
  <c r="M112" i="62"/>
  <c r="AL27" i="68" s="1"/>
  <c r="AE31" i="68"/>
  <c r="M115" i="62"/>
  <c r="AL27" i="71" s="1"/>
  <c r="F123" i="62"/>
  <c r="AL20" i="85" s="1"/>
  <c r="AM20" i="85" s="1"/>
  <c r="AB123" i="62" s="1"/>
  <c r="J127" i="62"/>
  <c r="AL24" i="89" s="1"/>
  <c r="AM24" i="89" s="1"/>
  <c r="P126" i="62"/>
  <c r="AL30" i="88" s="1"/>
  <c r="AM30" i="88" s="1"/>
  <c r="Q115" i="62"/>
  <c r="AL31" i="71" s="1"/>
  <c r="AM31" i="71" s="1"/>
  <c r="AM115" i="62" s="1"/>
  <c r="G122" i="62"/>
  <c r="AL21" i="84" s="1"/>
  <c r="AM21" i="84" s="1"/>
  <c r="AC122" i="62" s="1"/>
  <c r="N122" i="62"/>
  <c r="AL28" i="84" s="1"/>
  <c r="AM28" i="84" s="1"/>
  <c r="G120" i="62"/>
  <c r="AL21" i="82" s="1"/>
  <c r="AM21" i="82" s="1"/>
  <c r="AC120" i="62" s="1"/>
  <c r="H135" i="62"/>
  <c r="AL22" i="97" s="1"/>
  <c r="AM22" i="97" s="1"/>
  <c r="J124" i="62"/>
  <c r="AL24" i="86" s="1"/>
  <c r="AM24" i="86" s="1"/>
  <c r="P117" i="62"/>
  <c r="AL30" i="73" s="1"/>
  <c r="N116" i="62"/>
  <c r="AL28" i="72" s="1"/>
  <c r="F122" i="62"/>
  <c r="AL20" i="84" s="1"/>
  <c r="AM20" i="84" s="1"/>
  <c r="AB122" i="62" s="1"/>
  <c r="P115" i="62"/>
  <c r="AL30" i="71" s="1"/>
  <c r="N118" i="62"/>
  <c r="AL28" i="74" s="1"/>
  <c r="H133" i="62"/>
  <c r="AL22" i="95" s="1"/>
  <c r="AM22" i="95" s="1"/>
  <c r="AE31" i="71"/>
  <c r="J123" i="62"/>
  <c r="AL24" i="85" s="1"/>
  <c r="AM24" i="85" s="1"/>
  <c r="N126" i="62"/>
  <c r="AL28" i="88" s="1"/>
  <c r="AM28" i="88" s="1"/>
  <c r="I124" i="62"/>
  <c r="AL23" i="86" s="1"/>
  <c r="AM23" i="86" s="1"/>
  <c r="J137" i="62"/>
  <c r="AL24" i="99" s="1"/>
  <c r="AM24" i="99" s="1"/>
  <c r="H122" i="62"/>
  <c r="AL22" i="84" s="1"/>
  <c r="AM22" i="84" s="1"/>
  <c r="K114" i="62"/>
  <c r="AL25" i="70" s="1"/>
  <c r="N136" i="62"/>
  <c r="AL28" i="98" s="1"/>
  <c r="AM28" i="98" s="1"/>
  <c r="W68" i="62"/>
  <c r="M136" i="62"/>
  <c r="AL27" i="98" s="1"/>
  <c r="AM27" i="98" s="1"/>
  <c r="P135" i="62"/>
  <c r="AL30" i="97" s="1"/>
  <c r="AM30" i="97" s="1"/>
  <c r="L109" i="62"/>
  <c r="AD23" i="19" s="1"/>
  <c r="AE23" i="19" s="1"/>
  <c r="L137" i="62"/>
  <c r="AL26" i="99" s="1"/>
  <c r="AM26" i="99" s="1"/>
  <c r="K124" i="62"/>
  <c r="AL25" i="86" s="1"/>
  <c r="AM25" i="86" s="1"/>
  <c r="M109" i="62"/>
  <c r="AL27" i="18" s="1"/>
  <c r="K136" i="62"/>
  <c r="AL25" i="98" s="1"/>
  <c r="AM25" i="98" s="1"/>
  <c r="O136" i="62"/>
  <c r="AL29" i="98" s="1"/>
  <c r="AM29" i="98" s="1"/>
  <c r="O117" i="62"/>
  <c r="AL29" i="73" s="1"/>
  <c r="F135" i="62"/>
  <c r="AL20" i="97" s="1"/>
  <c r="AM20" i="97" s="1"/>
  <c r="AB135" i="62" s="1"/>
  <c r="N109" i="62"/>
  <c r="AL28" i="18" s="1"/>
  <c r="L111" i="62"/>
  <c r="AL26" i="67" s="1"/>
  <c r="F120" i="62"/>
  <c r="AL20" i="82" s="1"/>
  <c r="AM20" i="82" s="1"/>
  <c r="AB120" i="62" s="1"/>
  <c r="F127" i="62"/>
  <c r="AL20" i="89" s="1"/>
  <c r="AM20" i="89" s="1"/>
  <c r="AB127" i="62" s="1"/>
  <c r="G121" i="62"/>
  <c r="AL21" i="83" s="1"/>
  <c r="AM21" i="83" s="1"/>
  <c r="AC121" i="62" s="1"/>
  <c r="H124" i="62"/>
  <c r="AL22" i="86" s="1"/>
  <c r="AM22" i="86" s="1"/>
  <c r="F121" i="62"/>
  <c r="AL20" i="83" s="1"/>
  <c r="AM20" i="83" s="1"/>
  <c r="AB121" i="62" s="1"/>
  <c r="Q109" i="62"/>
  <c r="BJ68" i="62"/>
  <c r="O109" i="62"/>
  <c r="H137" i="62"/>
  <c r="AL22" i="99" s="1"/>
  <c r="AM22" i="99" s="1"/>
  <c r="BT68" i="62"/>
  <c r="H121" i="62"/>
  <c r="AL22" i="83" s="1"/>
  <c r="AM22" i="83" s="1"/>
  <c r="BM68" i="62"/>
  <c r="G132" i="62"/>
  <c r="AL21" i="94" s="1"/>
  <c r="AM21" i="94" s="1"/>
  <c r="AC132" i="62" s="1"/>
  <c r="H110" i="62"/>
  <c r="AL22" i="66" s="1"/>
  <c r="M133" i="62"/>
  <c r="AL27" i="95" s="1"/>
  <c r="AM27" i="95" s="1"/>
  <c r="H138" i="62"/>
  <c r="AL22" i="100" s="1"/>
  <c r="AM22" i="100" s="1"/>
  <c r="N134" i="62"/>
  <c r="AL28" i="96" s="1"/>
  <c r="AM28" i="96" s="1"/>
  <c r="J134" i="62"/>
  <c r="AL24" i="96" s="1"/>
  <c r="AM24" i="96" s="1"/>
  <c r="K121" i="62"/>
  <c r="AL25" i="83" s="1"/>
  <c r="AM25" i="83" s="1"/>
  <c r="O126" i="62"/>
  <c r="AL29" i="88" s="1"/>
  <c r="AM29" i="88" s="1"/>
  <c r="P125" i="62"/>
  <c r="AL30" i="87" s="1"/>
  <c r="AM30" i="87" s="1"/>
  <c r="M118" i="62"/>
  <c r="AL27" i="74" s="1"/>
  <c r="AM27" i="74" s="1"/>
  <c r="AI118" i="62" s="1"/>
  <c r="K109" i="62"/>
  <c r="AD22" i="19" s="1"/>
  <c r="AE22" i="19" s="1"/>
  <c r="M117" i="62"/>
  <c r="AL27" i="73" s="1"/>
  <c r="M114" i="62"/>
  <c r="AL27" i="70" s="1"/>
  <c r="L118" i="62"/>
  <c r="AL26" i="74" s="1"/>
  <c r="J117" i="62"/>
  <c r="AL24" i="73" s="1"/>
  <c r="G126" i="62"/>
  <c r="AL21" i="88" s="1"/>
  <c r="AM21" i="88" s="1"/>
  <c r="AC126" i="62" s="1"/>
  <c r="L115" i="62"/>
  <c r="AL26" i="71" s="1"/>
  <c r="J68" i="62"/>
  <c r="F124" i="62"/>
  <c r="AL20" i="86" s="1"/>
  <c r="AM20" i="86" s="1"/>
  <c r="AB124" i="62" s="1"/>
  <c r="M134" i="62"/>
  <c r="AL27" i="96" s="1"/>
  <c r="AM27" i="96" s="1"/>
  <c r="M127" i="62"/>
  <c r="AL27" i="89" s="1"/>
  <c r="AM27" i="89" s="1"/>
  <c r="N133" i="62"/>
  <c r="AL28" i="95" s="1"/>
  <c r="AM28" i="95" s="1"/>
  <c r="J136" i="62"/>
  <c r="AL24" i="98" s="1"/>
  <c r="AM24" i="98" s="1"/>
  <c r="BX68" i="62"/>
  <c r="J121" i="62"/>
  <c r="AL24" i="83" s="1"/>
  <c r="AM24" i="83" s="1"/>
  <c r="Q68" i="62"/>
  <c r="P127" i="62"/>
  <c r="AL30" i="89" s="1"/>
  <c r="AM30" i="89" s="1"/>
  <c r="N68" i="62"/>
  <c r="L126" i="62"/>
  <c r="AL26" i="88" s="1"/>
  <c r="AM26" i="88" s="1"/>
  <c r="N127" i="62"/>
  <c r="AL28" i="89" s="1"/>
  <c r="AM28" i="89" s="1"/>
  <c r="L127" i="62"/>
  <c r="AL26" i="89" s="1"/>
  <c r="AM26" i="89" s="1"/>
  <c r="N131" i="62"/>
  <c r="AL28" i="93" s="1"/>
  <c r="AM28" i="93" s="1"/>
  <c r="R68" i="62"/>
  <c r="G127" i="62"/>
  <c r="AL21" i="89" s="1"/>
  <c r="AM21" i="89" s="1"/>
  <c r="AC127" i="62" s="1"/>
  <c r="O116" i="62"/>
  <c r="AL29" i="72" s="1"/>
  <c r="G112" i="62"/>
  <c r="AL21" i="68" s="1"/>
  <c r="M137" i="62"/>
  <c r="AL27" i="99" s="1"/>
  <c r="AM27" i="99" s="1"/>
  <c r="Q126" i="62"/>
  <c r="AL31" i="88" s="1"/>
  <c r="AM31" i="88" s="1"/>
  <c r="H68" i="62"/>
  <c r="K127" i="62"/>
  <c r="AL25" i="89" s="1"/>
  <c r="AM25" i="89" s="1"/>
  <c r="G110" i="62"/>
  <c r="AL21" i="66" s="1"/>
  <c r="Q114" i="62"/>
  <c r="AL31" i="70" s="1"/>
  <c r="AP68" i="62"/>
  <c r="F116" i="62"/>
  <c r="AL20" i="72" s="1"/>
  <c r="AV68" i="62"/>
  <c r="AO68" i="62"/>
  <c r="BA2" i="62"/>
  <c r="G68" i="62"/>
  <c r="F114" i="62"/>
  <c r="AL20" i="70" s="1"/>
  <c r="H127" i="62"/>
  <c r="AL22" i="89" s="1"/>
  <c r="AM22" i="89" s="1"/>
  <c r="F137" i="62"/>
  <c r="AL20" i="99" s="1"/>
  <c r="AM20" i="99" s="1"/>
  <c r="AB137" i="62" s="1"/>
  <c r="G114" i="62"/>
  <c r="AL21" i="70" s="1"/>
  <c r="J126" i="62"/>
  <c r="AL24" i="88" s="1"/>
  <c r="AM24" i="88" s="1"/>
  <c r="L132" i="62"/>
  <c r="AL26" i="94" s="1"/>
  <c r="AM26" i="94" s="1"/>
  <c r="Q125" i="62"/>
  <c r="AL31" i="87" s="1"/>
  <c r="AM31" i="87" s="1"/>
  <c r="I132" i="62"/>
  <c r="AL23" i="94" s="1"/>
  <c r="AM23" i="94" s="1"/>
  <c r="G137" i="62"/>
  <c r="AL21" i="99" s="1"/>
  <c r="AM21" i="99" s="1"/>
  <c r="AC137" i="62" s="1"/>
  <c r="F126" i="62"/>
  <c r="AL20" i="88" s="1"/>
  <c r="AM20" i="88" s="1"/>
  <c r="AB126" i="62" s="1"/>
  <c r="H136" i="62"/>
  <c r="AL22" i="98" s="1"/>
  <c r="AM22" i="98" s="1"/>
  <c r="L136" i="62"/>
  <c r="AL26" i="98" s="1"/>
  <c r="AM26" i="98" s="1"/>
  <c r="J133" i="62"/>
  <c r="AL24" i="95" s="1"/>
  <c r="AM24" i="95" s="1"/>
  <c r="L114" i="62"/>
  <c r="AL26" i="70" s="1"/>
  <c r="I123" i="62"/>
  <c r="AL23" i="85" s="1"/>
  <c r="AM23" i="85" s="1"/>
  <c r="H120" i="62"/>
  <c r="AL22" i="82" s="1"/>
  <c r="AM22" i="82" s="1"/>
  <c r="AD120" i="62" s="1"/>
  <c r="N115" i="62"/>
  <c r="AL28" i="71" s="1"/>
  <c r="O114" i="62"/>
  <c r="AL29" i="70" s="1"/>
  <c r="F138" i="62"/>
  <c r="AL20" i="100" s="1"/>
  <c r="AM20" i="100" s="1"/>
  <c r="AB138" i="62" s="1"/>
  <c r="BM2" i="62"/>
  <c r="I121" i="62"/>
  <c r="AL23" i="83" s="1"/>
  <c r="AM23" i="83" s="1"/>
  <c r="I130" i="62"/>
  <c r="AL23" i="92" s="1"/>
  <c r="AM23" i="92" s="1"/>
  <c r="F136" i="62"/>
  <c r="AL20" i="98" s="1"/>
  <c r="AM20" i="98" s="1"/>
  <c r="AB136" i="62" s="1"/>
  <c r="I128" i="62"/>
  <c r="AL23" i="90" s="1"/>
  <c r="AM23" i="90" s="1"/>
  <c r="H126" i="62"/>
  <c r="AL22" i="88" s="1"/>
  <c r="AM22" i="88" s="1"/>
  <c r="I114" i="62"/>
  <c r="AL23" i="70" s="1"/>
  <c r="K137" i="62"/>
  <c r="AL25" i="99" s="1"/>
  <c r="AM25" i="99" s="1"/>
  <c r="N137" i="62"/>
  <c r="AL28" i="99" s="1"/>
  <c r="AM28" i="99" s="1"/>
  <c r="G136" i="62"/>
  <c r="AL21" i="98" s="1"/>
  <c r="AM21" i="98" s="1"/>
  <c r="AC136" i="62" s="1"/>
  <c r="O115" i="62"/>
  <c r="AL29" i="71" s="1"/>
  <c r="I133" i="62"/>
  <c r="AL23" i="95" s="1"/>
  <c r="AM23" i="95" s="1"/>
  <c r="I135" i="62"/>
  <c r="AL23" i="97" s="1"/>
  <c r="AM23" i="97" s="1"/>
  <c r="K126" i="62"/>
  <c r="AL25" i="88" s="1"/>
  <c r="AM25" i="88" s="1"/>
  <c r="M126" i="62"/>
  <c r="AL27" i="88" s="1"/>
  <c r="AM27" i="88" s="1"/>
  <c r="O137" i="62"/>
  <c r="AL29" i="99" s="1"/>
  <c r="AM29" i="99" s="1"/>
  <c r="K117" i="62"/>
  <c r="AL25" i="73" s="1"/>
  <c r="AM68" i="62"/>
  <c r="AU68" i="62"/>
  <c r="K131" i="62"/>
  <c r="AL25" i="93" s="1"/>
  <c r="AM25" i="93" s="1"/>
  <c r="O131" i="62"/>
  <c r="AL29" i="93" s="1"/>
  <c r="AM29" i="93" s="1"/>
  <c r="F112" i="62"/>
  <c r="AL20" i="68" s="1"/>
  <c r="BP68" i="62"/>
  <c r="BG68" i="62"/>
  <c r="BB68" i="62"/>
  <c r="J114" i="62"/>
  <c r="AL24" i="70" s="1"/>
  <c r="I112" i="62"/>
  <c r="AL23" i="68" s="1"/>
  <c r="F130" i="62"/>
  <c r="AL20" i="92" s="1"/>
  <c r="AM20" i="92" s="1"/>
  <c r="AB130" i="62" s="1"/>
  <c r="T68" i="62"/>
  <c r="L116" i="62"/>
  <c r="AL26" i="72" s="1"/>
  <c r="P128" i="62"/>
  <c r="AL30" i="90" s="1"/>
  <c r="AM30" i="90" s="1"/>
  <c r="BY68" i="62"/>
  <c r="Q130" i="62"/>
  <c r="AL31" i="92" s="1"/>
  <c r="AM31" i="92" s="1"/>
  <c r="Q136" i="62"/>
  <c r="AL31" i="98" s="1"/>
  <c r="AM31" i="98" s="1"/>
  <c r="BD68" i="62"/>
  <c r="K118" i="62"/>
  <c r="AL25" i="74" s="1"/>
  <c r="L117" i="62"/>
  <c r="AL26" i="73" s="1"/>
  <c r="AS68" i="62"/>
  <c r="AI68" i="62"/>
  <c r="BE68" i="62"/>
  <c r="BN68" i="62"/>
  <c r="I110" i="62"/>
  <c r="AL23" i="66" s="1"/>
  <c r="P136" i="62"/>
  <c r="AL30" i="98" s="1"/>
  <c r="AM30" i="98" s="1"/>
  <c r="L133" i="62"/>
  <c r="AL26" i="95" s="1"/>
  <c r="AM26" i="95" s="1"/>
  <c r="I120" i="62"/>
  <c r="AL23" i="82" s="1"/>
  <c r="AM23" i="82" s="1"/>
  <c r="AE120" i="62" s="1"/>
  <c r="BR68" i="62"/>
  <c r="AN68" i="62"/>
  <c r="I127" i="62"/>
  <c r="AL23" i="89" s="1"/>
  <c r="AM23" i="89" s="1"/>
  <c r="I138" i="62"/>
  <c r="AL23" i="100" s="1"/>
  <c r="AM23" i="100" s="1"/>
  <c r="I126" i="62"/>
  <c r="AL23" i="88" s="1"/>
  <c r="AM23" i="88" s="1"/>
  <c r="AH23" i="74"/>
  <c r="AA53" i="17"/>
  <c r="Y38" i="62"/>
  <c r="Y68" i="62" s="1"/>
  <c r="Y34" i="62"/>
  <c r="AC51" i="17"/>
  <c r="V7" i="17" s="1"/>
  <c r="AC45" i="17"/>
  <c r="P7" i="17" s="1"/>
  <c r="AH23" i="18"/>
  <c r="I115" i="62"/>
  <c r="AL23" i="71" s="1"/>
  <c r="I122" i="62"/>
  <c r="AL23" i="84" s="1"/>
  <c r="AM23" i="84" s="1"/>
  <c r="I119" i="62"/>
  <c r="AL23" i="81" s="1"/>
  <c r="AM23" i="81" s="1"/>
  <c r="AE119" i="62" s="1"/>
  <c r="I129" i="62"/>
  <c r="AL23" i="91" s="1"/>
  <c r="AM23" i="91" s="1"/>
  <c r="AI23" i="18"/>
  <c r="AC47" i="17"/>
  <c r="R7" i="17" s="1"/>
  <c r="Z34" i="62"/>
  <c r="AC52" i="17"/>
  <c r="W7" i="17" s="1"/>
  <c r="AC43" i="17"/>
  <c r="N7" i="17" s="1"/>
  <c r="AB34" i="62"/>
  <c r="AA34" i="62"/>
  <c r="AD34" i="62"/>
  <c r="AD38" i="62"/>
  <c r="AD68" i="62" s="1"/>
  <c r="AI23" i="74"/>
  <c r="AC68" i="62"/>
  <c r="AI23" i="66"/>
  <c r="AC40" i="17"/>
  <c r="K7" i="17" s="1"/>
  <c r="AC34" i="62"/>
  <c r="AH23" i="73"/>
  <c r="Z53" i="17"/>
  <c r="I137" i="62"/>
  <c r="AL23" i="99" s="1"/>
  <c r="AM23" i="99" s="1"/>
  <c r="AC49" i="17"/>
  <c r="T7" i="17" s="1"/>
  <c r="X53" i="17"/>
  <c r="AC39" i="17"/>
  <c r="I136" i="62"/>
  <c r="AL23" i="98" s="1"/>
  <c r="AM23" i="98" s="1"/>
  <c r="AC48" i="17"/>
  <c r="S7" i="17" s="1"/>
  <c r="AB53" i="17"/>
  <c r="AC44" i="17"/>
  <c r="O7" i="17" s="1"/>
  <c r="D14" i="64"/>
  <c r="W46" i="64"/>
  <c r="W43" i="64"/>
  <c r="AH163" i="5"/>
  <c r="D9" i="15"/>
  <c r="AF163" i="5"/>
  <c r="AG163" i="5"/>
  <c r="I32" i="64"/>
  <c r="H32" i="64"/>
  <c r="D31" i="64"/>
  <c r="W49" i="64"/>
  <c r="AF166" i="5"/>
  <c r="D12" i="15"/>
  <c r="AH166" i="5"/>
  <c r="AG166" i="5"/>
  <c r="AG168" i="5"/>
  <c r="AF168" i="5"/>
  <c r="AH168" i="5"/>
  <c r="D14" i="15"/>
  <c r="D29" i="64"/>
  <c r="W47" i="64"/>
  <c r="I33" i="64"/>
  <c r="H33" i="64"/>
  <c r="H13" i="64"/>
  <c r="I13" i="64"/>
  <c r="W41" i="64"/>
  <c r="D9" i="64"/>
  <c r="W53" i="64"/>
  <c r="D36" i="64"/>
  <c r="AG170" i="5"/>
  <c r="AH170" i="5"/>
  <c r="AF170" i="5"/>
  <c r="AG169" i="5"/>
  <c r="AF169" i="5"/>
  <c r="D15" i="15"/>
  <c r="AH169" i="5"/>
  <c r="AG171" i="5"/>
  <c r="AF171" i="5"/>
  <c r="AH171" i="5"/>
  <c r="D12" i="64"/>
  <c r="W44" i="64"/>
  <c r="H11" i="64"/>
  <c r="I11" i="64"/>
  <c r="E66" i="7"/>
  <c r="DC10" i="5"/>
  <c r="J10" i="4"/>
  <c r="BF10" i="5"/>
  <c r="AV10" i="5"/>
  <c r="BT10" i="5"/>
  <c r="BE10" i="5"/>
  <c r="BL10" i="5"/>
  <c r="AU10" i="5"/>
  <c r="BD10" i="5"/>
  <c r="AS10" i="5"/>
  <c r="BU10" i="5"/>
  <c r="BG10" i="5"/>
  <c r="BM10" i="5"/>
  <c r="AW10" i="5"/>
  <c r="BN10" i="5"/>
  <c r="BJ10" i="5"/>
  <c r="BH10" i="5"/>
  <c r="AT10" i="5"/>
  <c r="BK10" i="5"/>
  <c r="I30" i="64"/>
  <c r="H30" i="64"/>
  <c r="H11" i="15"/>
  <c r="W11" i="15"/>
  <c r="I11" i="15"/>
  <c r="C10" i="17"/>
  <c r="T11" i="15"/>
  <c r="L11" i="15"/>
  <c r="K11" i="15"/>
  <c r="J11" i="15"/>
  <c r="F11" i="15"/>
  <c r="G11" i="15"/>
  <c r="E11" i="15"/>
  <c r="D10" i="64"/>
  <c r="W42" i="64"/>
  <c r="AF167" i="5"/>
  <c r="D13" i="15"/>
  <c r="AH167" i="5"/>
  <c r="AG167" i="5"/>
  <c r="AI2" i="62"/>
  <c r="V68" i="62"/>
  <c r="BG2" i="62"/>
  <c r="AX58" i="16"/>
  <c r="B15" i="63"/>
  <c r="J118" i="62"/>
  <c r="AL24" i="74" s="1"/>
  <c r="X68" i="62"/>
  <c r="BU68" i="62"/>
  <c r="Q113" i="62"/>
  <c r="AL31" i="69" s="1"/>
  <c r="G133" i="62"/>
  <c r="AL21" i="95" s="1"/>
  <c r="AM21" i="95" s="1"/>
  <c r="AC133" i="62" s="1"/>
  <c r="Q131" i="62"/>
  <c r="AL31" i="93" s="1"/>
  <c r="AM31" i="93" s="1"/>
  <c r="H134" i="62"/>
  <c r="AL22" i="96" s="1"/>
  <c r="AM22" i="96" s="1"/>
  <c r="AV58" i="16"/>
  <c r="AV66" i="16" s="1"/>
  <c r="AV63" i="16" s="1"/>
  <c r="B13" i="63"/>
  <c r="BK68" i="62"/>
  <c r="O113" i="62"/>
  <c r="AL29" i="69" s="1"/>
  <c r="H113" i="62"/>
  <c r="AL22" i="69" s="1"/>
  <c r="G131" i="62"/>
  <c r="AL21" i="93" s="1"/>
  <c r="AM21" i="93" s="1"/>
  <c r="AC131" i="62" s="1"/>
  <c r="BX8" i="16"/>
  <c r="O11" i="64" s="1"/>
  <c r="I116" i="62"/>
  <c r="AL23" i="72" s="1"/>
  <c r="M116" i="62"/>
  <c r="AL27" i="72" s="1"/>
  <c r="M132" i="62"/>
  <c r="AL27" i="94" s="1"/>
  <c r="AM27" i="94" s="1"/>
  <c r="K134" i="62"/>
  <c r="AL25" i="96" s="1"/>
  <c r="AM25" i="96" s="1"/>
  <c r="BF68" i="62"/>
  <c r="BY24" i="16"/>
  <c r="P27" i="64" s="1"/>
  <c r="CU23" i="16"/>
  <c r="BY23" i="16" s="1"/>
  <c r="P26" i="64" s="1"/>
  <c r="BX23" i="16"/>
  <c r="O26" i="64" s="1"/>
  <c r="AR58" i="16"/>
  <c r="B9" i="63"/>
  <c r="BI68" i="62"/>
  <c r="N113" i="62"/>
  <c r="AL28" i="69" s="1"/>
  <c r="P113" i="62"/>
  <c r="BO68" i="62"/>
  <c r="AY68" i="62"/>
  <c r="AH68" i="62"/>
  <c r="L112" i="62"/>
  <c r="O122" i="62"/>
  <c r="AL29" i="84" s="1"/>
  <c r="AM29" i="84" s="1"/>
  <c r="F134" i="62"/>
  <c r="AL20" i="96" s="1"/>
  <c r="AM20" i="96" s="1"/>
  <c r="AB134" i="62" s="1"/>
  <c r="P131" i="62"/>
  <c r="AL30" i="93" s="1"/>
  <c r="AM30" i="93" s="1"/>
  <c r="BZ68" i="62"/>
  <c r="AR68" i="62"/>
  <c r="F133" i="62"/>
  <c r="AL20" i="95" s="1"/>
  <c r="AM20" i="95" s="1"/>
  <c r="AB133" i="62" s="1"/>
  <c r="N125" i="62"/>
  <c r="AL28" i="87" s="1"/>
  <c r="AM28" i="87" s="1"/>
  <c r="K113" i="62"/>
  <c r="AL25" i="69" s="1"/>
  <c r="BS2" i="62"/>
  <c r="H112" i="62"/>
  <c r="J116" i="62"/>
  <c r="AL24" i="72" s="1"/>
  <c r="AB68" i="62"/>
  <c r="H132" i="62"/>
  <c r="AL22" i="94" s="1"/>
  <c r="AM22" i="94" s="1"/>
  <c r="G117" i="62"/>
  <c r="AL21" i="73" s="1"/>
  <c r="L113" i="62"/>
  <c r="AL26" i="69" s="1"/>
  <c r="I134" i="62"/>
  <c r="AL23" i="96" s="1"/>
  <c r="AM23" i="96" s="1"/>
  <c r="H118" i="62"/>
  <c r="AL22" i="74" s="1"/>
  <c r="G125" i="62"/>
  <c r="AL21" i="87" s="1"/>
  <c r="AM21" i="87" s="1"/>
  <c r="AC125" i="62" s="1"/>
  <c r="H117" i="62"/>
  <c r="AL22" i="73" s="1"/>
  <c r="I125" i="62"/>
  <c r="AL23" i="87" s="1"/>
  <c r="AM23" i="87" s="1"/>
  <c r="BQ68" i="62"/>
  <c r="AE68" i="62"/>
  <c r="J113" i="62"/>
  <c r="AW68" i="62"/>
  <c r="BX14" i="16"/>
  <c r="O17" i="64" s="1"/>
  <c r="L125" i="62"/>
  <c r="AL26" i="87" s="1"/>
  <c r="AM26" i="87" s="1"/>
  <c r="BX24" i="16"/>
  <c r="O27" i="64" s="1"/>
  <c r="G7" i="63"/>
  <c r="J131" i="62"/>
  <c r="AL24" i="93" s="1"/>
  <c r="AM24" i="93" s="1"/>
  <c r="J125" i="62"/>
  <c r="AL24" i="87" s="1"/>
  <c r="AM24" i="87" s="1"/>
  <c r="AL68" i="62"/>
  <c r="K111" i="62"/>
  <c r="M125" i="62"/>
  <c r="AL27" i="87" s="1"/>
  <c r="AM27" i="87" s="1"/>
  <c r="AQ68" i="62"/>
  <c r="BH68" i="62"/>
  <c r="AX68" i="62"/>
  <c r="M113" i="62"/>
  <c r="BW68" i="62"/>
  <c r="G115" i="62"/>
  <c r="AL21" i="71" s="1"/>
  <c r="G134" i="62"/>
  <c r="AL21" i="96" s="1"/>
  <c r="AM21" i="96" s="1"/>
  <c r="AC134" i="62" s="1"/>
  <c r="F131" i="62"/>
  <c r="AL20" i="93" s="1"/>
  <c r="AM20" i="93" s="1"/>
  <c r="AB131" i="62" s="1"/>
  <c r="B10" i="63"/>
  <c r="AS58" i="16"/>
  <c r="H114" i="62"/>
  <c r="AL22" i="70" s="1"/>
  <c r="I118" i="62"/>
  <c r="AL23" i="74" s="1"/>
  <c r="AP36" i="16"/>
  <c r="B6" i="63" s="1"/>
  <c r="AP58" i="16"/>
  <c r="B7" i="63"/>
  <c r="AP53" i="16" s="1"/>
  <c r="P134" i="62"/>
  <c r="AL30" i="96" s="1"/>
  <c r="AM30" i="96" s="1"/>
  <c r="BY2" i="62"/>
  <c r="I131" i="62"/>
  <c r="AL23" i="93" s="1"/>
  <c r="AM23" i="93" s="1"/>
  <c r="AU58" i="16"/>
  <c r="B12" i="63"/>
  <c r="BV68" i="62"/>
  <c r="Q111" i="62"/>
  <c r="F113" i="62"/>
  <c r="AL20" i="69" s="1"/>
  <c r="BC68" i="62"/>
  <c r="L131" i="62"/>
  <c r="AL26" i="93" s="1"/>
  <c r="AM26" i="93" s="1"/>
  <c r="AO2" i="62"/>
  <c r="AF68" i="62"/>
  <c r="G123" i="62"/>
  <c r="AL21" i="85" s="1"/>
  <c r="AM21" i="85" s="1"/>
  <c r="AC123" i="62" s="1"/>
  <c r="AT68" i="62"/>
  <c r="F117" i="62"/>
  <c r="AL20" i="73" s="1"/>
  <c r="K125" i="62"/>
  <c r="AL25" i="87" s="1"/>
  <c r="AM25" i="87" s="1"/>
  <c r="F125" i="62"/>
  <c r="AL20" i="87" s="1"/>
  <c r="AM20" i="87" s="1"/>
  <c r="AB125" i="62" s="1"/>
  <c r="AJ68" i="62"/>
  <c r="F115" i="62"/>
  <c r="AL20" i="71" s="1"/>
  <c r="K116" i="62"/>
  <c r="AL25" i="72" s="1"/>
  <c r="K132" i="62"/>
  <c r="AL25" i="94" s="1"/>
  <c r="AM25" i="94" s="1"/>
  <c r="AU2" i="62"/>
  <c r="Z68" i="62"/>
  <c r="I111" i="62"/>
  <c r="I113" i="62"/>
  <c r="AL23" i="69" s="1"/>
  <c r="B11" i="63"/>
  <c r="AT58" i="16"/>
  <c r="BS68" i="62"/>
  <c r="N112" i="62"/>
  <c r="AL28" i="68" s="1"/>
  <c r="AG68" i="62"/>
  <c r="M131" i="62"/>
  <c r="AL27" i="93" s="1"/>
  <c r="AM27" i="93" s="1"/>
  <c r="I117" i="62"/>
  <c r="AL23" i="73" s="1"/>
  <c r="L134" i="62"/>
  <c r="AL26" i="96" s="1"/>
  <c r="AM26" i="96" s="1"/>
  <c r="G113" i="62"/>
  <c r="AL21" i="69" s="1"/>
  <c r="K115" i="62"/>
  <c r="AL25" i="71" s="1"/>
  <c r="BX12" i="16"/>
  <c r="O15" i="64" s="1"/>
  <c r="BA68" i="62"/>
  <c r="AA68" i="62"/>
  <c r="H131" i="62"/>
  <c r="AL22" i="93" s="1"/>
  <c r="AM22" i="93" s="1"/>
  <c r="H116" i="62"/>
  <c r="AL22" i="72" s="1"/>
  <c r="AK68" i="62"/>
  <c r="U68" i="62"/>
  <c r="F118" i="62"/>
  <c r="AL20" i="74" s="1"/>
  <c r="H115" i="62"/>
  <c r="AL22" i="71" s="1"/>
  <c r="J115" i="62"/>
  <c r="AL24" i="71" s="1"/>
  <c r="AW58" i="16"/>
  <c r="B14" i="63"/>
  <c r="AW53" i="16" s="1"/>
  <c r="G116" i="62"/>
  <c r="AL21" i="72" s="1"/>
  <c r="F132" i="62"/>
  <c r="AL20" i="94" s="1"/>
  <c r="AM20" i="94" s="1"/>
  <c r="AB132" i="62" s="1"/>
  <c r="AZ68" i="62"/>
  <c r="H125" i="62"/>
  <c r="AL22" i="87" s="1"/>
  <c r="AM22" i="87" s="1"/>
  <c r="R63" i="7" l="1"/>
  <c r="AZ20" i="5"/>
  <c r="AK20" i="67"/>
  <c r="DB15" i="73"/>
  <c r="AA5" i="101"/>
  <c r="AX5" i="101"/>
  <c r="AY5" i="101" s="1"/>
  <c r="H109" i="62"/>
  <c r="AL22" i="18" s="1"/>
  <c r="AA38" i="101"/>
  <c r="AX38" i="101"/>
  <c r="AY38" i="101" s="1"/>
  <c r="AA37" i="101"/>
  <c r="F86" i="101" s="1" a="1"/>
  <c r="F86" i="101" s="1"/>
  <c r="AX37" i="101"/>
  <c r="AY37" i="101" s="1"/>
  <c r="BA6" i="101"/>
  <c r="BK6" i="101"/>
  <c r="BJ6" i="101"/>
  <c r="BT6" i="101"/>
  <c r="BB6" i="101"/>
  <c r="BU6" i="101"/>
  <c r="BL6" i="101"/>
  <c r="AZ6" i="101"/>
  <c r="BZ7" i="5"/>
  <c r="CK7" i="5"/>
  <c r="CH7" i="5"/>
  <c r="CM7" i="5"/>
  <c r="CQ7" i="5"/>
  <c r="CI7" i="5"/>
  <c r="CN7" i="5"/>
  <c r="BV7" i="5"/>
  <c r="CO7" i="5"/>
  <c r="BW7" i="5"/>
  <c r="CW7" i="5"/>
  <c r="CB7" i="5"/>
  <c r="BC103" i="16"/>
  <c r="BC70" i="16" s="1"/>
  <c r="W13" i="71"/>
  <c r="DC13" i="71" s="1"/>
  <c r="D28" i="101" a="1"/>
  <c r="D28" i="101" s="1"/>
  <c r="D29" i="101" a="1"/>
  <c r="D29" i="101" s="1"/>
  <c r="D10" i="101" a="1"/>
  <c r="D10" i="101" s="1"/>
  <c r="D25" i="101" a="1"/>
  <c r="D25" i="101" s="1"/>
  <c r="D21" i="101" a="1"/>
  <c r="D21" i="101" s="1"/>
  <c r="D8" i="101" a="1"/>
  <c r="D8" i="101" s="1"/>
  <c r="D5" i="101" a="1"/>
  <c r="D5" i="101" s="1"/>
  <c r="D20" i="101" a="1"/>
  <c r="D20" i="101" s="1"/>
  <c r="D27" i="101" a="1"/>
  <c r="D27" i="101" s="1"/>
  <c r="D18" i="101" a="1"/>
  <c r="D18" i="101" s="1"/>
  <c r="D17" i="101" a="1"/>
  <c r="D17" i="101" s="1"/>
  <c r="D13" i="101" a="1"/>
  <c r="D13" i="101" s="1"/>
  <c r="D9" i="101" a="1"/>
  <c r="D9" i="101" s="1"/>
  <c r="D7" i="101" a="1"/>
  <c r="D7" i="101" s="1"/>
  <c r="D14" i="101" a="1"/>
  <c r="D14" i="101" s="1"/>
  <c r="D4" i="101" a="1"/>
  <c r="D4" i="101" s="1"/>
  <c r="D22" i="101" a="1"/>
  <c r="D22" i="101" s="1"/>
  <c r="D24" i="101" a="1"/>
  <c r="D24" i="101" s="1"/>
  <c r="D6" i="101" a="1"/>
  <c r="D6" i="101" s="1"/>
  <c r="D31" i="101" a="1"/>
  <c r="D31" i="101" s="1"/>
  <c r="D19" i="101" a="1"/>
  <c r="D19" i="101" s="1"/>
  <c r="D16" i="101" a="1"/>
  <c r="D16" i="101" s="1"/>
  <c r="D26" i="101" a="1"/>
  <c r="D26" i="101" s="1"/>
  <c r="D23" i="101" a="1"/>
  <c r="D23" i="101" s="1"/>
  <c r="D32" i="101" a="1"/>
  <c r="D32" i="101" s="1"/>
  <c r="D33" i="101" a="1"/>
  <c r="D33" i="101" s="1"/>
  <c r="D15" i="101" a="1"/>
  <c r="D15" i="101" s="1"/>
  <c r="D12" i="101" a="1"/>
  <c r="D12" i="101" s="1"/>
  <c r="D30" i="101" a="1"/>
  <c r="D30" i="101" s="1"/>
  <c r="D11" i="101" a="1"/>
  <c r="D11" i="101" s="1"/>
  <c r="C17" i="101" a="1"/>
  <c r="C17" i="101" s="1"/>
  <c r="C4" i="101" a="1"/>
  <c r="C4" i="101" s="1"/>
  <c r="C31" i="101" a="1"/>
  <c r="C31" i="101" s="1"/>
  <c r="C29" i="101" a="1"/>
  <c r="C29" i="101" s="1"/>
  <c r="C7" i="101" a="1"/>
  <c r="C7" i="101" s="1"/>
  <c r="C21" i="101" a="1"/>
  <c r="C21" i="101" s="1"/>
  <c r="C12" i="101" a="1"/>
  <c r="C12" i="101" s="1"/>
  <c r="C16" i="101" a="1"/>
  <c r="C16" i="101" s="1"/>
  <c r="C11" i="101" a="1"/>
  <c r="C11" i="101" s="1"/>
  <c r="C6" i="101" a="1"/>
  <c r="C6" i="101" s="1"/>
  <c r="C24" i="101" a="1"/>
  <c r="C24" i="101" s="1"/>
  <c r="C28" i="101" a="1"/>
  <c r="C28" i="101" s="1"/>
  <c r="C10" i="101" a="1"/>
  <c r="C10" i="101" s="1"/>
  <c r="C8" i="101" a="1"/>
  <c r="C8" i="101" s="1"/>
  <c r="C20" i="101" a="1"/>
  <c r="C20" i="101" s="1"/>
  <c r="C23" i="101" a="1"/>
  <c r="C23" i="101" s="1"/>
  <c r="C14" i="101" a="1"/>
  <c r="C14" i="101" s="1"/>
  <c r="C26" i="101" a="1"/>
  <c r="C26" i="101" s="1"/>
  <c r="C18" i="101" a="1"/>
  <c r="C18" i="101" s="1"/>
  <c r="C30" i="101" a="1"/>
  <c r="C30" i="101" s="1"/>
  <c r="C22" i="101" a="1"/>
  <c r="C22" i="101" s="1"/>
  <c r="C27" i="101" a="1"/>
  <c r="C27" i="101" s="1"/>
  <c r="C9" i="101" a="1"/>
  <c r="C9" i="101" s="1"/>
  <c r="C33" i="101" a="1"/>
  <c r="C33" i="101" s="1"/>
  <c r="C19" i="101" a="1"/>
  <c r="C19" i="101" s="1"/>
  <c r="C5" i="101" a="1"/>
  <c r="C5" i="101" s="1"/>
  <c r="C32" i="101" a="1"/>
  <c r="C32" i="101" s="1"/>
  <c r="C25" i="101" a="1"/>
  <c r="C25" i="101" s="1"/>
  <c r="C13" i="101" a="1"/>
  <c r="C13" i="101" s="1"/>
  <c r="C15" i="101" a="1"/>
  <c r="C15" i="101" s="1"/>
  <c r="F18" i="101" a="1"/>
  <c r="F18" i="101" s="1"/>
  <c r="F22" i="101" a="1"/>
  <c r="F22" i="101" s="1"/>
  <c r="F7" i="101" a="1"/>
  <c r="F7" i="101" s="1"/>
  <c r="F4" i="101" a="1"/>
  <c r="F4" i="101" s="1"/>
  <c r="F26" i="101" a="1"/>
  <c r="F26" i="101" s="1"/>
  <c r="F9" i="101" a="1"/>
  <c r="F9" i="101" s="1"/>
  <c r="F17" i="101" a="1"/>
  <c r="F17" i="101" s="1"/>
  <c r="F29" i="101" a="1"/>
  <c r="F29" i="101" s="1"/>
  <c r="F19" i="101" a="1"/>
  <c r="F19" i="101" s="1"/>
  <c r="F30" i="101" a="1"/>
  <c r="F30" i="101" s="1"/>
  <c r="F33" i="101" a="1"/>
  <c r="F33" i="101" s="1"/>
  <c r="F23" i="101" a="1"/>
  <c r="F23" i="101" s="1"/>
  <c r="F8" i="101" a="1"/>
  <c r="F8" i="101" s="1"/>
  <c r="F15" i="101" a="1"/>
  <c r="F15" i="101" s="1"/>
  <c r="F32" i="101" a="1"/>
  <c r="F32" i="101" s="1"/>
  <c r="F20" i="101" a="1"/>
  <c r="F20" i="101" s="1"/>
  <c r="F11" i="101" a="1"/>
  <c r="F11" i="101" s="1"/>
  <c r="F24" i="101" a="1"/>
  <c r="F24" i="101" s="1"/>
  <c r="F13" i="101" a="1"/>
  <c r="F13" i="101" s="1"/>
  <c r="F14" i="101" a="1"/>
  <c r="F14" i="101" s="1"/>
  <c r="F28" i="101" a="1"/>
  <c r="F28" i="101" s="1"/>
  <c r="F5" i="101" a="1"/>
  <c r="F5" i="101" s="1"/>
  <c r="F16" i="101" a="1"/>
  <c r="F16" i="101" s="1"/>
  <c r="F27" i="101" a="1"/>
  <c r="F27" i="101" s="1"/>
  <c r="F31" i="101" a="1"/>
  <c r="F31" i="101" s="1"/>
  <c r="F10" i="101" a="1"/>
  <c r="F10" i="101" s="1"/>
  <c r="F12" i="101" a="1"/>
  <c r="F12" i="101" s="1"/>
  <c r="F6" i="101" a="1"/>
  <c r="F6" i="101" s="1"/>
  <c r="F25" i="101" a="1"/>
  <c r="F25" i="101" s="1"/>
  <c r="F21" i="101" a="1"/>
  <c r="F21" i="101" s="1"/>
  <c r="K36" i="62"/>
  <c r="B4" i="62" s="1"/>
  <c r="H4" i="17" s="1"/>
  <c r="AK21" i="68"/>
  <c r="AM21" i="68" s="1"/>
  <c r="AC112" i="62" s="1"/>
  <c r="L5" i="15"/>
  <c r="AY20" i="5"/>
  <c r="AL20" i="67"/>
  <c r="AM20" i="67" s="1"/>
  <c r="AB111" i="62" s="1"/>
  <c r="AK20" i="68"/>
  <c r="AM20" i="68" s="1"/>
  <c r="AB112" i="62" s="1"/>
  <c r="AK22" i="70"/>
  <c r="BB35" i="16"/>
  <c r="F8" i="63" s="1"/>
  <c r="AC17" i="19"/>
  <c r="U7" i="15"/>
  <c r="V7" i="15" s="1"/>
  <c r="E61" i="7"/>
  <c r="BD5" i="5"/>
  <c r="BD20" i="5" s="1"/>
  <c r="BU5" i="5"/>
  <c r="BL5" i="5"/>
  <c r="BL20" i="5" s="1"/>
  <c r="BL28" i="5" s="1"/>
  <c r="J5" i="4"/>
  <c r="BF5" i="5"/>
  <c r="BF20" i="5" s="1"/>
  <c r="BF28" i="5" s="1"/>
  <c r="BK5" i="5"/>
  <c r="BK20" i="5" s="1"/>
  <c r="BK28" i="5" s="1"/>
  <c r="BG5" i="5"/>
  <c r="BT5" i="5"/>
  <c r="AT5" i="5"/>
  <c r="BJ5" i="5"/>
  <c r="DC5" i="5"/>
  <c r="BE5" i="5"/>
  <c r="BN5" i="5"/>
  <c r="BM5" i="5"/>
  <c r="BH5" i="5"/>
  <c r="AW5" i="5"/>
  <c r="AV5" i="5"/>
  <c r="AS5" i="5"/>
  <c r="AU5" i="5"/>
  <c r="BT8" i="5"/>
  <c r="CO8" i="5" s="1"/>
  <c r="AS8" i="5"/>
  <c r="BV8" i="5" s="1"/>
  <c r="J8" i="4"/>
  <c r="AT8" i="5"/>
  <c r="AX8" i="5" s="1"/>
  <c r="F109" i="62"/>
  <c r="AD17" i="19" s="1"/>
  <c r="G111" i="62"/>
  <c r="AL21" i="67" s="1"/>
  <c r="Q2" i="62"/>
  <c r="AK20" i="70"/>
  <c r="AM20" i="70" s="1"/>
  <c r="AB114" i="62" s="1"/>
  <c r="I32" i="17"/>
  <c r="D32" i="17" s="1"/>
  <c r="C4" i="17"/>
  <c r="K5" i="15"/>
  <c r="T5" i="15"/>
  <c r="E64" i="7"/>
  <c r="DC8" i="5"/>
  <c r="BU8" i="5"/>
  <c r="CC8" i="5" s="1"/>
  <c r="T8" i="15"/>
  <c r="U8" i="15" s="1"/>
  <c r="V8" i="15" s="1"/>
  <c r="K8" i="15"/>
  <c r="BH8" i="5"/>
  <c r="O64" i="7" s="1"/>
  <c r="AV8" i="5"/>
  <c r="BE8" i="5"/>
  <c r="L64" i="7" s="1"/>
  <c r="AU8" i="5"/>
  <c r="BN8" i="5"/>
  <c r="BG8" i="5"/>
  <c r="BM8" i="5"/>
  <c r="S64" i="7" s="1"/>
  <c r="C7" i="17"/>
  <c r="K2" i="62"/>
  <c r="W2" i="62"/>
  <c r="AM31" i="68"/>
  <c r="AM112" i="62" s="1"/>
  <c r="AK26" i="69"/>
  <c r="AM26" i="69" s="1"/>
  <c r="AH113" i="62" s="1"/>
  <c r="G109" i="62"/>
  <c r="AL21" i="18" s="1"/>
  <c r="AK24" i="66"/>
  <c r="AM24" i="66" s="1"/>
  <c r="AF110" i="62" s="1"/>
  <c r="AM29" i="68"/>
  <c r="AK112" i="62" s="1"/>
  <c r="AK22" i="69"/>
  <c r="AM22" i="69" s="1"/>
  <c r="AD113" i="62" s="1"/>
  <c r="AK23" i="70"/>
  <c r="AM23" i="70" s="1"/>
  <c r="AE114" i="62" s="1"/>
  <c r="J6" i="17"/>
  <c r="I6" i="17" s="1"/>
  <c r="W53" i="17"/>
  <c r="F110" i="62"/>
  <c r="AL20" i="66" s="1"/>
  <c r="K53" i="17"/>
  <c r="M68" i="62"/>
  <c r="Q36" i="62" s="1"/>
  <c r="B5" i="62" s="1"/>
  <c r="H5" i="17" s="1"/>
  <c r="J5" i="17"/>
  <c r="I5" i="17" s="1"/>
  <c r="Q53" i="17"/>
  <c r="I4" i="17"/>
  <c r="CU6" i="5"/>
  <c r="N62" i="7"/>
  <c r="CK6" i="5"/>
  <c r="CP6" i="5"/>
  <c r="CZ6" i="5"/>
  <c r="S62" i="7"/>
  <c r="CF7" i="5"/>
  <c r="CC7" i="5"/>
  <c r="H62" i="7"/>
  <c r="BX6" i="5"/>
  <c r="CD6" i="5"/>
  <c r="CU7" i="5"/>
  <c r="CG9" i="5"/>
  <c r="CR7" i="5"/>
  <c r="CJ8" i="5"/>
  <c r="M64" i="7"/>
  <c r="O63" i="7"/>
  <c r="CV7" i="5"/>
  <c r="CL7" i="5"/>
  <c r="BI6" i="5"/>
  <c r="CH6" i="5"/>
  <c r="CR6" i="5"/>
  <c r="K62" i="7"/>
  <c r="K64" i="7"/>
  <c r="CT7" i="5"/>
  <c r="M63" i="7"/>
  <c r="CJ7" i="5"/>
  <c r="CT6" i="5"/>
  <c r="M62" i="7"/>
  <c r="CJ6" i="5"/>
  <c r="CX7" i="5"/>
  <c r="DA7" i="5"/>
  <c r="G64" i="7"/>
  <c r="BW8" i="5"/>
  <c r="CY7" i="5"/>
  <c r="CY6" i="5"/>
  <c r="R62" i="7"/>
  <c r="CO6" i="5"/>
  <c r="CL6" i="5"/>
  <c r="O62" i="7"/>
  <c r="CV6" i="5"/>
  <c r="I63" i="7"/>
  <c r="CE7" i="5"/>
  <c r="BY7" i="5"/>
  <c r="BZ6" i="5"/>
  <c r="CF6" i="5"/>
  <c r="J62" i="7"/>
  <c r="CS7" i="5"/>
  <c r="Q64" i="7"/>
  <c r="BO6" i="5"/>
  <c r="P62" i="7"/>
  <c r="CW6" i="5"/>
  <c r="CM6" i="5"/>
  <c r="AX6" i="5"/>
  <c r="BV6" i="5"/>
  <c r="F62" i="7"/>
  <c r="CB6" i="5"/>
  <c r="I62" i="7"/>
  <c r="CE6" i="5"/>
  <c r="BY6" i="5"/>
  <c r="CX6" i="5"/>
  <c r="Q62" i="7"/>
  <c r="CN6" i="5"/>
  <c r="CI8" i="5"/>
  <c r="R64" i="7"/>
  <c r="DE9" i="5"/>
  <c r="DG9" i="5"/>
  <c r="CI6" i="5"/>
  <c r="CS6" i="5"/>
  <c r="L62" i="7"/>
  <c r="DA6" i="5"/>
  <c r="CQ6" i="5"/>
  <c r="T62" i="7"/>
  <c r="CC6" i="5"/>
  <c r="BW6" i="5"/>
  <c r="G62" i="7"/>
  <c r="J64" i="7"/>
  <c r="BZ8" i="5"/>
  <c r="H63" i="7"/>
  <c r="BX7" i="5"/>
  <c r="CD7" i="5"/>
  <c r="CM8" i="5"/>
  <c r="P64" i="7"/>
  <c r="BI7" i="5"/>
  <c r="AX7" i="5"/>
  <c r="AK30" i="72"/>
  <c r="AM30" i="72" s="1"/>
  <c r="AL116" i="62" s="1"/>
  <c r="AK27" i="72"/>
  <c r="AK23" i="69"/>
  <c r="AM23" i="69" s="1"/>
  <c r="AE113" i="62" s="1"/>
  <c r="AM29" i="67"/>
  <c r="AK111" i="62" s="1"/>
  <c r="AK23" i="68"/>
  <c r="AM25" i="68"/>
  <c r="AG112" i="62" s="1"/>
  <c r="AK21" i="66"/>
  <c r="AM21" i="66" s="1"/>
  <c r="AC110" i="62" s="1"/>
  <c r="AV53" i="5"/>
  <c r="AV54" i="5" s="1"/>
  <c r="AV61" i="5" s="1"/>
  <c r="H72" i="6"/>
  <c r="H23" i="6" s="1"/>
  <c r="AV42" i="5" s="1"/>
  <c r="W66" i="6"/>
  <c r="N27" i="7" s="1"/>
  <c r="K170" i="5" s="1"/>
  <c r="AW53" i="5"/>
  <c r="AW54" i="5" s="1"/>
  <c r="AW61" i="5" s="1"/>
  <c r="I72" i="6"/>
  <c r="I23" i="6" s="1"/>
  <c r="V66" i="6"/>
  <c r="K27" i="7" s="1"/>
  <c r="H170" i="5" s="1"/>
  <c r="N170" i="5" s="1"/>
  <c r="AR41" i="5"/>
  <c r="D72" i="6"/>
  <c r="D23" i="6" s="1"/>
  <c r="AR42" i="5" s="1"/>
  <c r="AR53" i="5"/>
  <c r="C71" i="6"/>
  <c r="J71" i="6" s="1"/>
  <c r="AU53" i="5"/>
  <c r="G72" i="6"/>
  <c r="G23" i="6" s="1"/>
  <c r="AU42" i="5" s="1"/>
  <c r="AT41" i="5"/>
  <c r="J22" i="6"/>
  <c r="AX41" i="5" s="1"/>
  <c r="AQ41" i="5"/>
  <c r="C72" i="6"/>
  <c r="AQ53" i="5"/>
  <c r="AS41" i="5"/>
  <c r="H24" i="6"/>
  <c r="AV43" i="5" s="1"/>
  <c r="AV62" i="5" s="1"/>
  <c r="AV65" i="5" s="1"/>
  <c r="G24" i="6"/>
  <c r="AU43" i="5" s="1"/>
  <c r="AU62" i="5" s="1"/>
  <c r="AU65" i="5" s="1"/>
  <c r="AU41" i="5"/>
  <c r="F72" i="6"/>
  <c r="F23" i="6" s="1"/>
  <c r="AT42" i="5" s="1"/>
  <c r="AT53" i="5"/>
  <c r="AS53" i="5"/>
  <c r="E72" i="6"/>
  <c r="E23" i="6" s="1"/>
  <c r="AS42" i="5" s="1"/>
  <c r="P22" i="19"/>
  <c r="X22" i="19" s="1"/>
  <c r="P25" i="66"/>
  <c r="AE25" i="66" s="1"/>
  <c r="P25" i="73"/>
  <c r="AE25" i="73" s="1"/>
  <c r="P25" i="74"/>
  <c r="AG25" i="74" s="1"/>
  <c r="P25" i="71"/>
  <c r="AG25" i="71" s="1"/>
  <c r="P25" i="68"/>
  <c r="AG25" i="68" s="1"/>
  <c r="P25" i="72"/>
  <c r="AE25" i="72" s="1"/>
  <c r="P25" i="70"/>
  <c r="AE25" i="70" s="1"/>
  <c r="BW102" i="62"/>
  <c r="C26" i="17"/>
  <c r="L26" i="17" s="1"/>
  <c r="P25" i="67"/>
  <c r="AE25" i="67" s="1"/>
  <c r="DE11" i="5"/>
  <c r="DG11" i="5"/>
  <c r="CA11" i="5"/>
  <c r="BV102" i="62"/>
  <c r="BZ102" i="62"/>
  <c r="BY102" i="62"/>
  <c r="BX102" i="62"/>
  <c r="CG11" i="5"/>
  <c r="BU102" i="62"/>
  <c r="CA13" i="5"/>
  <c r="CG13" i="5"/>
  <c r="U10" i="15"/>
  <c r="V10" i="15" s="1"/>
  <c r="AK70" i="62"/>
  <c r="P25" i="18"/>
  <c r="AF25" i="18" s="1"/>
  <c r="P25" i="82"/>
  <c r="P25" i="98"/>
  <c r="P25" i="81"/>
  <c r="P25" i="87"/>
  <c r="P25" i="96"/>
  <c r="P25" i="85"/>
  <c r="P25" i="91"/>
  <c r="P25" i="97"/>
  <c r="P25" i="88"/>
  <c r="P25" i="99"/>
  <c r="P25" i="83"/>
  <c r="P25" i="90"/>
  <c r="P25" i="94"/>
  <c r="P25" i="86"/>
  <c r="P25" i="95"/>
  <c r="P25" i="92"/>
  <c r="P25" i="89"/>
  <c r="P25" i="100"/>
  <c r="P25" i="93"/>
  <c r="P25" i="84"/>
  <c r="DG13" i="5"/>
  <c r="P26" i="18"/>
  <c r="P26" i="82"/>
  <c r="P26" i="84"/>
  <c r="P26" i="88"/>
  <c r="P26" i="86"/>
  <c r="P26" i="92"/>
  <c r="P26" i="89"/>
  <c r="P26" i="83"/>
  <c r="P26" i="81"/>
  <c r="P26" i="91"/>
  <c r="P26" i="94"/>
  <c r="P26" i="100"/>
  <c r="P26" i="90"/>
  <c r="P26" i="85"/>
  <c r="P26" i="95"/>
  <c r="P26" i="98"/>
  <c r="P26" i="87"/>
  <c r="P26" i="99"/>
  <c r="P26" i="96"/>
  <c r="P26" i="97"/>
  <c r="P26" i="93"/>
  <c r="W13" i="69"/>
  <c r="W14" i="73"/>
  <c r="DC14" i="73" s="1"/>
  <c r="U14" i="73" s="1"/>
  <c r="BV53" i="101" s="1"/>
  <c r="W14" i="68"/>
  <c r="W14" i="74"/>
  <c r="AK6" i="16"/>
  <c r="U6" i="66"/>
  <c r="U13" i="68"/>
  <c r="BV7" i="101" s="1"/>
  <c r="V13" i="68"/>
  <c r="BW7" i="101" s="1"/>
  <c r="DB14" i="70"/>
  <c r="DB15" i="70"/>
  <c r="DB14" i="71"/>
  <c r="DB15" i="71"/>
  <c r="AK9" i="16"/>
  <c r="U6" i="69"/>
  <c r="DB15" i="67"/>
  <c r="DB14" i="67"/>
  <c r="AK12" i="16"/>
  <c r="U6" i="72"/>
  <c r="AM28" i="68"/>
  <c r="AJ112" i="62" s="1"/>
  <c r="AK24" i="69"/>
  <c r="W13" i="70"/>
  <c r="DD13" i="70" s="1"/>
  <c r="AK24" i="71"/>
  <c r="AM24" i="71" s="1"/>
  <c r="AF115" i="62" s="1"/>
  <c r="AK20" i="72"/>
  <c r="AM20" i="72" s="1"/>
  <c r="AB116" i="62" s="1"/>
  <c r="AK30" i="67"/>
  <c r="AM30" i="67" s="1"/>
  <c r="AL111" i="62" s="1"/>
  <c r="AM30" i="68"/>
  <c r="AL112" i="62" s="1"/>
  <c r="AK29" i="69"/>
  <c r="AM29" i="69" s="1"/>
  <c r="AK113" i="62" s="1"/>
  <c r="AK20" i="69"/>
  <c r="AM20" i="69" s="1"/>
  <c r="AB113" i="62" s="1"/>
  <c r="AK28" i="70"/>
  <c r="AM28" i="70" s="1"/>
  <c r="AJ114" i="62" s="1"/>
  <c r="AK21" i="71"/>
  <c r="AM21" i="71" s="1"/>
  <c r="AC115" i="62" s="1"/>
  <c r="AK25" i="72"/>
  <c r="AM25" i="72" s="1"/>
  <c r="AG116" i="62" s="1"/>
  <c r="AK23" i="72"/>
  <c r="AM23" i="72" s="1"/>
  <c r="AE116" i="62" s="1"/>
  <c r="AK25" i="74"/>
  <c r="AM25" i="74" s="1"/>
  <c r="AG118" i="62" s="1"/>
  <c r="AK20" i="74"/>
  <c r="AM20" i="74" s="1"/>
  <c r="AB118" i="62" s="1"/>
  <c r="AB38" i="101"/>
  <c r="AC38" i="101" s="1"/>
  <c r="GY15" i="18"/>
  <c r="EY15" i="18"/>
  <c r="ER15" i="18"/>
  <c r="HK15" i="18"/>
  <c r="FD15" i="18"/>
  <c r="HO15" i="18"/>
  <c r="EF15" i="18"/>
  <c r="GC15" i="18"/>
  <c r="EE15" i="18"/>
  <c r="GU15" i="18"/>
  <c r="HB15" i="18"/>
  <c r="FR15" i="18"/>
  <c r="EU15" i="18"/>
  <c r="FC15" i="18"/>
  <c r="GV15" i="18"/>
  <c r="GE15" i="18"/>
  <c r="HF15" i="18"/>
  <c r="FY15" i="18"/>
  <c r="EQ15" i="18"/>
  <c r="GD15" i="18"/>
  <c r="EC15" i="18"/>
  <c r="EK15" i="18"/>
  <c r="HQ15" i="18"/>
  <c r="FB15" i="18"/>
  <c r="FU15" i="18"/>
  <c r="FG15" i="18"/>
  <c r="HS15" i="18"/>
  <c r="FT15" i="18"/>
  <c r="HH15" i="18"/>
  <c r="HL15" i="18"/>
  <c r="GW15" i="18"/>
  <c r="GR15" i="18"/>
  <c r="GZ15" i="18"/>
  <c r="DY15" i="18"/>
  <c r="FE15" i="18"/>
  <c r="EM15" i="18"/>
  <c r="GN15" i="18"/>
  <c r="ET15" i="18"/>
  <c r="GQ15" i="18"/>
  <c r="HR15" i="18"/>
  <c r="EA15" i="18"/>
  <c r="GH15" i="18"/>
  <c r="FN15" i="18"/>
  <c r="EX15" i="18"/>
  <c r="FK15" i="18"/>
  <c r="GX15" i="18"/>
  <c r="FI15" i="18"/>
  <c r="GB15" i="18"/>
  <c r="GO15" i="18"/>
  <c r="FQ15" i="18"/>
  <c r="HM15" i="18"/>
  <c r="EN15" i="18"/>
  <c r="EZ15" i="18"/>
  <c r="FF15" i="18"/>
  <c r="DW15" i="18"/>
  <c r="GA15" i="18"/>
  <c r="FP15" i="18"/>
  <c r="FW15" i="18"/>
  <c r="GK15" i="18"/>
  <c r="EL15" i="18"/>
  <c r="EJ15" i="18"/>
  <c r="GP15" i="18"/>
  <c r="DX15" i="18"/>
  <c r="FO15" i="18"/>
  <c r="FV15" i="18"/>
  <c r="ED15" i="18"/>
  <c r="HN15" i="18"/>
  <c r="HI15" i="18"/>
  <c r="EW15" i="18"/>
  <c r="DZ15" i="18"/>
  <c r="FJ15" i="18"/>
  <c r="ES15" i="18"/>
  <c r="GM15" i="18"/>
  <c r="EP15" i="18"/>
  <c r="EG15" i="18"/>
  <c r="FZ15" i="18"/>
  <c r="EO15" i="18"/>
  <c r="FM15" i="18"/>
  <c r="GJ15" i="18"/>
  <c r="EB15" i="18"/>
  <c r="GL15" i="18"/>
  <c r="GF15" i="18"/>
  <c r="HE15" i="18"/>
  <c r="FA15" i="18"/>
  <c r="GS15" i="18"/>
  <c r="FH15" i="18"/>
  <c r="HA15" i="18"/>
  <c r="HD15" i="18"/>
  <c r="HP15" i="18"/>
  <c r="EH15" i="18"/>
  <c r="FX15" i="18"/>
  <c r="GI15" i="18"/>
  <c r="FS15" i="18"/>
  <c r="HC15" i="18"/>
  <c r="FL15" i="18"/>
  <c r="HJ15" i="18"/>
  <c r="F74" i="101" a="1"/>
  <c r="F74" i="101" s="1"/>
  <c r="BA71" i="16"/>
  <c r="AP74" i="16"/>
  <c r="BA107" i="16"/>
  <c r="BO107" i="16"/>
  <c r="BO74" i="16" s="1"/>
  <c r="BO65" i="16" s="1"/>
  <c r="AT74" i="16"/>
  <c r="BE74" i="16" s="1"/>
  <c r="BP107" i="16"/>
  <c r="BP74" i="16" s="1"/>
  <c r="AU74" i="16"/>
  <c r="BF74" i="16" s="1"/>
  <c r="BL107" i="16"/>
  <c r="BL74" i="16" s="1"/>
  <c r="AQ74" i="16"/>
  <c r="BM107" i="16"/>
  <c r="BM74" i="16" s="1"/>
  <c r="AR74" i="16"/>
  <c r="BC74" i="16" s="1"/>
  <c r="BN107" i="16"/>
  <c r="BN74" i="16" s="1"/>
  <c r="AS74" i="16"/>
  <c r="BD74" i="16" s="1"/>
  <c r="AK26" i="71"/>
  <c r="AM26" i="71" s="1"/>
  <c r="AH115" i="62" s="1"/>
  <c r="BF35" i="16"/>
  <c r="F11" i="63" s="1"/>
  <c r="AK28" i="73"/>
  <c r="AM28" i="73" s="1"/>
  <c r="AK30" i="73"/>
  <c r="AM30" i="73" s="1"/>
  <c r="E39" i="101" a="1"/>
  <c r="E39" i="101" s="1"/>
  <c r="E40" i="101" a="1"/>
  <c r="E40" i="101" s="1"/>
  <c r="E38" i="101" a="1"/>
  <c r="E38" i="101" s="1"/>
  <c r="BH35" i="16"/>
  <c r="F13" i="63" s="1"/>
  <c r="BI35" i="16"/>
  <c r="F14" i="63" s="1"/>
  <c r="DB14" i="99"/>
  <c r="DB15" i="99"/>
  <c r="W13" i="99"/>
  <c r="DC13" i="99" s="1"/>
  <c r="DB15" i="87"/>
  <c r="DB14" i="87"/>
  <c r="W13" i="87"/>
  <c r="DB15" i="98"/>
  <c r="DB14" i="98"/>
  <c r="W13" i="98"/>
  <c r="DC13" i="98" s="1"/>
  <c r="DB14" i="88"/>
  <c r="DB15" i="88"/>
  <c r="W13" i="88"/>
  <c r="DC13" i="88" s="1"/>
  <c r="DB15" i="92"/>
  <c r="DB14" i="92"/>
  <c r="W13" i="92"/>
  <c r="DC13" i="92" s="1"/>
  <c r="DB15" i="95"/>
  <c r="DB14" i="95"/>
  <c r="W13" i="95"/>
  <c r="DB14" i="90"/>
  <c r="DB15" i="90"/>
  <c r="W13" i="90"/>
  <c r="DC13" i="90" s="1"/>
  <c r="DB15" i="91"/>
  <c r="DB14" i="91"/>
  <c r="W13" i="91"/>
  <c r="DC13" i="91" s="1"/>
  <c r="DB14" i="86"/>
  <c r="DB15" i="86"/>
  <c r="W13" i="86"/>
  <c r="DC13" i="86" s="1"/>
  <c r="DB15" i="89"/>
  <c r="DB14" i="89"/>
  <c r="W13" i="89"/>
  <c r="DC13" i="89" s="1"/>
  <c r="DB14" i="100"/>
  <c r="DB15" i="100"/>
  <c r="W13" i="100"/>
  <c r="DC13" i="100" s="1"/>
  <c r="DB15" i="85"/>
  <c r="DB14" i="85"/>
  <c r="W13" i="85"/>
  <c r="DC13" i="85" s="1"/>
  <c r="DB15" i="97"/>
  <c r="DB14" i="97"/>
  <c r="W13" i="97"/>
  <c r="DC13" i="97" s="1"/>
  <c r="DB14" i="93"/>
  <c r="DB15" i="93"/>
  <c r="W13" i="93"/>
  <c r="DC13" i="93" s="1"/>
  <c r="DB15" i="83"/>
  <c r="DB14" i="83"/>
  <c r="W13" i="83"/>
  <c r="DB15" i="94"/>
  <c r="DB14" i="94"/>
  <c r="W13" i="94"/>
  <c r="DC13" i="94" s="1"/>
  <c r="DB15" i="84"/>
  <c r="DB14" i="84"/>
  <c r="W13" i="84"/>
  <c r="DC13" i="84" s="1"/>
  <c r="DB14" i="96"/>
  <c r="DB15" i="96"/>
  <c r="W13" i="96"/>
  <c r="DC13" i="96" s="1"/>
  <c r="AK30" i="71"/>
  <c r="AM30" i="71" s="1"/>
  <c r="AL115" i="62" s="1"/>
  <c r="AK23" i="71"/>
  <c r="AM23" i="71" s="1"/>
  <c r="AE115" i="62" s="1"/>
  <c r="AK20" i="71"/>
  <c r="AM20" i="71" s="1"/>
  <c r="AB115" i="62" s="1"/>
  <c r="AK22" i="71"/>
  <c r="AM22" i="71" s="1"/>
  <c r="AD115" i="62" s="1"/>
  <c r="AK24" i="72"/>
  <c r="AM30" i="74"/>
  <c r="AL118" i="62" s="1"/>
  <c r="W13" i="74"/>
  <c r="W13" i="72"/>
  <c r="W13" i="67"/>
  <c r="DC13" i="67" s="1"/>
  <c r="AK21" i="67"/>
  <c r="C86" i="101" a="1"/>
  <c r="C86" i="101" s="1"/>
  <c r="A41" i="101" a="1"/>
  <c r="A41" i="101" s="1"/>
  <c r="C91" i="101" a="1"/>
  <c r="C91" i="101" s="1"/>
  <c r="C73" i="101" a="1"/>
  <c r="C73" i="101" s="1"/>
  <c r="A39" i="101" a="1"/>
  <c r="A39" i="101" s="1"/>
  <c r="A45" i="101" a="1"/>
  <c r="A45" i="101" s="1"/>
  <c r="C94" i="101" a="1"/>
  <c r="C94" i="101" s="1"/>
  <c r="A49" i="101" a="1"/>
  <c r="A49" i="101" s="1"/>
  <c r="C95" i="101" a="1"/>
  <c r="C95" i="101" s="1"/>
  <c r="C72" i="101" a="1"/>
  <c r="C72" i="101" s="1"/>
  <c r="A53" i="101" a="1"/>
  <c r="A53" i="101" s="1"/>
  <c r="A58" i="101" a="1"/>
  <c r="A58" i="101" s="1"/>
  <c r="C88" i="101" a="1"/>
  <c r="C88" i="101" s="1"/>
  <c r="C82" i="101" a="1"/>
  <c r="C82" i="101" s="1"/>
  <c r="C68" i="101" a="1"/>
  <c r="C68" i="101" s="1"/>
  <c r="C63" i="101" a="1"/>
  <c r="C63" i="101" s="1"/>
  <c r="A54" i="101" a="1"/>
  <c r="A54" i="101" s="1"/>
  <c r="A38" i="101" a="1"/>
  <c r="A38" i="101" s="1"/>
  <c r="C93" i="101" a="1"/>
  <c r="C93" i="101" s="1"/>
  <c r="A57" i="101" a="1"/>
  <c r="A57" i="101" s="1"/>
  <c r="A61" i="101" a="1"/>
  <c r="A61" i="101" s="1"/>
  <c r="A60" i="101" a="1"/>
  <c r="A60" i="101" s="1"/>
  <c r="A40" i="101" a="1"/>
  <c r="A40" i="101" s="1"/>
  <c r="C75" i="101" a="1"/>
  <c r="C75" i="101" s="1"/>
  <c r="C76" i="101" a="1"/>
  <c r="C76" i="101" s="1"/>
  <c r="A55" i="101" a="1"/>
  <c r="A55" i="101" s="1"/>
  <c r="A59" i="101" a="1"/>
  <c r="A59" i="101" s="1"/>
  <c r="C84" i="101" a="1"/>
  <c r="C84" i="101" s="1"/>
  <c r="C87" i="101" a="1"/>
  <c r="C87" i="101" s="1"/>
  <c r="C89" i="101" a="1"/>
  <c r="C89" i="101" s="1"/>
  <c r="C66" i="101" a="1"/>
  <c r="C66" i="101" s="1"/>
  <c r="A43" i="101" a="1"/>
  <c r="A43" i="101" s="1"/>
  <c r="C65" i="101" a="1"/>
  <c r="C65" i="101" s="1"/>
  <c r="A56" i="101" a="1"/>
  <c r="A56" i="101" s="1"/>
  <c r="C80" i="101" a="1"/>
  <c r="C80" i="101" s="1"/>
  <c r="C83" i="101" a="1"/>
  <c r="C83" i="101" s="1"/>
  <c r="A62" i="101" a="1"/>
  <c r="A62" i="101" s="1"/>
  <c r="A44" i="101" a="1"/>
  <c r="A44" i="101" s="1"/>
  <c r="A42" i="101" a="1"/>
  <c r="A42" i="101" s="1"/>
  <c r="A37" i="101" a="1"/>
  <c r="A37" i="101" s="1"/>
  <c r="C90" i="101" a="1"/>
  <c r="C90" i="101" s="1"/>
  <c r="C67" i="101" a="1"/>
  <c r="C67" i="101" s="1"/>
  <c r="C78" i="101" a="1"/>
  <c r="C78" i="101" s="1"/>
  <c r="C69" i="101" a="1"/>
  <c r="C69" i="101" s="1"/>
  <c r="A51" i="101" a="1"/>
  <c r="A51" i="101" s="1"/>
  <c r="C81" i="101" a="1"/>
  <c r="C81" i="101" s="1"/>
  <c r="A50" i="101" a="1"/>
  <c r="A50" i="101" s="1"/>
  <c r="C64" i="101" a="1"/>
  <c r="C64" i="101" s="1"/>
  <c r="C85" i="101" a="1"/>
  <c r="C85" i="101" s="1"/>
  <c r="C70" i="101" a="1"/>
  <c r="C70" i="101" s="1"/>
  <c r="A46" i="101" a="1"/>
  <c r="A46" i="101" s="1"/>
  <c r="C92" i="101" a="1"/>
  <c r="C92" i="101" s="1"/>
  <c r="A47" i="101" a="1"/>
  <c r="A47" i="101" s="1"/>
  <c r="C79" i="101" a="1"/>
  <c r="C79" i="101" s="1"/>
  <c r="A48" i="101" a="1"/>
  <c r="A48" i="101" s="1"/>
  <c r="C71" i="101" a="1"/>
  <c r="C71" i="101" s="1"/>
  <c r="C96" i="101" a="1"/>
  <c r="C96" i="101" s="1"/>
  <c r="A52" i="101" a="1"/>
  <c r="A52" i="101" s="1"/>
  <c r="C74" i="101" a="1"/>
  <c r="C74" i="101" s="1"/>
  <c r="C77" i="101" a="1"/>
  <c r="C77" i="101" s="1"/>
  <c r="E75" i="101" a="1"/>
  <c r="E75" i="101" s="1"/>
  <c r="E46" i="101" a="1"/>
  <c r="E46" i="101" s="1"/>
  <c r="E87" i="101" a="1"/>
  <c r="E87" i="101" s="1"/>
  <c r="E81" i="101" a="1"/>
  <c r="E81" i="101" s="1"/>
  <c r="E73" i="101" a="1"/>
  <c r="E73" i="101" s="1"/>
  <c r="E51" i="101" a="1"/>
  <c r="E51" i="101" s="1"/>
  <c r="E69" i="101" a="1"/>
  <c r="E69" i="101" s="1"/>
  <c r="E59" i="101" a="1"/>
  <c r="E59" i="101" s="1"/>
  <c r="E37" i="101" a="1"/>
  <c r="E37" i="101" s="1"/>
  <c r="E95" i="101" a="1"/>
  <c r="E95" i="101" s="1"/>
  <c r="E50" i="101" a="1"/>
  <c r="E50" i="101" s="1"/>
  <c r="E80" i="101" a="1"/>
  <c r="E80" i="101" s="1"/>
  <c r="E70" i="101" a="1"/>
  <c r="E70" i="101" s="1"/>
  <c r="E64" i="101" a="1"/>
  <c r="E64" i="101" s="1"/>
  <c r="E42" i="101" a="1"/>
  <c r="E42" i="101" s="1"/>
  <c r="E41" i="101" a="1"/>
  <c r="E41" i="101" s="1"/>
  <c r="E90" i="101" a="1"/>
  <c r="E90" i="101" s="1"/>
  <c r="E58" i="101" a="1"/>
  <c r="E58" i="101" s="1"/>
  <c r="E44" i="101" a="1"/>
  <c r="E44" i="101" s="1"/>
  <c r="E57" i="101" a="1"/>
  <c r="E57" i="101" s="1"/>
  <c r="E63" i="101" a="1"/>
  <c r="E63" i="101" s="1"/>
  <c r="E94" i="101" a="1"/>
  <c r="E94" i="101" s="1"/>
  <c r="E83" i="101" a="1"/>
  <c r="E83" i="101" s="1"/>
  <c r="E49" i="101" a="1"/>
  <c r="E49" i="101" s="1"/>
  <c r="E62" i="101" a="1"/>
  <c r="E62" i="101" s="1"/>
  <c r="E77" i="101" a="1"/>
  <c r="E77" i="101" s="1"/>
  <c r="E84" i="101" a="1"/>
  <c r="E84" i="101" s="1"/>
  <c r="E92" i="101" a="1"/>
  <c r="E92" i="101" s="1"/>
  <c r="E48" i="101" a="1"/>
  <c r="E48" i="101" s="1"/>
  <c r="E96" i="101" a="1"/>
  <c r="E96" i="101" s="1"/>
  <c r="E66" i="101" a="1"/>
  <c r="E66" i="101" s="1"/>
  <c r="E93" i="101" a="1"/>
  <c r="E93" i="101" s="1"/>
  <c r="E91" i="101" a="1"/>
  <c r="E91" i="101" s="1"/>
  <c r="E45" i="101" a="1"/>
  <c r="E45" i="101" s="1"/>
  <c r="E60" i="101" a="1"/>
  <c r="E60" i="101" s="1"/>
  <c r="E88" i="101" a="1"/>
  <c r="E88" i="101" s="1"/>
  <c r="E89" i="101" a="1"/>
  <c r="E89" i="101" s="1"/>
  <c r="E72" i="101" a="1"/>
  <c r="E72" i="101" s="1"/>
  <c r="E53" i="101" a="1"/>
  <c r="E53" i="101" s="1"/>
  <c r="E52" i="101" a="1"/>
  <c r="E52" i="101" s="1"/>
  <c r="E54" i="101" a="1"/>
  <c r="E54" i="101" s="1"/>
  <c r="E78" i="101" a="1"/>
  <c r="E78" i="101" s="1"/>
  <c r="E85" i="101" a="1"/>
  <c r="E85" i="101" s="1"/>
  <c r="E65" i="101" a="1"/>
  <c r="E65" i="101" s="1"/>
  <c r="E86" i="101" a="1"/>
  <c r="E86" i="101" s="1"/>
  <c r="E68" i="101" a="1"/>
  <c r="E68" i="101" s="1"/>
  <c r="E71" i="101" a="1"/>
  <c r="E71" i="101" s="1"/>
  <c r="E74" i="101" a="1"/>
  <c r="E74" i="101" s="1"/>
  <c r="E47" i="101" a="1"/>
  <c r="E47" i="101" s="1"/>
  <c r="E55" i="101" a="1"/>
  <c r="E55" i="101" s="1"/>
  <c r="E76" i="101" a="1"/>
  <c r="E76" i="101" s="1"/>
  <c r="E43" i="101" a="1"/>
  <c r="E43" i="101" s="1"/>
  <c r="E79" i="101" a="1"/>
  <c r="E79" i="101" s="1"/>
  <c r="E82" i="101" a="1"/>
  <c r="E82" i="101" s="1"/>
  <c r="E67" i="101" a="1"/>
  <c r="E67" i="101" s="1"/>
  <c r="E56" i="101" a="1"/>
  <c r="E56" i="101" s="1"/>
  <c r="E61" i="101" a="1"/>
  <c r="E61" i="101" s="1"/>
  <c r="D71" i="101" a="1"/>
  <c r="D71" i="101" s="1"/>
  <c r="D87" i="101" a="1"/>
  <c r="D87" i="101" s="1"/>
  <c r="D39" i="101" a="1"/>
  <c r="D39" i="101" s="1"/>
  <c r="D49" i="101" a="1"/>
  <c r="D49" i="101" s="1"/>
  <c r="D51" i="101" a="1"/>
  <c r="D51" i="101" s="1"/>
  <c r="D90" i="101" a="1"/>
  <c r="D90" i="101" s="1"/>
  <c r="D93" i="101" a="1"/>
  <c r="D93" i="101" s="1"/>
  <c r="D88" i="101" a="1"/>
  <c r="D88" i="101" s="1"/>
  <c r="D89" i="101" a="1"/>
  <c r="D89" i="101" s="1"/>
  <c r="D67" i="101" a="1"/>
  <c r="D67" i="101" s="1"/>
  <c r="D84" i="101" a="1"/>
  <c r="D84" i="101" s="1"/>
  <c r="D58" i="101" a="1"/>
  <c r="D58" i="101" s="1"/>
  <c r="D37" i="101" a="1"/>
  <c r="D37" i="101" s="1"/>
  <c r="D70" i="101" a="1"/>
  <c r="D70" i="101" s="1"/>
  <c r="D48" i="101" a="1"/>
  <c r="D48" i="101" s="1"/>
  <c r="D59" i="101" a="1"/>
  <c r="D59" i="101" s="1"/>
  <c r="D64" i="101" a="1"/>
  <c r="D64" i="101" s="1"/>
  <c r="D43" i="101" a="1"/>
  <c r="D43" i="101" s="1"/>
  <c r="D61" i="101" a="1"/>
  <c r="D61" i="101" s="1"/>
  <c r="D68" i="101" a="1"/>
  <c r="D68" i="101" s="1"/>
  <c r="D82" i="101" a="1"/>
  <c r="D82" i="101" s="1"/>
  <c r="D85" i="101" a="1"/>
  <c r="D85" i="101" s="1"/>
  <c r="D40" i="101" a="1"/>
  <c r="D40" i="101" s="1"/>
  <c r="D72" i="101" a="1"/>
  <c r="D72" i="101" s="1"/>
  <c r="D52" i="101" a="1"/>
  <c r="D52" i="101" s="1"/>
  <c r="D50" i="101" a="1"/>
  <c r="D50" i="101" s="1"/>
  <c r="D76" i="101" a="1"/>
  <c r="D76" i="101" s="1"/>
  <c r="D55" i="101" a="1"/>
  <c r="D55" i="101" s="1"/>
  <c r="D57" i="101" a="1"/>
  <c r="D57" i="101" s="1"/>
  <c r="D44" i="101" a="1"/>
  <c r="D44" i="101" s="1"/>
  <c r="D92" i="101" a="1"/>
  <c r="D92" i="101" s="1"/>
  <c r="D47" i="101" a="1"/>
  <c r="D47" i="101" s="1"/>
  <c r="D96" i="101" a="1"/>
  <c r="D96" i="101" s="1"/>
  <c r="D53" i="101" a="1"/>
  <c r="D53" i="101" s="1"/>
  <c r="D54" i="101" a="1"/>
  <c r="D54" i="101" s="1"/>
  <c r="D79" i="101" a="1"/>
  <c r="D79" i="101" s="1"/>
  <c r="D86" i="101" a="1"/>
  <c r="D86" i="101" s="1"/>
  <c r="D45" i="101" a="1"/>
  <c r="D45" i="101" s="1"/>
  <c r="D94" i="101" a="1"/>
  <c r="D94" i="101" s="1"/>
  <c r="D42" i="101" a="1"/>
  <c r="D42" i="101" s="1"/>
  <c r="D73" i="101" a="1"/>
  <c r="D73" i="101" s="1"/>
  <c r="D63" i="101" a="1"/>
  <c r="D63" i="101" s="1"/>
  <c r="D66" i="101" a="1"/>
  <c r="D66" i="101" s="1"/>
  <c r="D75" i="101" a="1"/>
  <c r="D75" i="101" s="1"/>
  <c r="D78" i="101" a="1"/>
  <c r="D78" i="101" s="1"/>
  <c r="D95" i="101" a="1"/>
  <c r="D95" i="101" s="1"/>
  <c r="D83" i="101" a="1"/>
  <c r="D83" i="101" s="1"/>
  <c r="D65" i="101" a="1"/>
  <c r="D65" i="101" s="1"/>
  <c r="D80" i="101" a="1"/>
  <c r="D80" i="101" s="1"/>
  <c r="D41" i="101" a="1"/>
  <c r="D41" i="101" s="1"/>
  <c r="D56" i="101" a="1"/>
  <c r="D56" i="101" s="1"/>
  <c r="D91" i="101" a="1"/>
  <c r="D91" i="101" s="1"/>
  <c r="D77" i="101" a="1"/>
  <c r="D77" i="101" s="1"/>
  <c r="D62" i="101" a="1"/>
  <c r="D62" i="101" s="1"/>
  <c r="D69" i="101" a="1"/>
  <c r="D69" i="101" s="1"/>
  <c r="D81" i="101" a="1"/>
  <c r="D81" i="101" s="1"/>
  <c r="D60" i="101" a="1"/>
  <c r="D60" i="101" s="1"/>
  <c r="D74" i="101" a="1"/>
  <c r="D74" i="101" s="1"/>
  <c r="D38" i="101" a="1"/>
  <c r="D38" i="101" s="1"/>
  <c r="D46" i="101" a="1"/>
  <c r="D46" i="101" s="1"/>
  <c r="F43" i="101" a="1"/>
  <c r="F43" i="101" s="1"/>
  <c r="F42" i="101" a="1"/>
  <c r="F42" i="101" s="1"/>
  <c r="F39" i="101" a="1"/>
  <c r="F39" i="101" s="1"/>
  <c r="F62" i="101" a="1"/>
  <c r="F62" i="101" s="1"/>
  <c r="F50" i="101" a="1"/>
  <c r="F50" i="101" s="1"/>
  <c r="F52" i="101" a="1"/>
  <c r="F52" i="101" s="1"/>
  <c r="F49" i="101" a="1"/>
  <c r="F49" i="101" s="1"/>
  <c r="F57" i="101" a="1"/>
  <c r="F57" i="101" s="1"/>
  <c r="F56" i="101" a="1"/>
  <c r="F56" i="101" s="1"/>
  <c r="F83" i="101" a="1"/>
  <c r="F83" i="101" s="1"/>
  <c r="F80" i="101" a="1"/>
  <c r="F80" i="101" s="1"/>
  <c r="F44" i="101" a="1"/>
  <c r="F44" i="101" s="1"/>
  <c r="F91" i="101" a="1"/>
  <c r="F91" i="101" s="1"/>
  <c r="F55" i="101" a="1"/>
  <c r="F55" i="101" s="1"/>
  <c r="F84" i="101" a="1"/>
  <c r="F84" i="101" s="1"/>
  <c r="F79" i="101" a="1"/>
  <c r="F79" i="101" s="1"/>
  <c r="F90" i="101" a="1"/>
  <c r="F90" i="101" s="1"/>
  <c r="F48" i="101" a="1"/>
  <c r="F48" i="101" s="1"/>
  <c r="F54" i="101" a="1"/>
  <c r="F54" i="101" s="1"/>
  <c r="F38" i="101" a="1"/>
  <c r="F38" i="101" s="1"/>
  <c r="F93" i="101" a="1"/>
  <c r="F93" i="101" s="1"/>
  <c r="F47" i="101" a="1"/>
  <c r="F47" i="101" s="1"/>
  <c r="F73" i="101" a="1"/>
  <c r="F73" i="101" s="1"/>
  <c r="F60" i="101" a="1"/>
  <c r="F60" i="101" s="1"/>
  <c r="F51" i="101" a="1"/>
  <c r="F51" i="101" s="1"/>
  <c r="F53" i="101" a="1"/>
  <c r="F53" i="101" s="1"/>
  <c r="F58" i="101" a="1"/>
  <c r="F58" i="101" s="1"/>
  <c r="F45" i="101" a="1"/>
  <c r="F45" i="101" s="1"/>
  <c r="F78" i="101" a="1"/>
  <c r="F78" i="101" s="1"/>
  <c r="F46" i="101" a="1"/>
  <c r="F46" i="101" s="1"/>
  <c r="F81" i="101" a="1"/>
  <c r="F81" i="101" s="1"/>
  <c r="F88" i="101" a="1"/>
  <c r="F88" i="101" s="1"/>
  <c r="F89" i="101" a="1"/>
  <c r="F89" i="101" s="1"/>
  <c r="F72" i="101" a="1"/>
  <c r="F72" i="101" s="1"/>
  <c r="F71" i="101" a="1"/>
  <c r="F71" i="101" s="1"/>
  <c r="F87" i="101" a="1"/>
  <c r="F87" i="101" s="1"/>
  <c r="F61" i="101" a="1"/>
  <c r="F61" i="101" s="1"/>
  <c r="F82" i="101" a="1"/>
  <c r="F82" i="101" s="1"/>
  <c r="F76" i="101" a="1"/>
  <c r="F76" i="101" s="1"/>
  <c r="F69" i="101" a="1"/>
  <c r="F69" i="101" s="1"/>
  <c r="F94" i="101" a="1"/>
  <c r="F94" i="101" s="1"/>
  <c r="F40" i="101" a="1"/>
  <c r="F40" i="101" s="1"/>
  <c r="F67" i="101" a="1"/>
  <c r="F67" i="101" s="1"/>
  <c r="F75" i="101" a="1"/>
  <c r="F75" i="101" s="1"/>
  <c r="F65" i="101" a="1"/>
  <c r="F65" i="101" s="1"/>
  <c r="F68" i="101" a="1"/>
  <c r="F68" i="101" s="1"/>
  <c r="F95" i="101" a="1"/>
  <c r="F95" i="101" s="1"/>
  <c r="DB15" i="81"/>
  <c r="DB14" i="81"/>
  <c r="DD13" i="81"/>
  <c r="DC13" i="81"/>
  <c r="AK20" i="73"/>
  <c r="AM20" i="73" s="1"/>
  <c r="AB117" i="62" s="1"/>
  <c r="DC13" i="73"/>
  <c r="DD13" i="73"/>
  <c r="AK21" i="73"/>
  <c r="AM21" i="73" s="1"/>
  <c r="AC117" i="62" s="1"/>
  <c r="BB109" i="16"/>
  <c r="BB76" i="16" s="1"/>
  <c r="AP76" i="16"/>
  <c r="BA76" i="16" s="1"/>
  <c r="BD109" i="16"/>
  <c r="BD76" i="16" s="1"/>
  <c r="AK24" i="73"/>
  <c r="AM24" i="73" s="1"/>
  <c r="AK25" i="73"/>
  <c r="AM25" i="73" s="1"/>
  <c r="AK22" i="73"/>
  <c r="AM22" i="73" s="1"/>
  <c r="DB15" i="82"/>
  <c r="DB14" i="82"/>
  <c r="DD13" i="82"/>
  <c r="DC13" i="82"/>
  <c r="AU76" i="16"/>
  <c r="BF109" i="16"/>
  <c r="AT76" i="16"/>
  <c r="BE109" i="16"/>
  <c r="AR76" i="16"/>
  <c r="BC109" i="16"/>
  <c r="AK26" i="66"/>
  <c r="AM26" i="66" s="1"/>
  <c r="AH110" i="62" s="1"/>
  <c r="BE70" i="16"/>
  <c r="AK25" i="66"/>
  <c r="AM25" i="66" s="1"/>
  <c r="AG110" i="62" s="1"/>
  <c r="BK103" i="16"/>
  <c r="BK70" i="16" s="1"/>
  <c r="BK65" i="16" s="1"/>
  <c r="AP70" i="16"/>
  <c r="BA70" i="16" s="1"/>
  <c r="BN103" i="16"/>
  <c r="BN70" i="16" s="1"/>
  <c r="BD103" i="16"/>
  <c r="AS70" i="16"/>
  <c r="BP103" i="16"/>
  <c r="BP70" i="16" s="1"/>
  <c r="AU70" i="16"/>
  <c r="BF70" i="16" s="1"/>
  <c r="BL103" i="16"/>
  <c r="BL70" i="16" s="1"/>
  <c r="AQ70" i="16"/>
  <c r="BB70" i="16" s="1"/>
  <c r="AK23" i="67"/>
  <c r="W13" i="66"/>
  <c r="AK20" i="66"/>
  <c r="AK24" i="74"/>
  <c r="AM24" i="74" s="1"/>
  <c r="AF118" i="62" s="1"/>
  <c r="AK28" i="74"/>
  <c r="AM28" i="74" s="1"/>
  <c r="AJ118" i="62" s="1"/>
  <c r="AK31" i="70"/>
  <c r="AM31" i="70" s="1"/>
  <c r="AM114" i="62" s="1"/>
  <c r="BB102" i="16"/>
  <c r="AQ69" i="16"/>
  <c r="BC102" i="16"/>
  <c r="AR69" i="16"/>
  <c r="BD102" i="16"/>
  <c r="AS69" i="16"/>
  <c r="BF102" i="16"/>
  <c r="AU69" i="16"/>
  <c r="BE102" i="16"/>
  <c r="AT69" i="16"/>
  <c r="BA102" i="16"/>
  <c r="AP69" i="16"/>
  <c r="AK22" i="74"/>
  <c r="AM22" i="74" s="1"/>
  <c r="AD118" i="62" s="1"/>
  <c r="AK21" i="74"/>
  <c r="AM21" i="74" s="1"/>
  <c r="AC118" i="62" s="1"/>
  <c r="AK29" i="73"/>
  <c r="AM29" i="73" s="1"/>
  <c r="AK27" i="73"/>
  <c r="AM27" i="73" s="1"/>
  <c r="AK22" i="72"/>
  <c r="AM22" i="72" s="1"/>
  <c r="AD116" i="62" s="1"/>
  <c r="AK21" i="72"/>
  <c r="AM21" i="72" s="1"/>
  <c r="AC116" i="62" s="1"/>
  <c r="AM27" i="72"/>
  <c r="AI116" i="62" s="1"/>
  <c r="AK31" i="72"/>
  <c r="AM31" i="72" s="1"/>
  <c r="AM116" i="62" s="1"/>
  <c r="DD13" i="71"/>
  <c r="AK27" i="71"/>
  <c r="AM27" i="71" s="1"/>
  <c r="AI115" i="62" s="1"/>
  <c r="AK24" i="70"/>
  <c r="AM24" i="70" s="1"/>
  <c r="AF114" i="62" s="1"/>
  <c r="AK29" i="70"/>
  <c r="AM29" i="70" s="1"/>
  <c r="AK114" i="62" s="1"/>
  <c r="AM27" i="70"/>
  <c r="AI114" i="62" s="1"/>
  <c r="AK26" i="70"/>
  <c r="AM26" i="70" s="1"/>
  <c r="AH114" i="62" s="1"/>
  <c r="AM28" i="69"/>
  <c r="AJ113" i="62" s="1"/>
  <c r="AQ71" i="16"/>
  <c r="BB104" i="16"/>
  <c r="AS71" i="16"/>
  <c r="BD104" i="16"/>
  <c r="AT71" i="16"/>
  <c r="BE104" i="16"/>
  <c r="AU71" i="16"/>
  <c r="BF104" i="16"/>
  <c r="AR71" i="16"/>
  <c r="BC104" i="16"/>
  <c r="AK27" i="66"/>
  <c r="AM27" i="66" s="1"/>
  <c r="AI110" i="62" s="1"/>
  <c r="AK22" i="18"/>
  <c r="AM22" i="18" s="1"/>
  <c r="AD109" i="62" s="1"/>
  <c r="CL13" i="18"/>
  <c r="CM13" i="18" s="1"/>
  <c r="CL14" i="18"/>
  <c r="CM14" i="18" s="1"/>
  <c r="AM23" i="68"/>
  <c r="AE112" i="62" s="1"/>
  <c r="AK24" i="68"/>
  <c r="AM24" i="68" s="1"/>
  <c r="AF112" i="62" s="1"/>
  <c r="AM27" i="68"/>
  <c r="AI112" i="62" s="1"/>
  <c r="AK31" i="74"/>
  <c r="AM31" i="74" s="1"/>
  <c r="AM118" i="62" s="1"/>
  <c r="AK29" i="74"/>
  <c r="AM29" i="74" s="1"/>
  <c r="AK118" i="62" s="1"/>
  <c r="AK26" i="74"/>
  <c r="AM26" i="74" s="1"/>
  <c r="AH118" i="62" s="1"/>
  <c r="BD77" i="16"/>
  <c r="BF77" i="16"/>
  <c r="BA77" i="16"/>
  <c r="BB77" i="16"/>
  <c r="BE77" i="16"/>
  <c r="AK23" i="74"/>
  <c r="AM23" i="74" s="1"/>
  <c r="AE118" i="62" s="1"/>
  <c r="AK31" i="73"/>
  <c r="AM31" i="73" s="1"/>
  <c r="AK23" i="73"/>
  <c r="AM23" i="73" s="1"/>
  <c r="AK26" i="73"/>
  <c r="AM26" i="73" s="1"/>
  <c r="AM28" i="72"/>
  <c r="AJ116" i="62" s="1"/>
  <c r="AM28" i="71"/>
  <c r="AJ115" i="62" s="1"/>
  <c r="AK29" i="71"/>
  <c r="AM29" i="71" s="1"/>
  <c r="AK115" i="62" s="1"/>
  <c r="AK25" i="71"/>
  <c r="AM25" i="71" s="1"/>
  <c r="AG115" i="62" s="1"/>
  <c r="BA73" i="16"/>
  <c r="AM22" i="70"/>
  <c r="AD114" i="62" s="1"/>
  <c r="AK25" i="70"/>
  <c r="AM25" i="70" s="1"/>
  <c r="AG114" i="62" s="1"/>
  <c r="AK21" i="70"/>
  <c r="AM21" i="70" s="1"/>
  <c r="AC114" i="62" s="1"/>
  <c r="AM30" i="70"/>
  <c r="AL114" i="62" s="1"/>
  <c r="AM25" i="69"/>
  <c r="AG113" i="62" s="1"/>
  <c r="AK30" i="69"/>
  <c r="AK21" i="69"/>
  <c r="AM21" i="69" s="1"/>
  <c r="AC113" i="62" s="1"/>
  <c r="AK31" i="69"/>
  <c r="AM31" i="69" s="1"/>
  <c r="AM113" i="62" s="1"/>
  <c r="AK27" i="67"/>
  <c r="AM27" i="67" s="1"/>
  <c r="AI111" i="62" s="1"/>
  <c r="AM28" i="67"/>
  <c r="AJ111" i="62" s="1"/>
  <c r="AM24" i="67"/>
  <c r="AF111" i="62" s="1"/>
  <c r="AM26" i="67"/>
  <c r="AH111" i="62" s="1"/>
  <c r="AK22" i="67"/>
  <c r="AM22" i="67" s="1"/>
  <c r="AD111" i="62" s="1"/>
  <c r="AK31" i="67"/>
  <c r="AK31" i="66"/>
  <c r="AM31" i="66" s="1"/>
  <c r="AM110" i="62" s="1"/>
  <c r="AK29" i="66"/>
  <c r="AM29" i="66" s="1"/>
  <c r="AK110" i="62" s="1"/>
  <c r="BA72" i="16"/>
  <c r="AW65" i="16"/>
  <c r="AW54" i="16" s="1"/>
  <c r="AK5" i="16"/>
  <c r="AK25" i="18"/>
  <c r="AK26" i="18"/>
  <c r="AK20" i="18"/>
  <c r="AR68" i="16"/>
  <c r="BM101" i="16"/>
  <c r="BM68" i="16" s="1"/>
  <c r="AU68" i="16"/>
  <c r="BP101" i="16"/>
  <c r="BP68" i="16" s="1"/>
  <c r="AK30" i="18"/>
  <c r="AK28" i="66"/>
  <c r="AM28" i="66" s="1"/>
  <c r="AJ110" i="62" s="1"/>
  <c r="AK31" i="18"/>
  <c r="AK28" i="18"/>
  <c r="AM28" i="18" s="1"/>
  <c r="AJ109" i="62" s="1"/>
  <c r="AM30" i="66"/>
  <c r="AL110" i="62" s="1"/>
  <c r="AK22" i="66"/>
  <c r="AM22" i="66" s="1"/>
  <c r="AK23" i="66"/>
  <c r="AM23" i="66" s="1"/>
  <c r="AE110" i="62" s="1"/>
  <c r="AK21" i="18"/>
  <c r="AK24" i="18"/>
  <c r="AK29" i="18"/>
  <c r="AK27" i="18"/>
  <c r="AM27" i="18" s="1"/>
  <c r="AI109" i="62" s="1"/>
  <c r="AT68" i="16"/>
  <c r="AP68" i="16"/>
  <c r="BA101" i="16"/>
  <c r="AQ68" i="16"/>
  <c r="BB101" i="16"/>
  <c r="BD101" i="16"/>
  <c r="AS68" i="16"/>
  <c r="BE101" i="16"/>
  <c r="BC101" i="16"/>
  <c r="AX66" i="16"/>
  <c r="AX63" i="16" s="1"/>
  <c r="BF101" i="16"/>
  <c r="BY5" i="16"/>
  <c r="P8" i="64" s="1"/>
  <c r="BB107" i="16"/>
  <c r="BE35" i="16"/>
  <c r="F10" i="63" s="1"/>
  <c r="BD35" i="16"/>
  <c r="BC36" i="16" s="1"/>
  <c r="F9" i="63" s="1"/>
  <c r="AL35" i="16"/>
  <c r="AK35" i="16" s="1"/>
  <c r="BY7" i="16"/>
  <c r="P10" i="64" s="1"/>
  <c r="C8" i="63"/>
  <c r="AL30" i="18"/>
  <c r="AL24" i="18"/>
  <c r="AL26" i="18"/>
  <c r="AM29" i="72"/>
  <c r="AK116" i="62" s="1"/>
  <c r="AD25" i="19"/>
  <c r="AE25" i="19" s="1"/>
  <c r="AD24" i="19"/>
  <c r="AE24" i="19" s="1"/>
  <c r="AL25" i="18"/>
  <c r="AC2" i="62"/>
  <c r="AL29" i="18"/>
  <c r="AD26" i="19"/>
  <c r="AE26" i="19" s="1"/>
  <c r="AL31" i="18"/>
  <c r="AD28" i="19"/>
  <c r="AE28" i="19" s="1"/>
  <c r="O37" i="64"/>
  <c r="I28" i="63" s="1"/>
  <c r="AM26" i="72"/>
  <c r="AH116" i="62" s="1"/>
  <c r="BM36" i="62"/>
  <c r="B13" i="62" s="1"/>
  <c r="H13" i="17" s="1"/>
  <c r="D13" i="17" s="1"/>
  <c r="AK14" i="15" s="1"/>
  <c r="O139" i="62"/>
  <c r="N139" i="62"/>
  <c r="AM24" i="72"/>
  <c r="AF116" i="62" s="1"/>
  <c r="AI36" i="62"/>
  <c r="B8" i="62" s="1"/>
  <c r="H8" i="17" s="1"/>
  <c r="D8" i="17" s="1"/>
  <c r="AK9" i="15" s="1"/>
  <c r="W36" i="62"/>
  <c r="B6" i="62" s="1"/>
  <c r="H6" i="17" s="1"/>
  <c r="AC53" i="17"/>
  <c r="J7" i="17"/>
  <c r="I7" i="17" s="1"/>
  <c r="AC36" i="62"/>
  <c r="B7" i="62" s="1"/>
  <c r="H7" i="17" s="1"/>
  <c r="I109" i="62"/>
  <c r="I139" i="62" s="1"/>
  <c r="AK23" i="18"/>
  <c r="AF25" i="69"/>
  <c r="AE25" i="69"/>
  <c r="AG25" i="69"/>
  <c r="H14" i="64"/>
  <c r="I14" i="64"/>
  <c r="BX10" i="5"/>
  <c r="H66" i="7"/>
  <c r="CD10" i="5"/>
  <c r="I9" i="64"/>
  <c r="H9" i="64"/>
  <c r="D37" i="64"/>
  <c r="I66" i="7"/>
  <c r="CE10" i="5"/>
  <c r="BY10" i="5"/>
  <c r="CP10" i="5"/>
  <c r="S66" i="7"/>
  <c r="CZ10" i="5"/>
  <c r="CB10" i="5"/>
  <c r="F66" i="7"/>
  <c r="AX10" i="5"/>
  <c r="DE10" i="5" s="1"/>
  <c r="BV10" i="5"/>
  <c r="CK10" i="5"/>
  <c r="N66" i="7"/>
  <c r="CU10" i="5"/>
  <c r="I10" i="64"/>
  <c r="H10" i="64"/>
  <c r="I36" i="64"/>
  <c r="H36" i="64"/>
  <c r="U11" i="15"/>
  <c r="V11" i="15" s="1"/>
  <c r="CJ10" i="5"/>
  <c r="CT10" i="5"/>
  <c r="M66" i="7"/>
  <c r="G15" i="15"/>
  <c r="K15" i="15"/>
  <c r="H15" i="15"/>
  <c r="T15" i="15"/>
  <c r="I15" i="15"/>
  <c r="F15" i="15"/>
  <c r="L15" i="15"/>
  <c r="C14" i="17"/>
  <c r="E15" i="15"/>
  <c r="J15" i="15"/>
  <c r="W15" i="15"/>
  <c r="CI10" i="5"/>
  <c r="CS10" i="5"/>
  <c r="L66" i="7"/>
  <c r="F14" i="15"/>
  <c r="H14" i="15"/>
  <c r="E14" i="15"/>
  <c r="T14" i="15"/>
  <c r="L14" i="15"/>
  <c r="I14" i="15"/>
  <c r="C13" i="17"/>
  <c r="G14" i="15"/>
  <c r="J14" i="15"/>
  <c r="K14" i="15"/>
  <c r="W14" i="15"/>
  <c r="C5" i="17"/>
  <c r="K6" i="15"/>
  <c r="T6" i="15"/>
  <c r="L6" i="15"/>
  <c r="CX10" i="5"/>
  <c r="Q66" i="7"/>
  <c r="CN10" i="5"/>
  <c r="G66" i="7"/>
  <c r="BW10" i="5"/>
  <c r="CC10" i="5"/>
  <c r="CV10" i="5"/>
  <c r="CL10" i="5"/>
  <c r="O66" i="7"/>
  <c r="G9" i="15"/>
  <c r="C8" i="17"/>
  <c r="J9" i="15"/>
  <c r="F9" i="15"/>
  <c r="E9" i="15"/>
  <c r="T9" i="15"/>
  <c r="L9" i="15"/>
  <c r="H9" i="15"/>
  <c r="W9" i="15"/>
  <c r="I9" i="15"/>
  <c r="K9" i="15"/>
  <c r="H31" i="64"/>
  <c r="I31" i="64"/>
  <c r="CY10" i="5"/>
  <c r="R66" i="7"/>
  <c r="CO10" i="5"/>
  <c r="P26" i="71"/>
  <c r="P26" i="68"/>
  <c r="P26" i="66"/>
  <c r="P26" i="67"/>
  <c r="AQ70" i="62"/>
  <c r="P26" i="72"/>
  <c r="P26" i="73"/>
  <c r="P26" i="74"/>
  <c r="P26" i="69"/>
  <c r="C27" i="17"/>
  <c r="P26" i="70"/>
  <c r="P23" i="19"/>
  <c r="T66" i="7"/>
  <c r="CQ10" i="5"/>
  <c r="DA10" i="5"/>
  <c r="H12" i="15"/>
  <c r="G12" i="15"/>
  <c r="I12" i="15"/>
  <c r="J12" i="15"/>
  <c r="W12" i="15"/>
  <c r="L12" i="15"/>
  <c r="K12" i="15"/>
  <c r="T12" i="15"/>
  <c r="E12" i="15"/>
  <c r="F12" i="15"/>
  <c r="C11" i="17"/>
  <c r="BI10" i="5"/>
  <c r="K66" i="7"/>
  <c r="CH10" i="5"/>
  <c r="CR10" i="5"/>
  <c r="H29" i="64"/>
  <c r="I29" i="64"/>
  <c r="H13" i="15"/>
  <c r="G13" i="15"/>
  <c r="K13" i="15"/>
  <c r="I13" i="15"/>
  <c r="E13" i="15"/>
  <c r="J13" i="15"/>
  <c r="T13" i="15"/>
  <c r="W13" i="15"/>
  <c r="F13" i="15"/>
  <c r="C12" i="17"/>
  <c r="L13" i="15"/>
  <c r="H12" i="64"/>
  <c r="I12" i="64"/>
  <c r="BO10" i="5"/>
  <c r="P66" i="7"/>
  <c r="CW10" i="5"/>
  <c r="CM10" i="5"/>
  <c r="BZ10" i="5"/>
  <c r="J66" i="7"/>
  <c r="CF10" i="5"/>
  <c r="BG36" i="62"/>
  <c r="B12" i="62" s="1"/>
  <c r="H12" i="17" s="1"/>
  <c r="D12" i="17" s="1"/>
  <c r="AK13" i="15" s="1"/>
  <c r="BA36" i="62"/>
  <c r="B11" i="62" s="1"/>
  <c r="H11" i="17" s="1"/>
  <c r="D11" i="17" s="1"/>
  <c r="C12" i="63"/>
  <c r="E12" i="63" s="1"/>
  <c r="AU53" i="16"/>
  <c r="C14" i="63"/>
  <c r="AV53" i="16"/>
  <c r="AV54" i="16" s="1"/>
  <c r="D26" i="18" s="1"/>
  <c r="C13" i="63"/>
  <c r="E13" i="63" s="1"/>
  <c r="C15" i="63"/>
  <c r="E15" i="63" s="1"/>
  <c r="AL30" i="69"/>
  <c r="P139" i="62"/>
  <c r="AL24" i="69"/>
  <c r="J139" i="62"/>
  <c r="AL26" i="68"/>
  <c r="AM26" i="68" s="1"/>
  <c r="AH112" i="62" s="1"/>
  <c r="L139" i="62"/>
  <c r="AO36" i="62"/>
  <c r="B9" i="62" s="1"/>
  <c r="H9" i="17" s="1"/>
  <c r="D9" i="17" s="1"/>
  <c r="Q139" i="62"/>
  <c r="AL31" i="67"/>
  <c r="BS36" i="62"/>
  <c r="B14" i="62" s="1"/>
  <c r="H14" i="17" s="1"/>
  <c r="D14" i="17" s="1"/>
  <c r="C11" i="63"/>
  <c r="AT53" i="16"/>
  <c r="C10" i="63"/>
  <c r="AS53" i="16"/>
  <c r="BY36" i="62"/>
  <c r="B15" i="62" s="1"/>
  <c r="H15" i="17" s="1"/>
  <c r="D15" i="17" s="1"/>
  <c r="AL27" i="69"/>
  <c r="AM27" i="69" s="1"/>
  <c r="AI113" i="62" s="1"/>
  <c r="M139" i="62"/>
  <c r="AL22" i="68"/>
  <c r="AM22" i="68" s="1"/>
  <c r="AD112" i="62" s="1"/>
  <c r="AU36" i="62"/>
  <c r="B10" i="62" s="1"/>
  <c r="H10" i="17" s="1"/>
  <c r="D10" i="17" s="1"/>
  <c r="AL25" i="67"/>
  <c r="AM25" i="67" s="1"/>
  <c r="AG111" i="62" s="1"/>
  <c r="K139" i="62"/>
  <c r="C7" i="63"/>
  <c r="E7" i="63"/>
  <c r="H7" i="63"/>
  <c r="I7" i="63"/>
  <c r="J7" i="63" s="1"/>
  <c r="C9" i="63"/>
  <c r="AR53" i="16"/>
  <c r="AL23" i="67"/>
  <c r="L6" i="63"/>
  <c r="CT8" i="5" l="1"/>
  <c r="CF8" i="5"/>
  <c r="CN8" i="5"/>
  <c r="F64" i="7"/>
  <c r="AS20" i="5"/>
  <c r="CH8" i="5"/>
  <c r="CW8" i="5"/>
  <c r="BX8" i="5"/>
  <c r="AD19" i="19"/>
  <c r="AE19" i="19" s="1"/>
  <c r="H139" i="62"/>
  <c r="F70" i="101" a="1"/>
  <c r="F70" i="101" s="1"/>
  <c r="F85" i="101" a="1"/>
  <c r="F85" i="101" s="1"/>
  <c r="F41" i="101" a="1"/>
  <c r="F41" i="101" s="1"/>
  <c r="F66" i="101" a="1"/>
  <c r="F66" i="101" s="1"/>
  <c r="F92" i="101" a="1"/>
  <c r="F92" i="101" s="1"/>
  <c r="F63" i="101" a="1"/>
  <c r="F63" i="101" s="1"/>
  <c r="F96" i="101" a="1"/>
  <c r="F96" i="101" s="1"/>
  <c r="F77" i="101" a="1"/>
  <c r="F77" i="101" s="1"/>
  <c r="F59" i="101" a="1"/>
  <c r="F59" i="101" s="1"/>
  <c r="F37" i="101" a="1"/>
  <c r="F37" i="101" s="1"/>
  <c r="F64" i="101" a="1"/>
  <c r="F64" i="101" s="1"/>
  <c r="F21" i="63"/>
  <c r="BA5" i="101"/>
  <c r="J14" i="101" s="1" a="1"/>
  <c r="J14" i="101" s="1"/>
  <c r="BJ5" i="101"/>
  <c r="N28" i="101" s="1" a="1"/>
  <c r="N28" i="101" s="1"/>
  <c r="BU5" i="101"/>
  <c r="M7" i="101" s="1" a="1"/>
  <c r="M7" i="101" s="1"/>
  <c r="AZ5" i="101"/>
  <c r="I13" i="101" s="1" a="1"/>
  <c r="I13" i="101" s="1"/>
  <c r="BL5" i="101"/>
  <c r="P9" i="101" s="1" a="1"/>
  <c r="P9" i="101" s="1"/>
  <c r="BB5" i="101"/>
  <c r="K21" i="101" s="1" a="1"/>
  <c r="K21" i="101" s="1"/>
  <c r="BK5" i="101"/>
  <c r="O20" i="101" s="1" a="1"/>
  <c r="O20" i="101" s="1"/>
  <c r="BT5" i="101"/>
  <c r="H6" i="101" s="1" a="1"/>
  <c r="H6" i="101" s="1"/>
  <c r="BA37" i="101"/>
  <c r="BL37" i="101"/>
  <c r="BJ37" i="101"/>
  <c r="BK37" i="101"/>
  <c r="BU37" i="101"/>
  <c r="BT37" i="101"/>
  <c r="AZ37" i="101"/>
  <c r="BB37" i="101"/>
  <c r="BA38" i="101"/>
  <c r="J79" i="101" s="1" a="1"/>
  <c r="J79" i="101" s="1"/>
  <c r="BJ38" i="101"/>
  <c r="N94" i="101" s="1" a="1"/>
  <c r="N94" i="101" s="1"/>
  <c r="AZ38" i="101"/>
  <c r="I88" i="101" s="1" a="1"/>
  <c r="I88" i="101" s="1"/>
  <c r="BL38" i="101"/>
  <c r="BK38" i="101"/>
  <c r="BU38" i="101"/>
  <c r="M80" i="101" s="1" a="1"/>
  <c r="M80" i="101" s="1"/>
  <c r="BT38" i="101"/>
  <c r="BB38" i="101"/>
  <c r="M8" i="101" a="1"/>
  <c r="M8" i="101" s="1"/>
  <c r="M27" i="101" a="1"/>
  <c r="M27" i="101" s="1"/>
  <c r="M26" i="101" a="1"/>
  <c r="M26" i="101" s="1"/>
  <c r="CG7" i="5"/>
  <c r="CA7" i="5"/>
  <c r="AE17" i="19"/>
  <c r="F139" i="62"/>
  <c r="U5" i="15"/>
  <c r="V5" i="15" s="1"/>
  <c r="BY7" i="101"/>
  <c r="BX7" i="101"/>
  <c r="J7" i="101" a="1"/>
  <c r="J7" i="101" s="1"/>
  <c r="J9" i="101" a="1"/>
  <c r="J9" i="101" s="1"/>
  <c r="J18" i="101" a="1"/>
  <c r="J18" i="101" s="1"/>
  <c r="J33" i="101" a="1"/>
  <c r="J33" i="101" s="1"/>
  <c r="J26" i="101" a="1"/>
  <c r="J26" i="101" s="1"/>
  <c r="J15" i="101" a="1"/>
  <c r="J15" i="101" s="1"/>
  <c r="J22" i="101" a="1"/>
  <c r="J22" i="101" s="1"/>
  <c r="J17" i="101" a="1"/>
  <c r="J17" i="101" s="1"/>
  <c r="J13" i="101" a="1"/>
  <c r="J13" i="101" s="1"/>
  <c r="J8" i="101" a="1"/>
  <c r="J8" i="101" s="1"/>
  <c r="J6" i="101" a="1"/>
  <c r="J6" i="101" s="1"/>
  <c r="J21" i="101" a="1"/>
  <c r="J21" i="101" s="1"/>
  <c r="J28" i="101" a="1"/>
  <c r="J28" i="101" s="1"/>
  <c r="J4" i="101" a="1"/>
  <c r="J4" i="101" s="1"/>
  <c r="J12" i="101" a="1"/>
  <c r="J12" i="101" s="1"/>
  <c r="K8" i="101" a="1"/>
  <c r="K8" i="101" s="1"/>
  <c r="K23" i="101" a="1"/>
  <c r="K23" i="101" s="1"/>
  <c r="K10" i="101" a="1"/>
  <c r="K10" i="101" s="1"/>
  <c r="K18" i="101" a="1"/>
  <c r="K18" i="101" s="1"/>
  <c r="K13" i="101" a="1"/>
  <c r="K13" i="101" s="1"/>
  <c r="K25" i="101" a="1"/>
  <c r="K25" i="101" s="1"/>
  <c r="K29" i="101" a="1"/>
  <c r="K29" i="101" s="1"/>
  <c r="N30" i="101" a="1"/>
  <c r="N30" i="101" s="1"/>
  <c r="N33" i="101" a="1"/>
  <c r="N33" i="101" s="1"/>
  <c r="N31" i="101" a="1"/>
  <c r="N31" i="101" s="1"/>
  <c r="N23" i="101" a="1"/>
  <c r="N23" i="101" s="1"/>
  <c r="N11" i="101" a="1"/>
  <c r="N11" i="101" s="1"/>
  <c r="N22" i="101" a="1"/>
  <c r="N22" i="101" s="1"/>
  <c r="N21" i="101" a="1"/>
  <c r="N21" i="101" s="1"/>
  <c r="N7" i="101" a="1"/>
  <c r="N7" i="101" s="1"/>
  <c r="N32" i="101" a="1"/>
  <c r="N32" i="101" s="1"/>
  <c r="N6" i="101" a="1"/>
  <c r="N6" i="101" s="1"/>
  <c r="N29" i="101" a="1"/>
  <c r="N29" i="101" s="1"/>
  <c r="O25" i="101" a="1"/>
  <c r="O25" i="101" s="1"/>
  <c r="O33" i="101" a="1"/>
  <c r="O33" i="101" s="1"/>
  <c r="O14" i="101" a="1"/>
  <c r="O14" i="101" s="1"/>
  <c r="O23" i="101" a="1"/>
  <c r="O23" i="101" s="1"/>
  <c r="O16" i="101" a="1"/>
  <c r="O16" i="101" s="1"/>
  <c r="O4" i="101" a="1"/>
  <c r="O4" i="101" s="1"/>
  <c r="P5" i="101" a="1"/>
  <c r="P5" i="101" s="1"/>
  <c r="P29" i="101" a="1"/>
  <c r="P29" i="101" s="1"/>
  <c r="P23" i="101" a="1"/>
  <c r="P23" i="101" s="1"/>
  <c r="P32" i="101" a="1"/>
  <c r="P32" i="101" s="1"/>
  <c r="P6" i="101" a="1"/>
  <c r="P6" i="101" s="1"/>
  <c r="P14" i="101" a="1"/>
  <c r="P14" i="101" s="1"/>
  <c r="P20" i="101" a="1"/>
  <c r="P20" i="101" s="1"/>
  <c r="P30" i="101" a="1"/>
  <c r="P30" i="101" s="1"/>
  <c r="P24" i="101" a="1"/>
  <c r="P24" i="101" s="1"/>
  <c r="P12" i="101" a="1"/>
  <c r="P12" i="101" s="1"/>
  <c r="P15" i="101" a="1"/>
  <c r="P15" i="101" s="1"/>
  <c r="P26" i="101" a="1"/>
  <c r="P26" i="101" s="1"/>
  <c r="I29" i="101" a="1"/>
  <c r="I29" i="101" s="1"/>
  <c r="I30" i="101" a="1"/>
  <c r="I30" i="101" s="1"/>
  <c r="I12" i="101" a="1"/>
  <c r="I12" i="101" s="1"/>
  <c r="I6" i="101" a="1"/>
  <c r="I6" i="101" s="1"/>
  <c r="I21" i="101" a="1"/>
  <c r="I21" i="101" s="1"/>
  <c r="I9" i="101" a="1"/>
  <c r="I9" i="101" s="1"/>
  <c r="I18" i="101" a="1"/>
  <c r="I18" i="101" s="1"/>
  <c r="I31" i="101" a="1"/>
  <c r="I31" i="101" s="1"/>
  <c r="I33" i="101" a="1"/>
  <c r="I33" i="101" s="1"/>
  <c r="I4" i="101" a="1"/>
  <c r="I4" i="101" s="1"/>
  <c r="I7" i="101" a="1"/>
  <c r="I7" i="101" s="1"/>
  <c r="I22" i="101" a="1"/>
  <c r="I22" i="101" s="1"/>
  <c r="BB74" i="16"/>
  <c r="BN65" i="16"/>
  <c r="BA74" i="16"/>
  <c r="BG20" i="5"/>
  <c r="BG28" i="5" s="1"/>
  <c r="N77" i="7" s="1"/>
  <c r="G139" i="62"/>
  <c r="AD18" i="19"/>
  <c r="AE18" i="19" s="1"/>
  <c r="AL20" i="18"/>
  <c r="AM20" i="18" s="1"/>
  <c r="AB109" i="62" s="1"/>
  <c r="E11" i="63"/>
  <c r="AE25" i="71"/>
  <c r="CD5" i="5"/>
  <c r="BX5" i="5"/>
  <c r="H61" i="7"/>
  <c r="BY5" i="5"/>
  <c r="I61" i="7"/>
  <c r="CE5" i="5"/>
  <c r="AV20" i="5"/>
  <c r="AT48" i="5" s="1"/>
  <c r="BZ5" i="5"/>
  <c r="BZ20" i="5" s="1"/>
  <c r="BZ21" i="5" s="1"/>
  <c r="BZ22" i="5" s="1"/>
  <c r="J61" i="7"/>
  <c r="J76" i="7" s="1"/>
  <c r="CF5" i="5"/>
  <c r="CF20" i="5" s="1"/>
  <c r="AU49" i="5" s="1"/>
  <c r="CV5" i="5"/>
  <c r="CL5" i="5"/>
  <c r="O61" i="7"/>
  <c r="O76" i="7" s="1"/>
  <c r="CZ5" i="5"/>
  <c r="CP5" i="5"/>
  <c r="S61" i="7"/>
  <c r="S76" i="7" s="1"/>
  <c r="N61" i="7"/>
  <c r="CU5" i="5"/>
  <c r="CK5" i="5"/>
  <c r="T61" i="7"/>
  <c r="DA5" i="5"/>
  <c r="CQ5" i="5"/>
  <c r="CN5" i="5"/>
  <c r="CN20" i="5" s="1"/>
  <c r="Q61" i="7"/>
  <c r="CX5" i="5"/>
  <c r="AW20" i="5"/>
  <c r="AU48" i="5" s="1"/>
  <c r="CT5" i="5"/>
  <c r="CT20" i="5" s="1"/>
  <c r="CJ5" i="5"/>
  <c r="CJ20" i="5" s="1"/>
  <c r="M61" i="7"/>
  <c r="M76" i="7" s="1"/>
  <c r="AE25" i="74"/>
  <c r="DG5" i="5"/>
  <c r="CO5" i="5"/>
  <c r="CO20" i="5" s="1"/>
  <c r="CY5" i="5"/>
  <c r="R61" i="7"/>
  <c r="R76" i="7" s="1"/>
  <c r="CS5" i="5"/>
  <c r="CI5" i="5"/>
  <c r="CI20" i="5" s="1"/>
  <c r="L61" i="7"/>
  <c r="L76" i="7" s="1"/>
  <c r="CM5" i="5"/>
  <c r="CM20" i="5" s="1"/>
  <c r="BO5" i="5"/>
  <c r="P61" i="7"/>
  <c r="P76" i="7" s="1"/>
  <c r="CW5" i="5"/>
  <c r="G61" i="7"/>
  <c r="G76" i="7" s="1"/>
  <c r="BW5" i="5"/>
  <c r="BW20" i="5" s="1"/>
  <c r="BW21" i="5" s="1"/>
  <c r="BW22" i="5" s="1"/>
  <c r="CC5" i="5"/>
  <c r="BJ20" i="5"/>
  <c r="BJ28" i="5" s="1"/>
  <c r="P77" i="7" s="1"/>
  <c r="CH5" i="5"/>
  <c r="CH20" i="5" s="1"/>
  <c r="K61" i="7"/>
  <c r="CR5" i="5"/>
  <c r="CR20" i="5" s="1"/>
  <c r="BI5" i="5"/>
  <c r="AT20" i="5"/>
  <c r="AR48" i="5" s="1"/>
  <c r="CB5" i="5"/>
  <c r="AX5" i="5"/>
  <c r="AX21" i="5" s="1"/>
  <c r="F61" i="7"/>
  <c r="F76" i="7" s="1"/>
  <c r="BV5" i="5"/>
  <c r="BV20" i="5" s="1"/>
  <c r="BY8" i="5"/>
  <c r="BI8" i="5"/>
  <c r="CB8" i="5"/>
  <c r="CK8" i="5"/>
  <c r="AU20" i="5"/>
  <c r="BH20" i="5"/>
  <c r="BH28" i="5" s="1"/>
  <c r="O77" i="7" s="1"/>
  <c r="BE20" i="5"/>
  <c r="BE28" i="5" s="1"/>
  <c r="L77" i="7" s="1"/>
  <c r="CX8" i="5"/>
  <c r="CR8" i="5"/>
  <c r="AF25" i="73"/>
  <c r="CY8" i="5"/>
  <c r="D7" i="17"/>
  <c r="AK8" i="15" s="1"/>
  <c r="W8" i="15" s="1"/>
  <c r="D4" i="17"/>
  <c r="F4" i="17" s="1"/>
  <c r="Q20" i="18" s="1"/>
  <c r="S11" i="102" s="1"/>
  <c r="AG25" i="73"/>
  <c r="CC20" i="5"/>
  <c r="CC21" i="5" s="1"/>
  <c r="CC22" i="5" s="1"/>
  <c r="BO8" i="5"/>
  <c r="AF25" i="74"/>
  <c r="DA8" i="5"/>
  <c r="T64" i="7"/>
  <c r="CQ8" i="5"/>
  <c r="I64" i="7"/>
  <c r="CE8" i="5"/>
  <c r="Q76" i="7"/>
  <c r="N64" i="7"/>
  <c r="CU8" i="5"/>
  <c r="AF25" i="72"/>
  <c r="CV8" i="5"/>
  <c r="CL8" i="5"/>
  <c r="CP8" i="5"/>
  <c r="H64" i="7"/>
  <c r="CD8" i="5"/>
  <c r="CS8" i="5"/>
  <c r="BM20" i="5"/>
  <c r="BM28" i="5" s="1"/>
  <c r="S77" i="7" s="1"/>
  <c r="BN20" i="5"/>
  <c r="BN28" i="5" s="1"/>
  <c r="T77" i="7" s="1"/>
  <c r="CZ8" i="5"/>
  <c r="BM65" i="16"/>
  <c r="DD13" i="69"/>
  <c r="P37" i="64"/>
  <c r="I29" i="63" s="1"/>
  <c r="I30" i="63" s="1"/>
  <c r="AM20" i="66"/>
  <c r="AB110" i="62" s="1"/>
  <c r="AM24" i="69"/>
  <c r="AF113" i="62" s="1"/>
  <c r="D6" i="17"/>
  <c r="AK7" i="15" s="1"/>
  <c r="AL7" i="15" s="1"/>
  <c r="AF7" i="16" s="1"/>
  <c r="D5" i="17"/>
  <c r="AK6" i="15" s="1"/>
  <c r="W6" i="15" s="1"/>
  <c r="AF25" i="71"/>
  <c r="DG7" i="5"/>
  <c r="DE7" i="5"/>
  <c r="AG25" i="72"/>
  <c r="DG8" i="5"/>
  <c r="DE8" i="5"/>
  <c r="CA6" i="5"/>
  <c r="CA8" i="5"/>
  <c r="DG6" i="5"/>
  <c r="DE6" i="5"/>
  <c r="DG10" i="5"/>
  <c r="K76" i="7"/>
  <c r="BX20" i="5"/>
  <c r="CG6" i="5"/>
  <c r="DD13" i="66"/>
  <c r="AW42" i="5"/>
  <c r="I24" i="6"/>
  <c r="AW43" i="5" s="1"/>
  <c r="AW62" i="5" s="1"/>
  <c r="O26" i="17"/>
  <c r="AF25" i="68"/>
  <c r="S26" i="17"/>
  <c r="AF25" i="67"/>
  <c r="BY70" i="62"/>
  <c r="AG25" i="67"/>
  <c r="D24" i="6"/>
  <c r="AR43" i="5" s="1"/>
  <c r="AR62" i="5" s="1"/>
  <c r="AR65" i="5" s="1"/>
  <c r="AX53" i="5"/>
  <c r="AX31" i="5" s="1"/>
  <c r="J72" i="6"/>
  <c r="C23" i="6"/>
  <c r="Y22" i="19"/>
  <c r="E24" i="6"/>
  <c r="AS43" i="5" s="1"/>
  <c r="AS62" i="5" s="1"/>
  <c r="AS65" i="5" s="1"/>
  <c r="W22" i="19"/>
  <c r="F24" i="6"/>
  <c r="AT43" i="5" s="1"/>
  <c r="AT62" i="5" s="1"/>
  <c r="AT65" i="5" s="1"/>
  <c r="AF25" i="66"/>
  <c r="AG25" i="66"/>
  <c r="AV63" i="5"/>
  <c r="AV66" i="5" s="1"/>
  <c r="AV73" i="5" s="1"/>
  <c r="AV75" i="5" s="1"/>
  <c r="U26" i="17"/>
  <c r="W26" i="17"/>
  <c r="K26" i="17"/>
  <c r="P26" i="17"/>
  <c r="T26" i="17"/>
  <c r="AE25" i="68"/>
  <c r="N26" i="17"/>
  <c r="Q26" i="17"/>
  <c r="R26" i="17"/>
  <c r="V26" i="17"/>
  <c r="M26" i="17"/>
  <c r="J26" i="17"/>
  <c r="AG25" i="18"/>
  <c r="AG25" i="70"/>
  <c r="AF25" i="70"/>
  <c r="AE25" i="18"/>
  <c r="AG25" i="94"/>
  <c r="AE25" i="94"/>
  <c r="AF25" i="94"/>
  <c r="AG25" i="83"/>
  <c r="AE25" i="83"/>
  <c r="AF25" i="83"/>
  <c r="AG25" i="88"/>
  <c r="AE25" i="88"/>
  <c r="AF25" i="88"/>
  <c r="P29" i="18"/>
  <c r="P29" i="92"/>
  <c r="P29" i="93"/>
  <c r="P29" i="94"/>
  <c r="P29" i="98"/>
  <c r="P29" i="86"/>
  <c r="P29" i="89"/>
  <c r="P29" i="84"/>
  <c r="P29" i="82"/>
  <c r="P29" i="87"/>
  <c r="P29" i="91"/>
  <c r="P29" i="88"/>
  <c r="P29" i="95"/>
  <c r="P29" i="99"/>
  <c r="P29" i="96"/>
  <c r="P29" i="100"/>
  <c r="P29" i="97"/>
  <c r="P29" i="83"/>
  <c r="P29" i="90"/>
  <c r="P29" i="85"/>
  <c r="P29" i="81"/>
  <c r="AG25" i="91"/>
  <c r="AF25" i="91"/>
  <c r="AE25" i="91"/>
  <c r="AG26" i="86"/>
  <c r="AE26" i="86"/>
  <c r="AF26" i="86"/>
  <c r="AG25" i="98"/>
  <c r="AE25" i="98"/>
  <c r="AF25" i="98"/>
  <c r="AO81" i="62"/>
  <c r="AL72" i="62"/>
  <c r="AN83" i="62"/>
  <c r="AP91" i="62"/>
  <c r="AM99" i="62"/>
  <c r="AN90" i="62"/>
  <c r="AN95" i="62"/>
  <c r="AM81" i="62"/>
  <c r="AN72" i="62"/>
  <c r="AO91" i="62"/>
  <c r="AK101" i="62"/>
  <c r="AM82" i="62"/>
  <c r="AP76" i="62"/>
  <c r="AO80" i="62"/>
  <c r="AM98" i="62"/>
  <c r="AN93" i="62"/>
  <c r="AL75" i="62"/>
  <c r="AN86" i="62"/>
  <c r="AN74" i="62"/>
  <c r="AL101" i="62"/>
  <c r="AM79" i="62"/>
  <c r="AO75" i="62"/>
  <c r="AL92" i="62"/>
  <c r="AN89" i="62"/>
  <c r="AK98" i="62"/>
  <c r="AO98" i="62"/>
  <c r="AM93" i="62"/>
  <c r="AO93" i="62"/>
  <c r="AK72" i="62"/>
  <c r="AK82" i="62"/>
  <c r="AP83" i="62"/>
  <c r="AN97" i="62"/>
  <c r="AN92" i="62"/>
  <c r="AN87" i="62"/>
  <c r="AL97" i="62"/>
  <c r="AP88" i="62"/>
  <c r="AO83" i="62"/>
  <c r="AK88" i="62"/>
  <c r="AK86" i="62"/>
  <c r="AP73" i="62"/>
  <c r="AK92" i="62"/>
  <c r="AP75" i="62"/>
  <c r="AM77" i="62"/>
  <c r="AM76" i="62"/>
  <c r="AM92" i="62"/>
  <c r="AP89" i="62"/>
  <c r="AL87" i="62"/>
  <c r="AM94" i="62"/>
  <c r="AO79" i="62"/>
  <c r="AK73" i="62"/>
  <c r="AP99" i="62"/>
  <c r="AO92" i="62"/>
  <c r="AL93" i="62"/>
  <c r="AL77" i="62"/>
  <c r="AN85" i="62"/>
  <c r="AO101" i="62"/>
  <c r="AO87" i="62"/>
  <c r="AM73" i="62"/>
  <c r="AM74" i="62"/>
  <c r="AL98" i="62"/>
  <c r="AK100" i="62"/>
  <c r="AP92" i="62"/>
  <c r="AO96" i="62"/>
  <c r="AM86" i="62"/>
  <c r="AP93" i="62"/>
  <c r="AO73" i="62"/>
  <c r="AO74" i="62"/>
  <c r="AO94" i="62"/>
  <c r="AM78" i="62"/>
  <c r="AM83" i="62"/>
  <c r="AO84" i="62"/>
  <c r="AK96" i="62"/>
  <c r="AN75" i="62"/>
  <c r="AK84" i="62"/>
  <c r="AP87" i="62"/>
  <c r="AL96" i="62"/>
  <c r="AP81" i="62"/>
  <c r="AK79" i="62"/>
  <c r="AN81" i="62"/>
  <c r="AP97" i="62"/>
  <c r="AP98" i="62"/>
  <c r="AP101" i="62"/>
  <c r="AL74" i="62"/>
  <c r="AL86" i="62"/>
  <c r="AK91" i="62"/>
  <c r="AL91" i="62"/>
  <c r="AP79" i="62"/>
  <c r="AM91" i="62"/>
  <c r="AO97" i="62"/>
  <c r="AK74" i="62"/>
  <c r="AM101" i="62"/>
  <c r="AK97" i="62"/>
  <c r="AN100" i="62"/>
  <c r="AN94" i="62"/>
  <c r="AP85" i="62"/>
  <c r="AO85" i="62"/>
  <c r="AP84" i="62"/>
  <c r="AO76" i="62"/>
  <c r="AP78" i="62"/>
  <c r="AN82" i="62"/>
  <c r="AK94" i="62"/>
  <c r="AK95" i="62"/>
  <c r="AO95" i="62"/>
  <c r="AM72" i="62"/>
  <c r="AM75" i="62"/>
  <c r="AK85" i="62"/>
  <c r="AP86" i="62"/>
  <c r="AK78" i="62"/>
  <c r="AO89" i="62"/>
  <c r="AK99" i="62"/>
  <c r="AM85" i="62"/>
  <c r="AP74" i="62"/>
  <c r="AO100" i="62"/>
  <c r="AN99" i="62"/>
  <c r="AP96" i="62"/>
  <c r="AP80" i="62"/>
  <c r="AP72" i="62"/>
  <c r="AL100" i="62"/>
  <c r="AK87" i="62"/>
  <c r="AO86" i="62"/>
  <c r="AM100" i="62"/>
  <c r="AL94" i="62"/>
  <c r="AN79" i="62"/>
  <c r="AL82" i="62"/>
  <c r="AL83" i="62"/>
  <c r="AN98" i="62"/>
  <c r="AN101" i="62"/>
  <c r="AK83" i="62"/>
  <c r="AM84" i="62"/>
  <c r="AL88" i="62"/>
  <c r="AO99" i="62"/>
  <c r="AN80" i="62"/>
  <c r="AL78" i="62"/>
  <c r="AN73" i="62"/>
  <c r="AK76" i="62"/>
  <c r="AO72" i="62"/>
  <c r="AP95" i="62"/>
  <c r="AP82" i="62"/>
  <c r="AN91" i="62"/>
  <c r="AP100" i="62"/>
  <c r="AK75" i="62"/>
  <c r="AN77" i="62"/>
  <c r="AL76" i="62"/>
  <c r="AM87" i="62"/>
  <c r="AM80" i="62"/>
  <c r="AP77" i="62"/>
  <c r="AM89" i="62"/>
  <c r="AM88" i="62"/>
  <c r="AL73" i="62"/>
  <c r="AL81" i="62"/>
  <c r="AK77" i="62"/>
  <c r="AO82" i="62"/>
  <c r="AK93" i="62"/>
  <c r="AL95" i="62"/>
  <c r="AM97" i="62"/>
  <c r="AO88" i="62"/>
  <c r="AP90" i="62"/>
  <c r="AK89" i="62"/>
  <c r="AM95" i="62"/>
  <c r="AN78" i="62"/>
  <c r="AL85" i="62"/>
  <c r="AK80" i="62"/>
  <c r="AN96" i="62"/>
  <c r="AL99" i="62"/>
  <c r="AL79" i="62"/>
  <c r="AN88" i="62"/>
  <c r="AM90" i="62"/>
  <c r="AO77" i="62"/>
  <c r="AP94" i="62"/>
  <c r="AL84" i="62"/>
  <c r="AO78" i="62"/>
  <c r="AL89" i="62"/>
  <c r="AN84" i="62"/>
  <c r="AN76" i="62"/>
  <c r="AM96" i="62"/>
  <c r="AL90" i="62"/>
  <c r="AK81" i="62"/>
  <c r="AK90" i="62"/>
  <c r="AO90" i="62"/>
  <c r="AL80" i="62"/>
  <c r="AG26" i="93"/>
  <c r="AF26" i="93"/>
  <c r="AE26" i="93"/>
  <c r="P24" i="18"/>
  <c r="P24" i="93"/>
  <c r="P24" i="85"/>
  <c r="P24" i="92"/>
  <c r="P24" i="84"/>
  <c r="P24" i="81"/>
  <c r="P24" i="94"/>
  <c r="P24" i="95"/>
  <c r="P24" i="87"/>
  <c r="P24" i="96"/>
  <c r="P24" i="82"/>
  <c r="P24" i="89"/>
  <c r="P24" i="98"/>
  <c r="P24" i="88"/>
  <c r="P24" i="86"/>
  <c r="P24" i="100"/>
  <c r="P24" i="97"/>
  <c r="P24" i="90"/>
  <c r="P24" i="91"/>
  <c r="P24" i="99"/>
  <c r="P24" i="83"/>
  <c r="AG26" i="99"/>
  <c r="AF26" i="99"/>
  <c r="AE26" i="99"/>
  <c r="AG25" i="100"/>
  <c r="AF25" i="100"/>
  <c r="AE25" i="100"/>
  <c r="AG26" i="85"/>
  <c r="AF26" i="85"/>
  <c r="AE26" i="85"/>
  <c r="AG26" i="91"/>
  <c r="AE26" i="91"/>
  <c r="AF26" i="91"/>
  <c r="AG26" i="89"/>
  <c r="AF26" i="89"/>
  <c r="AE26" i="89"/>
  <c r="AG26" i="92"/>
  <c r="AF26" i="92"/>
  <c r="AE26" i="92"/>
  <c r="AG26" i="88"/>
  <c r="AF26" i="88"/>
  <c r="AE26" i="88"/>
  <c r="AG26" i="82"/>
  <c r="AE26" i="82"/>
  <c r="AF26" i="82"/>
  <c r="AG26" i="97"/>
  <c r="AE26" i="97"/>
  <c r="AF26" i="97"/>
  <c r="AG25" i="93"/>
  <c r="AF25" i="93"/>
  <c r="AE25" i="93"/>
  <c r="P27" i="18"/>
  <c r="P27" i="95"/>
  <c r="P27" i="87"/>
  <c r="P27" i="97"/>
  <c r="P27" i="93"/>
  <c r="P27" i="84"/>
  <c r="P27" i="98"/>
  <c r="P27" i="81"/>
  <c r="P27" i="91"/>
  <c r="P27" i="90"/>
  <c r="P27" i="94"/>
  <c r="P27" i="99"/>
  <c r="P27" i="96"/>
  <c r="P27" i="82"/>
  <c r="P27" i="92"/>
  <c r="P27" i="83"/>
  <c r="P27" i="89"/>
  <c r="P27" i="100"/>
  <c r="P27" i="85"/>
  <c r="P27" i="88"/>
  <c r="P27" i="86"/>
  <c r="AG26" i="87"/>
  <c r="AE26" i="87"/>
  <c r="AF26" i="87"/>
  <c r="AG25" i="89"/>
  <c r="AF25" i="89"/>
  <c r="AE25" i="89"/>
  <c r="AG25" i="86"/>
  <c r="AE25" i="86"/>
  <c r="AF25" i="86"/>
  <c r="AG26" i="100"/>
  <c r="AF26" i="100"/>
  <c r="AE26" i="100"/>
  <c r="AG26" i="83"/>
  <c r="AF26" i="83"/>
  <c r="AE26" i="83"/>
  <c r="AG25" i="96"/>
  <c r="AF25" i="96"/>
  <c r="AE25" i="96"/>
  <c r="AG26" i="84"/>
  <c r="AF26" i="84"/>
  <c r="AE26" i="84"/>
  <c r="AG25" i="84"/>
  <c r="AF25" i="84"/>
  <c r="AE25" i="84"/>
  <c r="AG26" i="98"/>
  <c r="AF26" i="98"/>
  <c r="AE26" i="98"/>
  <c r="AG25" i="92"/>
  <c r="AE25" i="92"/>
  <c r="AF25" i="92"/>
  <c r="AG26" i="90"/>
  <c r="AF26" i="90"/>
  <c r="AE26" i="90"/>
  <c r="AG25" i="90"/>
  <c r="AE25" i="90"/>
  <c r="AF25" i="90"/>
  <c r="P28" i="18"/>
  <c r="P28" i="99"/>
  <c r="P28" i="96"/>
  <c r="P28" i="82"/>
  <c r="P28" i="89"/>
  <c r="P28" i="84"/>
  <c r="P28" i="85"/>
  <c r="P28" i="86"/>
  <c r="P28" i="90"/>
  <c r="P28" i="91"/>
  <c r="P28" i="95"/>
  <c r="P28" i="98"/>
  <c r="P28" i="94"/>
  <c r="P28" i="100"/>
  <c r="P28" i="83"/>
  <c r="P28" i="92"/>
  <c r="P28" i="93"/>
  <c r="P28" i="81"/>
  <c r="P28" i="88"/>
  <c r="P28" i="87"/>
  <c r="P28" i="97"/>
  <c r="AG26" i="94"/>
  <c r="AF26" i="94"/>
  <c r="AE26" i="94"/>
  <c r="AG25" i="99"/>
  <c r="AF25" i="99"/>
  <c r="AE25" i="99"/>
  <c r="AG26" i="81"/>
  <c r="AF26" i="81"/>
  <c r="AE26" i="81"/>
  <c r="AG25" i="97"/>
  <c r="AF25" i="97"/>
  <c r="AE25" i="97"/>
  <c r="P30" i="18"/>
  <c r="P30" i="83"/>
  <c r="P30" i="88"/>
  <c r="P30" i="82"/>
  <c r="P30" i="100"/>
  <c r="P30" i="97"/>
  <c r="P30" i="91"/>
  <c r="P30" i="84"/>
  <c r="P30" i="90"/>
  <c r="P30" i="81"/>
  <c r="P30" i="86"/>
  <c r="P30" i="95"/>
  <c r="P30" i="89"/>
  <c r="P30" i="92"/>
  <c r="P30" i="93"/>
  <c r="P30" i="85"/>
  <c r="P30" i="94"/>
  <c r="P30" i="98"/>
  <c r="P30" i="87"/>
  <c r="P30" i="99"/>
  <c r="P30" i="96"/>
  <c r="AG25" i="85"/>
  <c r="AF25" i="85"/>
  <c r="AE25" i="85"/>
  <c r="AG25" i="87"/>
  <c r="AF25" i="87"/>
  <c r="AE25" i="87"/>
  <c r="AG25" i="81"/>
  <c r="AF25" i="81"/>
  <c r="AE25" i="81"/>
  <c r="AG25" i="82"/>
  <c r="AF25" i="82"/>
  <c r="AE25" i="82"/>
  <c r="AG26" i="96"/>
  <c r="AF26" i="96"/>
  <c r="AE26" i="96"/>
  <c r="AG26" i="95"/>
  <c r="AF26" i="95"/>
  <c r="AE26" i="95"/>
  <c r="AG25" i="95"/>
  <c r="AF25" i="95"/>
  <c r="AE25" i="95"/>
  <c r="DD13" i="97"/>
  <c r="V13" i="97" s="1"/>
  <c r="DD13" i="72"/>
  <c r="W14" i="71"/>
  <c r="DC14" i="71" s="1"/>
  <c r="U14" i="71" s="1"/>
  <c r="BV49" i="101" s="1"/>
  <c r="DD14" i="73"/>
  <c r="V14" i="73" s="1"/>
  <c r="BW53" i="101" s="1"/>
  <c r="W14" i="81"/>
  <c r="DC14" i="81" s="1"/>
  <c r="U14" i="81" s="1"/>
  <c r="DD13" i="94"/>
  <c r="V13" i="94" s="1"/>
  <c r="DD13" i="67"/>
  <c r="V13" i="67" s="1"/>
  <c r="BW6" i="101" s="1"/>
  <c r="DC14" i="68"/>
  <c r="DD14" i="68"/>
  <c r="DC13" i="70"/>
  <c r="V13" i="70" s="1"/>
  <c r="W14" i="67"/>
  <c r="W14" i="89"/>
  <c r="DC13" i="69"/>
  <c r="DC13" i="72"/>
  <c r="DD13" i="90"/>
  <c r="V13" i="90" s="1"/>
  <c r="W14" i="82"/>
  <c r="DC14" i="82" s="1"/>
  <c r="U14" i="82" s="1"/>
  <c r="BV59" i="101" s="1"/>
  <c r="DC14" i="74"/>
  <c r="DD14" i="74"/>
  <c r="DB14" i="69"/>
  <c r="DB15" i="69"/>
  <c r="BX53" i="101"/>
  <c r="BY53" i="101"/>
  <c r="W14" i="93"/>
  <c r="W14" i="70"/>
  <c r="W14" i="96"/>
  <c r="W14" i="100"/>
  <c r="DD13" i="89"/>
  <c r="V13" i="89" s="1"/>
  <c r="DB14" i="72"/>
  <c r="DB15" i="72"/>
  <c r="DB14" i="66"/>
  <c r="DB15" i="66"/>
  <c r="DD13" i="98"/>
  <c r="V13" i="98" s="1"/>
  <c r="BW31" i="101" s="1"/>
  <c r="BE71" i="16"/>
  <c r="BC71" i="16"/>
  <c r="W14" i="83"/>
  <c r="DC14" i="83" s="1"/>
  <c r="U14" i="83" s="1"/>
  <c r="BV61" i="101" s="1"/>
  <c r="W14" i="84"/>
  <c r="DD14" i="84" s="1"/>
  <c r="W14" i="85"/>
  <c r="DC14" i="85" s="1"/>
  <c r="U14" i="85" s="1"/>
  <c r="BV65" i="101" s="1"/>
  <c r="DD13" i="85"/>
  <c r="V13" i="85" s="1"/>
  <c r="W14" i="86"/>
  <c r="W14" i="87"/>
  <c r="DC14" i="87" s="1"/>
  <c r="U14" i="87" s="1"/>
  <c r="BV69" i="101" s="1"/>
  <c r="DD13" i="88"/>
  <c r="V13" i="88" s="1"/>
  <c r="W14" i="88"/>
  <c r="W14" i="90"/>
  <c r="W14" i="91"/>
  <c r="DC14" i="91" s="1"/>
  <c r="W14" i="92"/>
  <c r="DC14" i="92" s="1"/>
  <c r="DD13" i="92"/>
  <c r="V13" i="92" s="1"/>
  <c r="DD13" i="93"/>
  <c r="V13" i="93" s="1"/>
  <c r="W14" i="94"/>
  <c r="DC14" i="94" s="1"/>
  <c r="U14" i="94" s="1"/>
  <c r="BV83" i="101" s="1"/>
  <c r="W14" i="95"/>
  <c r="DC14" i="95" s="1"/>
  <c r="DD13" i="96"/>
  <c r="V13" i="96" s="1"/>
  <c r="W14" i="97"/>
  <c r="DC14" i="97" s="1"/>
  <c r="W14" i="98"/>
  <c r="DC14" i="98" s="1"/>
  <c r="W14" i="99"/>
  <c r="D27" i="66"/>
  <c r="D27" i="18"/>
  <c r="GG15" i="18"/>
  <c r="GT15" i="18"/>
  <c r="EV15" i="18"/>
  <c r="EI15" i="18"/>
  <c r="DV15" i="18"/>
  <c r="CX15" i="18" s="1"/>
  <c r="HG15" i="18"/>
  <c r="HT15" i="18"/>
  <c r="BW57" i="101"/>
  <c r="BV57" i="101"/>
  <c r="BF71" i="16"/>
  <c r="BL65" i="16"/>
  <c r="BD71" i="16"/>
  <c r="E14" i="63"/>
  <c r="DD13" i="100"/>
  <c r="V13" i="100" s="1"/>
  <c r="U13" i="96"/>
  <c r="U13" i="88"/>
  <c r="DD13" i="84"/>
  <c r="V13" i="84" s="1"/>
  <c r="DD13" i="91"/>
  <c r="V13" i="91" s="1"/>
  <c r="U13" i="84"/>
  <c r="U13" i="91"/>
  <c r="U13" i="86"/>
  <c r="U13" i="94"/>
  <c r="U13" i="90"/>
  <c r="DD13" i="87"/>
  <c r="DC13" i="87"/>
  <c r="DD14" i="94"/>
  <c r="U13" i="100"/>
  <c r="U13" i="98"/>
  <c r="BV31" i="101" s="1"/>
  <c r="DD13" i="83"/>
  <c r="DC13" i="83"/>
  <c r="DD13" i="95"/>
  <c r="DC13" i="95"/>
  <c r="U13" i="97"/>
  <c r="DD13" i="99"/>
  <c r="V13" i="99" s="1"/>
  <c r="U13" i="99"/>
  <c r="U13" i="85"/>
  <c r="U13" i="89"/>
  <c r="DD13" i="86"/>
  <c r="V13" i="86" s="1"/>
  <c r="U13" i="93"/>
  <c r="U13" i="92"/>
  <c r="AM21" i="67"/>
  <c r="AC111" i="62" s="1"/>
  <c r="BB71" i="16"/>
  <c r="AM30" i="69"/>
  <c r="AL113" i="62" s="1"/>
  <c r="DD13" i="74"/>
  <c r="DC13" i="74"/>
  <c r="U13" i="81"/>
  <c r="V13" i="81"/>
  <c r="EN14" i="18"/>
  <c r="AB37" i="101"/>
  <c r="AC37" i="101" s="1"/>
  <c r="BC76" i="16"/>
  <c r="U13" i="82"/>
  <c r="V13" i="82"/>
  <c r="BE76" i="16"/>
  <c r="BF76" i="16"/>
  <c r="BP65" i="16"/>
  <c r="DC13" i="66"/>
  <c r="AP65" i="16"/>
  <c r="AP66" i="16" s="1"/>
  <c r="AP63" i="16" s="1"/>
  <c r="E17" i="19" s="1"/>
  <c r="AM31" i="67"/>
  <c r="AM111" i="62" s="1"/>
  <c r="AM23" i="67"/>
  <c r="AE111" i="62" s="1"/>
  <c r="BD70" i="16"/>
  <c r="BF69" i="16"/>
  <c r="FC13" i="18"/>
  <c r="AB4" i="101"/>
  <c r="AC4" i="101" s="1"/>
  <c r="BE69" i="16"/>
  <c r="BD69" i="16"/>
  <c r="AU65" i="16"/>
  <c r="BC69" i="16"/>
  <c r="BA69" i="16"/>
  <c r="AR65" i="16"/>
  <c r="AR66" i="16" s="1"/>
  <c r="AR63" i="16" s="1"/>
  <c r="E19" i="19" s="1"/>
  <c r="BB69" i="16"/>
  <c r="U13" i="67"/>
  <c r="BV6" i="101" s="1"/>
  <c r="V13" i="73"/>
  <c r="U13" i="73"/>
  <c r="V13" i="71"/>
  <c r="BW10" i="101" s="1"/>
  <c r="U13" i="71"/>
  <c r="BV10" i="101" s="1"/>
  <c r="FN13" i="18"/>
  <c r="GH13" i="18"/>
  <c r="FO13" i="18"/>
  <c r="ET13" i="18"/>
  <c r="HC13" i="18"/>
  <c r="FM13" i="18"/>
  <c r="HD13" i="18"/>
  <c r="EK13" i="18"/>
  <c r="EN13" i="18"/>
  <c r="GH14" i="18"/>
  <c r="HR14" i="18"/>
  <c r="FR14" i="18"/>
  <c r="GI13" i="18"/>
  <c r="HE14" i="18"/>
  <c r="DX13" i="18"/>
  <c r="EC14" i="18"/>
  <c r="HM13" i="18"/>
  <c r="HN13" i="18"/>
  <c r="ER14" i="18"/>
  <c r="GM14" i="18"/>
  <c r="FG13" i="18"/>
  <c r="GK14" i="18"/>
  <c r="EU14" i="18"/>
  <c r="FT14" i="18"/>
  <c r="FV14" i="18"/>
  <c r="FM14" i="18"/>
  <c r="FB13" i="18"/>
  <c r="HE13" i="18"/>
  <c r="GY13" i="18"/>
  <c r="GF13" i="18"/>
  <c r="FZ14" i="18"/>
  <c r="HI14" i="18"/>
  <c r="ED14" i="18"/>
  <c r="GQ13" i="18"/>
  <c r="HO13" i="18"/>
  <c r="FQ13" i="18"/>
  <c r="GR13" i="18"/>
  <c r="HA13" i="18"/>
  <c r="FI14" i="18"/>
  <c r="GP13" i="18"/>
  <c r="FH13" i="18"/>
  <c r="FN14" i="18"/>
  <c r="FD13" i="18"/>
  <c r="FA14" i="18"/>
  <c r="EE14" i="18"/>
  <c r="HB13" i="18"/>
  <c r="EQ14" i="18"/>
  <c r="HF13" i="18"/>
  <c r="EX13" i="18"/>
  <c r="FU14" i="18"/>
  <c r="FU13" i="18"/>
  <c r="GX14" i="18"/>
  <c r="FK14" i="18"/>
  <c r="FI13" i="18"/>
  <c r="GA13" i="18"/>
  <c r="HS13" i="18"/>
  <c r="EA13" i="18"/>
  <c r="GR14" i="18"/>
  <c r="GU14" i="18"/>
  <c r="GZ14" i="18"/>
  <c r="EM14" i="18"/>
  <c r="EP14" i="18"/>
  <c r="GB13" i="18"/>
  <c r="GW13" i="18"/>
  <c r="EP13" i="18"/>
  <c r="DY14" i="18"/>
  <c r="GO14" i="18"/>
  <c r="ES14" i="18"/>
  <c r="FY13" i="18"/>
  <c r="HH13" i="18"/>
  <c r="EJ14" i="18"/>
  <c r="GU13" i="18"/>
  <c r="ED13" i="18"/>
  <c r="GY14" i="18"/>
  <c r="FJ13" i="18"/>
  <c r="EW13" i="18"/>
  <c r="GN13" i="18"/>
  <c r="FX13" i="18"/>
  <c r="EG13" i="18"/>
  <c r="HH14" i="18"/>
  <c r="GD14" i="18"/>
  <c r="FP13" i="18"/>
  <c r="EM13" i="18"/>
  <c r="HN14" i="18"/>
  <c r="GJ13" i="18"/>
  <c r="EB13" i="18"/>
  <c r="FE14" i="18"/>
  <c r="EJ13" i="18"/>
  <c r="ER13" i="18"/>
  <c r="FZ13" i="18"/>
  <c r="GL13" i="18"/>
  <c r="GV13" i="18"/>
  <c r="FL13" i="18"/>
  <c r="HK13" i="18"/>
  <c r="GD13" i="18"/>
  <c r="DZ13" i="18"/>
  <c r="HD14" i="18"/>
  <c r="HF14" i="18"/>
  <c r="FR13" i="18"/>
  <c r="HQ13" i="18"/>
  <c r="FJ14" i="18"/>
  <c r="HR13" i="18"/>
  <c r="HI13" i="18"/>
  <c r="DW13" i="18"/>
  <c r="FE13" i="18"/>
  <c r="GX13" i="18"/>
  <c r="FL14" i="18"/>
  <c r="FH14" i="18"/>
  <c r="FQ14" i="18"/>
  <c r="EL13" i="18"/>
  <c r="FS13" i="18"/>
  <c r="GC14" i="18"/>
  <c r="EC13" i="18"/>
  <c r="EU13" i="18"/>
  <c r="HL13" i="18"/>
  <c r="FA13" i="18"/>
  <c r="GV14" i="18"/>
  <c r="GJ14" i="18"/>
  <c r="EO13" i="18"/>
  <c r="GS13" i="18"/>
  <c r="GP14" i="18"/>
  <c r="DY13" i="18"/>
  <c r="FF13" i="18"/>
  <c r="GE13" i="18"/>
  <c r="FC14" i="18"/>
  <c r="EG14" i="18"/>
  <c r="FK13" i="18"/>
  <c r="GM13" i="18"/>
  <c r="FV13" i="18"/>
  <c r="EY13" i="18"/>
  <c r="HJ13" i="18"/>
  <c r="FT13" i="18"/>
  <c r="EQ13" i="18"/>
  <c r="FW13" i="18"/>
  <c r="EH13" i="18"/>
  <c r="ES13" i="18"/>
  <c r="GO13" i="18"/>
  <c r="GC13" i="18"/>
  <c r="EF13" i="18"/>
  <c r="EE13" i="18"/>
  <c r="GI14" i="18"/>
  <c r="FO14" i="18"/>
  <c r="GZ13" i="18"/>
  <c r="FY14" i="18"/>
  <c r="HC14" i="18"/>
  <c r="DX14" i="18"/>
  <c r="EZ13" i="18"/>
  <c r="GK13" i="18"/>
  <c r="HP13" i="18"/>
  <c r="GQ14" i="18"/>
  <c r="HA14" i="18"/>
  <c r="FS14" i="18"/>
  <c r="EK14" i="18"/>
  <c r="GN14" i="18"/>
  <c r="EY14" i="18"/>
  <c r="FW14" i="18"/>
  <c r="EA14" i="18"/>
  <c r="DZ14" i="18"/>
  <c r="FD14" i="18"/>
  <c r="HP14" i="18"/>
  <c r="HB14" i="18"/>
  <c r="EF14" i="18"/>
  <c r="HQ14" i="18"/>
  <c r="HL14" i="18"/>
  <c r="FP14" i="18"/>
  <c r="ET14" i="18"/>
  <c r="GB14" i="18"/>
  <c r="EO14" i="18"/>
  <c r="HJ14" i="18"/>
  <c r="EZ14" i="18"/>
  <c r="HO14" i="18"/>
  <c r="EW14" i="18"/>
  <c r="DW14" i="18"/>
  <c r="GA14" i="18"/>
  <c r="EX14" i="18"/>
  <c r="GE14" i="18"/>
  <c r="GL14" i="18"/>
  <c r="EH14" i="18"/>
  <c r="FB14" i="18"/>
  <c r="EL14" i="18"/>
  <c r="FG14" i="18"/>
  <c r="HM14" i="18"/>
  <c r="HK14" i="18"/>
  <c r="EB14" i="18"/>
  <c r="GW14" i="18"/>
  <c r="GS14" i="18"/>
  <c r="GF14" i="18"/>
  <c r="FX14" i="18"/>
  <c r="FF14" i="18"/>
  <c r="HS14" i="18"/>
  <c r="AM30" i="18"/>
  <c r="AL109" i="62" s="1"/>
  <c r="AW66" i="16"/>
  <c r="AW63" i="16" s="1"/>
  <c r="AM25" i="18"/>
  <c r="AM26" i="18"/>
  <c r="BF68" i="16"/>
  <c r="BC68" i="16"/>
  <c r="AM21" i="18"/>
  <c r="AM31" i="18"/>
  <c r="AM109" i="62" s="1"/>
  <c r="AM24" i="18"/>
  <c r="AJ139" i="62"/>
  <c r="N140" i="62" s="1"/>
  <c r="N141" i="62" s="1"/>
  <c r="E12" i="17" s="1"/>
  <c r="G12" i="17" s="1"/>
  <c r="BD68" i="16"/>
  <c r="AM29" i="18"/>
  <c r="AQ65" i="16"/>
  <c r="AQ66" i="16" s="1"/>
  <c r="AQ63" i="16" s="1"/>
  <c r="E18" i="19" s="1"/>
  <c r="BB68" i="16"/>
  <c r="BA68" i="16"/>
  <c r="AT65" i="16"/>
  <c r="AT66" i="16" s="1"/>
  <c r="AT63" i="16" s="1"/>
  <c r="E21" i="19" s="1"/>
  <c r="BE68" i="16"/>
  <c r="AI139" i="62"/>
  <c r="M140" i="62" s="1"/>
  <c r="M141" i="62" s="1"/>
  <c r="E11" i="17" s="1"/>
  <c r="G11" i="17" s="1"/>
  <c r="AS65" i="16"/>
  <c r="BA37" i="16"/>
  <c r="E9" i="63"/>
  <c r="D26" i="82"/>
  <c r="D26" i="89"/>
  <c r="D26" i="84"/>
  <c r="D26" i="81"/>
  <c r="D26" i="90"/>
  <c r="D26" i="100"/>
  <c r="D26" i="98"/>
  <c r="D26" i="94"/>
  <c r="D26" i="86"/>
  <c r="D26" i="92"/>
  <c r="D26" i="93"/>
  <c r="D26" i="91"/>
  <c r="D26" i="85"/>
  <c r="D26" i="96"/>
  <c r="D26" i="83"/>
  <c r="D26" i="87"/>
  <c r="D26" i="97"/>
  <c r="D26" i="99"/>
  <c r="D26" i="95"/>
  <c r="D26" i="88"/>
  <c r="E10" i="63"/>
  <c r="D28" i="82"/>
  <c r="D28" i="97"/>
  <c r="D28" i="89"/>
  <c r="D28" i="91"/>
  <c r="D28" i="90"/>
  <c r="D28" i="92"/>
  <c r="D28" i="87"/>
  <c r="D28" i="100"/>
  <c r="D28" i="94"/>
  <c r="D28" i="85"/>
  <c r="D28" i="99"/>
  <c r="D28" i="83"/>
  <c r="D28" i="98"/>
  <c r="D28" i="95"/>
  <c r="D28" i="93"/>
  <c r="D28" i="81"/>
  <c r="D28" i="84"/>
  <c r="D28" i="86"/>
  <c r="D28" i="88"/>
  <c r="D28" i="96"/>
  <c r="D27" i="95"/>
  <c r="D27" i="96"/>
  <c r="D27" i="98"/>
  <c r="D27" i="93"/>
  <c r="D27" i="94"/>
  <c r="D27" i="100"/>
  <c r="D27" i="99"/>
  <c r="D27" i="97"/>
  <c r="D27" i="81"/>
  <c r="D27" i="88"/>
  <c r="D27" i="92"/>
  <c r="D27" i="86"/>
  <c r="D27" i="82"/>
  <c r="D27" i="90"/>
  <c r="D27" i="85"/>
  <c r="D27" i="83"/>
  <c r="D27" i="87"/>
  <c r="D27" i="89"/>
  <c r="D27" i="91"/>
  <c r="D27" i="84"/>
  <c r="H13" i="63"/>
  <c r="I13" i="63" s="1"/>
  <c r="J13" i="63" s="1"/>
  <c r="H15" i="63"/>
  <c r="I15" i="63" s="1"/>
  <c r="J15" i="63" s="1"/>
  <c r="E8" i="63"/>
  <c r="F8" i="17"/>
  <c r="Q24" i="18" s="1"/>
  <c r="AD139" i="62"/>
  <c r="H140" i="62" s="1"/>
  <c r="H141" i="62" s="1"/>
  <c r="E6" i="17" s="1"/>
  <c r="G6" i="17" s="1"/>
  <c r="AD20" i="19"/>
  <c r="AE20" i="19" s="1"/>
  <c r="AL23" i="18"/>
  <c r="AM23" i="18" s="1"/>
  <c r="AE109" i="62" s="1"/>
  <c r="F13" i="17"/>
  <c r="Q29" i="18" s="1"/>
  <c r="F12" i="17"/>
  <c r="Q28" i="18" s="1"/>
  <c r="AW70" i="62"/>
  <c r="C28" i="17"/>
  <c r="P27" i="71"/>
  <c r="P27" i="70"/>
  <c r="P27" i="69"/>
  <c r="P27" i="74"/>
  <c r="P27" i="73"/>
  <c r="P27" i="68"/>
  <c r="P27" i="72"/>
  <c r="P27" i="66"/>
  <c r="P27" i="67"/>
  <c r="P24" i="19"/>
  <c r="U14" i="15"/>
  <c r="V14" i="15" s="1"/>
  <c r="U6" i="15"/>
  <c r="V6" i="15" s="1"/>
  <c r="W23" i="19"/>
  <c r="X23" i="19"/>
  <c r="Y23" i="19"/>
  <c r="AG26" i="69"/>
  <c r="AF26" i="69"/>
  <c r="AE26" i="69"/>
  <c r="Q77" i="7"/>
  <c r="AG26" i="74"/>
  <c r="AF26" i="74"/>
  <c r="AE26" i="74"/>
  <c r="AE26" i="70"/>
  <c r="AG26" i="70"/>
  <c r="AF26" i="70"/>
  <c r="AE26" i="73"/>
  <c r="AF26" i="73"/>
  <c r="AG26" i="73"/>
  <c r="BD28" i="5"/>
  <c r="AG26" i="72"/>
  <c r="AF26" i="72"/>
  <c r="AE26" i="72"/>
  <c r="H37" i="64"/>
  <c r="O38" i="64" s="1"/>
  <c r="L28" i="63" s="1"/>
  <c r="C29" i="17"/>
  <c r="BC70" i="62"/>
  <c r="P28" i="72"/>
  <c r="P28" i="66"/>
  <c r="P28" i="74"/>
  <c r="P25" i="19"/>
  <c r="P28" i="68"/>
  <c r="P28" i="69"/>
  <c r="P28" i="67"/>
  <c r="P28" i="70"/>
  <c r="P28" i="71"/>
  <c r="P28" i="73"/>
  <c r="AR78" i="62"/>
  <c r="AV79" i="62"/>
  <c r="AR81" i="62"/>
  <c r="AU78" i="62"/>
  <c r="AS81" i="62"/>
  <c r="AQ73" i="62"/>
  <c r="AQ75" i="62"/>
  <c r="AU81" i="62"/>
  <c r="AR73" i="62"/>
  <c r="AS73" i="62"/>
  <c r="AR74" i="62"/>
  <c r="AT75" i="62"/>
  <c r="AQ77" i="62"/>
  <c r="AR87" i="62"/>
  <c r="AQ91" i="62"/>
  <c r="AU99" i="62"/>
  <c r="AS90" i="62"/>
  <c r="AT90" i="62"/>
  <c r="AU75" i="62"/>
  <c r="AT73" i="62"/>
  <c r="AU88" i="62"/>
  <c r="AR83" i="62"/>
  <c r="AT96" i="62"/>
  <c r="AT92" i="62"/>
  <c r="AS95" i="62"/>
  <c r="AU73" i="62"/>
  <c r="AV73" i="62"/>
  <c r="AT87" i="62"/>
  <c r="AS97" i="62"/>
  <c r="AT100" i="62"/>
  <c r="AV84" i="62"/>
  <c r="AR92" i="62"/>
  <c r="AV88" i="62"/>
  <c r="AT98" i="62"/>
  <c r="AR85" i="62"/>
  <c r="AU100" i="62"/>
  <c r="AT84" i="62"/>
  <c r="AT85" i="62"/>
  <c r="AS99" i="62"/>
  <c r="AS94" i="62"/>
  <c r="AS93" i="62"/>
  <c r="AU96" i="62"/>
  <c r="AT91" i="62"/>
  <c r="AQ100" i="62"/>
  <c r="AU95" i="62"/>
  <c r="AV100" i="62"/>
  <c r="AS92" i="62"/>
  <c r="AV92" i="62"/>
  <c r="AS83" i="62"/>
  <c r="AT101" i="62"/>
  <c r="AT95" i="62"/>
  <c r="AT89" i="62"/>
  <c r="AS74" i="62"/>
  <c r="AS79" i="62"/>
  <c r="AQ98" i="62"/>
  <c r="AQ95" i="62"/>
  <c r="AR94" i="62"/>
  <c r="AU83" i="62"/>
  <c r="AQ97" i="62"/>
  <c r="AV97" i="62"/>
  <c r="AU89" i="62"/>
  <c r="AQ99" i="62"/>
  <c r="AS85" i="62"/>
  <c r="AV90" i="62"/>
  <c r="AR82" i="62"/>
  <c r="AQ83" i="62"/>
  <c r="AQ93" i="62"/>
  <c r="AQ101" i="62"/>
  <c r="AV83" i="62"/>
  <c r="AR97" i="62"/>
  <c r="AT94" i="62"/>
  <c r="AR88" i="62"/>
  <c r="AS98" i="62"/>
  <c r="AV95" i="62"/>
  <c r="AR101" i="62"/>
  <c r="AS82" i="62"/>
  <c r="AR91" i="62"/>
  <c r="AR99" i="62"/>
  <c r="AR89" i="62"/>
  <c r="AQ96" i="62"/>
  <c r="AQ92" i="62"/>
  <c r="AR86" i="62"/>
  <c r="AT93" i="62"/>
  <c r="AQ72" i="62"/>
  <c r="AS91" i="62"/>
  <c r="AU84" i="62"/>
  <c r="AR96" i="62"/>
  <c r="AV96" i="62"/>
  <c r="AR72" i="62"/>
  <c r="AT97" i="62"/>
  <c r="AQ89" i="62"/>
  <c r="AQ88" i="62"/>
  <c r="AU98" i="62"/>
  <c r="AU93" i="62"/>
  <c r="AS72" i="62"/>
  <c r="AV89" i="62"/>
  <c r="AT99" i="62"/>
  <c r="AV93" i="62"/>
  <c r="AS88" i="62"/>
  <c r="AQ87" i="62"/>
  <c r="AR100" i="62"/>
  <c r="AQ94" i="62"/>
  <c r="AU86" i="62"/>
  <c r="AT83" i="62"/>
  <c r="AT88" i="62"/>
  <c r="AS96" i="62"/>
  <c r="AV94" i="62"/>
  <c r="AV72" i="62"/>
  <c r="AV91" i="62"/>
  <c r="AQ90" i="62"/>
  <c r="AQ86" i="62"/>
  <c r="AS101" i="62"/>
  <c r="AS89" i="62"/>
  <c r="AU85" i="62"/>
  <c r="AU90" i="62"/>
  <c r="AU91" i="62"/>
  <c r="AU72" i="62"/>
  <c r="AV85" i="62"/>
  <c r="AR84" i="62"/>
  <c r="AU87" i="62"/>
  <c r="AR98" i="62"/>
  <c r="AV87" i="62"/>
  <c r="AU92" i="62"/>
  <c r="AS86" i="62"/>
  <c r="AU97" i="62"/>
  <c r="AV98" i="62"/>
  <c r="AR76" i="62"/>
  <c r="AS100" i="62"/>
  <c r="AT86" i="62"/>
  <c r="AS84" i="62"/>
  <c r="AT82" i="62"/>
  <c r="AV86" i="62"/>
  <c r="AU82" i="62"/>
  <c r="AR90" i="62"/>
  <c r="AV99" i="62"/>
  <c r="AS87" i="62"/>
  <c r="AV82" i="62"/>
  <c r="AU101" i="62"/>
  <c r="AQ84" i="62"/>
  <c r="AR93" i="62"/>
  <c r="AU94" i="62"/>
  <c r="AV101" i="62"/>
  <c r="AQ85" i="62"/>
  <c r="AR95" i="62"/>
  <c r="AT78" i="62"/>
  <c r="AT79" i="62"/>
  <c r="AV74" i="62"/>
  <c r="AS75" i="62"/>
  <c r="AT74" i="62"/>
  <c r="AQ76" i="62"/>
  <c r="AU77" i="62"/>
  <c r="AQ82" i="62"/>
  <c r="AU80" i="62"/>
  <c r="AR80" i="62"/>
  <c r="AQ79" i="62"/>
  <c r="AQ74" i="62"/>
  <c r="AR79" i="62"/>
  <c r="AT77" i="62"/>
  <c r="AS80" i="62"/>
  <c r="AT72" i="62"/>
  <c r="AV76" i="62"/>
  <c r="AT80" i="62"/>
  <c r="AV80" i="62"/>
  <c r="AR77" i="62"/>
  <c r="AU76" i="62"/>
  <c r="AS78" i="62"/>
  <c r="AV75" i="62"/>
  <c r="AR75" i="62"/>
  <c r="AV77" i="62"/>
  <c r="AT81" i="62"/>
  <c r="AQ81" i="62"/>
  <c r="AV81" i="62"/>
  <c r="AV78" i="62"/>
  <c r="AU74" i="62"/>
  <c r="AS77" i="62"/>
  <c r="AQ80" i="62"/>
  <c r="AU79" i="62"/>
  <c r="AS76" i="62"/>
  <c r="AT76" i="62"/>
  <c r="AQ78" i="62"/>
  <c r="I37" i="64"/>
  <c r="P38" i="64" s="1"/>
  <c r="L29" i="63" s="1"/>
  <c r="CG10" i="5"/>
  <c r="AE26" i="18"/>
  <c r="AF26" i="18"/>
  <c r="AG26" i="18"/>
  <c r="C25" i="17"/>
  <c r="P24" i="72"/>
  <c r="P24" i="73"/>
  <c r="P24" i="74"/>
  <c r="AE70" i="62"/>
  <c r="P24" i="69"/>
  <c r="P24" i="70"/>
  <c r="P24" i="66"/>
  <c r="P24" i="68"/>
  <c r="P24" i="71"/>
  <c r="P24" i="67"/>
  <c r="P21" i="19"/>
  <c r="AQ48" i="5"/>
  <c r="M27" i="17"/>
  <c r="R27" i="17"/>
  <c r="O27" i="17"/>
  <c r="L27" i="17"/>
  <c r="V27" i="17"/>
  <c r="W27" i="17"/>
  <c r="S27" i="17"/>
  <c r="T27" i="17"/>
  <c r="Q27" i="17"/>
  <c r="K27" i="17"/>
  <c r="U27" i="17"/>
  <c r="J27" i="17"/>
  <c r="P27" i="17"/>
  <c r="N27" i="17"/>
  <c r="AE26" i="67"/>
  <c r="AF26" i="67"/>
  <c r="AG26" i="67"/>
  <c r="P29" i="72"/>
  <c r="P26" i="19"/>
  <c r="P29" i="67"/>
  <c r="P29" i="73"/>
  <c r="P29" i="74"/>
  <c r="P29" i="69"/>
  <c r="P29" i="66"/>
  <c r="C30" i="17"/>
  <c r="P29" i="68"/>
  <c r="BI70" i="62"/>
  <c r="P29" i="71"/>
  <c r="P29" i="70"/>
  <c r="U9" i="15"/>
  <c r="V9" i="15" s="1"/>
  <c r="U13" i="15"/>
  <c r="V13" i="15" s="1"/>
  <c r="AG26" i="66"/>
  <c r="AE26" i="66"/>
  <c r="AF26" i="66"/>
  <c r="M77" i="7"/>
  <c r="AG26" i="68"/>
  <c r="AF26" i="68"/>
  <c r="AE26" i="68"/>
  <c r="CA10" i="5"/>
  <c r="P30" i="70"/>
  <c r="C31" i="17"/>
  <c r="P30" i="68"/>
  <c r="P27" i="19"/>
  <c r="P30" i="66"/>
  <c r="P30" i="74"/>
  <c r="BO70" i="62"/>
  <c r="P30" i="69"/>
  <c r="P30" i="71"/>
  <c r="P30" i="67"/>
  <c r="P30" i="72"/>
  <c r="P30" i="73"/>
  <c r="R77" i="7"/>
  <c r="U12" i="15"/>
  <c r="V12" i="15" s="1"/>
  <c r="AG26" i="71"/>
  <c r="AE26" i="71"/>
  <c r="AF26" i="71"/>
  <c r="U15" i="15"/>
  <c r="V15" i="15" s="1"/>
  <c r="AK11" i="15"/>
  <c r="F10" i="17"/>
  <c r="Q26" i="18" s="1"/>
  <c r="AK12" i="15"/>
  <c r="F11" i="17"/>
  <c r="Q27" i="18" s="1"/>
  <c r="D27" i="70"/>
  <c r="D27" i="74"/>
  <c r="D27" i="72"/>
  <c r="D27" i="67"/>
  <c r="D27" i="73"/>
  <c r="D27" i="68"/>
  <c r="D27" i="71"/>
  <c r="D27" i="69"/>
  <c r="D26" i="73"/>
  <c r="D26" i="74"/>
  <c r="D26" i="69"/>
  <c r="D26" i="68"/>
  <c r="D26" i="66"/>
  <c r="D26" i="71"/>
  <c r="D26" i="72"/>
  <c r="D26" i="70"/>
  <c r="D26" i="67"/>
  <c r="Z13" i="15"/>
  <c r="X13" i="15"/>
  <c r="Y13" i="15"/>
  <c r="AL13" i="15"/>
  <c r="AF13" i="16" s="1"/>
  <c r="W7" i="15"/>
  <c r="F15" i="17"/>
  <c r="Q31" i="18" s="1"/>
  <c r="AK16" i="15"/>
  <c r="Z9" i="15"/>
  <c r="AL9" i="15"/>
  <c r="AF9" i="16" s="1"/>
  <c r="X9" i="15"/>
  <c r="Y9" i="15"/>
  <c r="Y14" i="15"/>
  <c r="AL14" i="15"/>
  <c r="AF14" i="16" s="1"/>
  <c r="Z14" i="15"/>
  <c r="X14" i="15"/>
  <c r="AK10" i="15"/>
  <c r="F9" i="17"/>
  <c r="Q25" i="18" s="1"/>
  <c r="D28" i="74"/>
  <c r="D28" i="72"/>
  <c r="D28" i="68"/>
  <c r="D28" i="67"/>
  <c r="D28" i="69"/>
  <c r="D28" i="66"/>
  <c r="D28" i="71"/>
  <c r="D28" i="73"/>
  <c r="D28" i="70"/>
  <c r="AK15" i="15"/>
  <c r="F14" i="17"/>
  <c r="Q30" i="18" s="1"/>
  <c r="N39" i="101" l="1" a="1"/>
  <c r="N39" i="101" s="1"/>
  <c r="I48" i="101" a="1"/>
  <c r="I48" i="101" s="1"/>
  <c r="N89" i="101" a="1"/>
  <c r="N89" i="101" s="1"/>
  <c r="K61" i="101" a="1"/>
  <c r="K61" i="101" s="1"/>
  <c r="H24" i="101" a="1"/>
  <c r="H24" i="101" s="1"/>
  <c r="H20" i="101" a="1"/>
  <c r="H20" i="101" s="1"/>
  <c r="H4" i="101" a="1"/>
  <c r="H4" i="101" s="1"/>
  <c r="CW20" i="5"/>
  <c r="CG8" i="5"/>
  <c r="BY20" i="5"/>
  <c r="BY21" i="5" s="1"/>
  <c r="BY22" i="5" s="1"/>
  <c r="CB20" i="5"/>
  <c r="CK20" i="5"/>
  <c r="N73" i="101" a="1"/>
  <c r="N73" i="101" s="1"/>
  <c r="O26" i="101" a="1"/>
  <c r="O26" i="101" s="1"/>
  <c r="K22" i="101" a="1"/>
  <c r="K22" i="101" s="1"/>
  <c r="H5" i="101" a="1"/>
  <c r="H5" i="101" s="1"/>
  <c r="I5" i="101" a="1"/>
  <c r="I5" i="101" s="1"/>
  <c r="P27" i="101" a="1"/>
  <c r="P27" i="101" s="1"/>
  <c r="O21" i="101" a="1"/>
  <c r="O21" i="101" s="1"/>
  <c r="O11" i="101" a="1"/>
  <c r="O11" i="101" s="1"/>
  <c r="K4" i="101" a="1"/>
  <c r="K4" i="101" s="1"/>
  <c r="P10" i="101" a="1"/>
  <c r="P10" i="101" s="1"/>
  <c r="O27" i="101" a="1"/>
  <c r="O27" i="101" s="1"/>
  <c r="N24" i="101" a="1"/>
  <c r="N24" i="101" s="1"/>
  <c r="K31" i="101" a="1"/>
  <c r="K31" i="101" s="1"/>
  <c r="I20" i="101" a="1"/>
  <c r="I20" i="101" s="1"/>
  <c r="P11" i="101" a="1"/>
  <c r="P11" i="101" s="1"/>
  <c r="O17" i="101" a="1"/>
  <c r="O17" i="101" s="1"/>
  <c r="K17" i="101" a="1"/>
  <c r="K17" i="101" s="1"/>
  <c r="J19" i="101" a="1"/>
  <c r="J19" i="101" s="1"/>
  <c r="I8" i="101" a="1"/>
  <c r="I8" i="101" s="1"/>
  <c r="J16" i="101" a="1"/>
  <c r="J16" i="101" s="1"/>
  <c r="I16" i="101" a="1"/>
  <c r="I16" i="101" s="1"/>
  <c r="N56" i="101" a="1"/>
  <c r="N56" i="101" s="1"/>
  <c r="I19" i="101" a="1"/>
  <c r="I19" i="101" s="1"/>
  <c r="P13" i="101" a="1"/>
  <c r="P13" i="101" s="1"/>
  <c r="O32" i="101" a="1"/>
  <c r="O32" i="101" s="1"/>
  <c r="N27" i="101" a="1"/>
  <c r="N27" i="101" s="1"/>
  <c r="N16" i="101" a="1"/>
  <c r="N16" i="101" s="1"/>
  <c r="K7" i="101" a="1"/>
  <c r="K7" i="101" s="1"/>
  <c r="J20" i="101" a="1"/>
  <c r="J20" i="101" s="1"/>
  <c r="M24" i="101" a="1"/>
  <c r="M24" i="101" s="1"/>
  <c r="N71" i="101" a="1"/>
  <c r="N71" i="101" s="1"/>
  <c r="H30" i="101" a="1"/>
  <c r="H30" i="101" s="1"/>
  <c r="P33" i="101" a="1"/>
  <c r="P33" i="101" s="1"/>
  <c r="P25" i="101" a="1"/>
  <c r="P25" i="101" s="1"/>
  <c r="O12" i="101" a="1"/>
  <c r="O12" i="101" s="1"/>
  <c r="I28" i="101" a="1"/>
  <c r="I28" i="101" s="1"/>
  <c r="P16" i="101" a="1"/>
  <c r="P16" i="101" s="1"/>
  <c r="O8" i="101" a="1"/>
  <c r="O8" i="101" s="1"/>
  <c r="O18" i="101" a="1"/>
  <c r="O18" i="101" s="1"/>
  <c r="M4" i="101" a="1"/>
  <c r="M4" i="101" s="1"/>
  <c r="M28" i="101" a="1"/>
  <c r="M28" i="101" s="1"/>
  <c r="I24" i="101" a="1"/>
  <c r="I24" i="101" s="1"/>
  <c r="O29" i="101" a="1"/>
  <c r="O29" i="101" s="1"/>
  <c r="M12" i="101" a="1"/>
  <c r="M12" i="101" s="1"/>
  <c r="O9" i="101" a="1"/>
  <c r="O9" i="101" s="1"/>
  <c r="N8" i="101" a="1"/>
  <c r="N8" i="101" s="1"/>
  <c r="I26" i="101" a="1"/>
  <c r="I26" i="101" s="1"/>
  <c r="O15" i="101" a="1"/>
  <c r="O15" i="101" s="1"/>
  <c r="N25" i="101" a="1"/>
  <c r="N25" i="101" s="1"/>
  <c r="K30" i="101" a="1"/>
  <c r="K30" i="101" s="1"/>
  <c r="I25" i="101" a="1"/>
  <c r="I25" i="101" s="1"/>
  <c r="P28" i="101" a="1"/>
  <c r="P28" i="101" s="1"/>
  <c r="O19" i="101" a="1"/>
  <c r="O19" i="101" s="1"/>
  <c r="O7" i="101" a="1"/>
  <c r="O7" i="101" s="1"/>
  <c r="N19" i="101" a="1"/>
  <c r="N19" i="101" s="1"/>
  <c r="K33" i="101" a="1"/>
  <c r="K33" i="101" s="1"/>
  <c r="J30" i="101" a="1"/>
  <c r="J30" i="101" s="1"/>
  <c r="P8" i="101" a="1"/>
  <c r="P8" i="101" s="1"/>
  <c r="P54" i="101" a="1"/>
  <c r="P54" i="101" s="1"/>
  <c r="I10" i="101" a="1"/>
  <c r="I10" i="101" s="1"/>
  <c r="P31" i="101" a="1"/>
  <c r="P31" i="101" s="1"/>
  <c r="O24" i="101" a="1"/>
  <c r="O24" i="101" s="1"/>
  <c r="N12" i="101" a="1"/>
  <c r="N12" i="101" s="1"/>
  <c r="N5" i="101" a="1"/>
  <c r="N5" i="101" s="1"/>
  <c r="K26" i="101" a="1"/>
  <c r="K26" i="101" s="1"/>
  <c r="M6" i="101" a="1"/>
  <c r="M6" i="101" s="1"/>
  <c r="I15" i="101" a="1"/>
  <c r="I15" i="101" s="1"/>
  <c r="P19" i="101" a="1"/>
  <c r="P19" i="101" s="1"/>
  <c r="O22" i="101" a="1"/>
  <c r="O22" i="101" s="1"/>
  <c r="N10" i="101" a="1"/>
  <c r="N10" i="101" s="1"/>
  <c r="N14" i="101" a="1"/>
  <c r="N14" i="101" s="1"/>
  <c r="K28" i="101" a="1"/>
  <c r="K28" i="101" s="1"/>
  <c r="J25" i="101" a="1"/>
  <c r="J25" i="101" s="1"/>
  <c r="J73" i="101" a="1"/>
  <c r="J73" i="101" s="1"/>
  <c r="I27" i="101" a="1"/>
  <c r="I27" i="101" s="1"/>
  <c r="I23" i="101" a="1"/>
  <c r="I23" i="101" s="1"/>
  <c r="P7" i="101" a="1"/>
  <c r="P7" i="101" s="1"/>
  <c r="O28" i="101" a="1"/>
  <c r="O28" i="101" s="1"/>
  <c r="N26" i="101" a="1"/>
  <c r="N26" i="101" s="1"/>
  <c r="K12" i="101" a="1"/>
  <c r="K12" i="101" s="1"/>
  <c r="J31" i="101" a="1"/>
  <c r="J31" i="101" s="1"/>
  <c r="J29" i="101" a="1"/>
  <c r="J29" i="101" s="1"/>
  <c r="H33" i="101" a="1"/>
  <c r="H33" i="101" s="1"/>
  <c r="M5" i="101" a="1"/>
  <c r="M5" i="101" s="1"/>
  <c r="M29" i="101" a="1"/>
  <c r="M29" i="101" s="1"/>
  <c r="M25" i="101" a="1"/>
  <c r="M25" i="101" s="1"/>
  <c r="J23" i="101" a="1"/>
  <c r="J23" i="101" s="1"/>
  <c r="M21" i="101" a="1"/>
  <c r="M21" i="101" s="1"/>
  <c r="M18" i="101" a="1"/>
  <c r="M18" i="101" s="1"/>
  <c r="J32" i="101" a="1"/>
  <c r="J32" i="101" s="1"/>
  <c r="J24" i="101" a="1"/>
  <c r="J24" i="101" s="1"/>
  <c r="J27" i="101" a="1"/>
  <c r="J27" i="101" s="1"/>
  <c r="I14" i="101" a="1"/>
  <c r="I14" i="101" s="1"/>
  <c r="I32" i="101" a="1"/>
  <c r="I32" i="101" s="1"/>
  <c r="P22" i="101" a="1"/>
  <c r="P22" i="101" s="1"/>
  <c r="O5" i="101" a="1"/>
  <c r="O5" i="101" s="1"/>
  <c r="N17" i="101" a="1"/>
  <c r="N17" i="101" s="1"/>
  <c r="K6" i="101" a="1"/>
  <c r="K6" i="101" s="1"/>
  <c r="J10" i="101" a="1"/>
  <c r="J10" i="101" s="1"/>
  <c r="J11" i="101" a="1"/>
  <c r="J11" i="101" s="1"/>
  <c r="M11" i="101" a="1"/>
  <c r="M11" i="101" s="1"/>
  <c r="P4" i="101" a="1"/>
  <c r="P4" i="101" s="1"/>
  <c r="O31" i="101" a="1"/>
  <c r="O31" i="101" s="1"/>
  <c r="K11" i="101" a="1"/>
  <c r="K11" i="101" s="1"/>
  <c r="H7" i="101" a="1"/>
  <c r="H7" i="101" s="1"/>
  <c r="H10" i="101" a="1"/>
  <c r="H10" i="101" s="1"/>
  <c r="K5" i="101" a="1"/>
  <c r="K5" i="101" s="1"/>
  <c r="M22" i="101" a="1"/>
  <c r="M22" i="101" s="1"/>
  <c r="P18" i="101" a="1"/>
  <c r="P18" i="101" s="1"/>
  <c r="O10" i="101" a="1"/>
  <c r="O10" i="101" s="1"/>
  <c r="M33" i="101" a="1"/>
  <c r="M33" i="101" s="1"/>
  <c r="P17" i="101" a="1"/>
  <c r="P17" i="101" s="1"/>
  <c r="O13" i="101" a="1"/>
  <c r="O13" i="101" s="1"/>
  <c r="N15" i="101" a="1"/>
  <c r="N15" i="101" s="1"/>
  <c r="N9" i="101" a="1"/>
  <c r="N9" i="101" s="1"/>
  <c r="K24" i="101" a="1"/>
  <c r="K24" i="101" s="1"/>
  <c r="O62" i="101" a="1"/>
  <c r="O62" i="101" s="1"/>
  <c r="I11" i="101" a="1"/>
  <c r="I11" i="101" s="1"/>
  <c r="O6" i="101" a="1"/>
  <c r="O6" i="101" s="1"/>
  <c r="N18" i="101" a="1"/>
  <c r="N18" i="101" s="1"/>
  <c r="N4" i="101" a="1"/>
  <c r="N4" i="101" s="1"/>
  <c r="K14" i="101" a="1"/>
  <c r="K14" i="101" s="1"/>
  <c r="M31" i="101" a="1"/>
  <c r="M31" i="101" s="1"/>
  <c r="P21" i="101" a="1"/>
  <c r="P21" i="101" s="1"/>
  <c r="O30" i="101" a="1"/>
  <c r="O30" i="101" s="1"/>
  <c r="N20" i="101" a="1"/>
  <c r="N20" i="101" s="1"/>
  <c r="N13" i="101" a="1"/>
  <c r="N13" i="101" s="1"/>
  <c r="K32" i="101" a="1"/>
  <c r="K32" i="101" s="1"/>
  <c r="I17" i="101" a="1"/>
  <c r="I17" i="101" s="1"/>
  <c r="K16" i="101" a="1"/>
  <c r="K16" i="101" s="1"/>
  <c r="J5" i="101" a="1"/>
  <c r="J5" i="101" s="1"/>
  <c r="M14" i="101" a="1"/>
  <c r="M14" i="101" s="1"/>
  <c r="H27" i="101" a="1"/>
  <c r="H27" i="101" s="1"/>
  <c r="M16" i="101" a="1"/>
  <c r="M16" i="101" s="1"/>
  <c r="M19" i="101" a="1"/>
  <c r="M19" i="101" s="1"/>
  <c r="H23" i="101" a="1"/>
  <c r="H23" i="101" s="1"/>
  <c r="M13" i="101" a="1"/>
  <c r="M13" i="101" s="1"/>
  <c r="M10" i="101" a="1"/>
  <c r="M10" i="101" s="1"/>
  <c r="H25" i="101" a="1"/>
  <c r="H25" i="101" s="1"/>
  <c r="M17" i="101" a="1"/>
  <c r="M17" i="101" s="1"/>
  <c r="N82" i="101" a="1"/>
  <c r="N82" i="101" s="1"/>
  <c r="I65" i="101" a="1"/>
  <c r="I65" i="101" s="1"/>
  <c r="M42" i="101" a="1"/>
  <c r="M42" i="101" s="1"/>
  <c r="J57" i="101" a="1"/>
  <c r="J57" i="101" s="1"/>
  <c r="J71" i="101" a="1"/>
  <c r="J71" i="101" s="1"/>
  <c r="J55" i="101" a="1"/>
  <c r="J55" i="101" s="1"/>
  <c r="J59" i="101" a="1"/>
  <c r="J59" i="101" s="1"/>
  <c r="J44" i="101" a="1"/>
  <c r="J44" i="101" s="1"/>
  <c r="N84" i="101" a="1"/>
  <c r="N84" i="101" s="1"/>
  <c r="J88" i="101" a="1"/>
  <c r="J88" i="101" s="1"/>
  <c r="H63" i="101" a="1"/>
  <c r="H63" i="101" s="1"/>
  <c r="J48" i="101" a="1"/>
  <c r="J48" i="101" s="1"/>
  <c r="J42" i="101" a="1"/>
  <c r="J42" i="101" s="1"/>
  <c r="J60" i="101" a="1"/>
  <c r="J60" i="101" s="1"/>
  <c r="J49" i="101" a="1"/>
  <c r="J49" i="101" s="1"/>
  <c r="M51" i="101" a="1"/>
  <c r="M51" i="101" s="1"/>
  <c r="N41" i="101" a="1"/>
  <c r="N41" i="101" s="1"/>
  <c r="J82" i="101" a="1"/>
  <c r="J82" i="101" s="1"/>
  <c r="N95" i="101" a="1"/>
  <c r="N95" i="101" s="1"/>
  <c r="N74" i="101" a="1"/>
  <c r="N74" i="101" s="1"/>
  <c r="J51" i="101" a="1"/>
  <c r="J51" i="101" s="1"/>
  <c r="N96" i="101" a="1"/>
  <c r="N96" i="101" s="1"/>
  <c r="I42" i="101" a="1"/>
  <c r="I42" i="101" s="1"/>
  <c r="J63" i="101" a="1"/>
  <c r="J63" i="101" s="1"/>
  <c r="N53" i="101" a="1"/>
  <c r="N53" i="101" s="1"/>
  <c r="N40" i="101" a="1"/>
  <c r="N40" i="101" s="1"/>
  <c r="J70" i="101" a="1"/>
  <c r="J70" i="101" s="1"/>
  <c r="K42" i="101" a="1"/>
  <c r="K42" i="101" s="1"/>
  <c r="N45" i="101" a="1"/>
  <c r="N45" i="101" s="1"/>
  <c r="N75" i="101" a="1"/>
  <c r="N75" i="101" s="1"/>
  <c r="K66" i="101" a="1"/>
  <c r="K66" i="101" s="1"/>
  <c r="K85" i="101" a="1"/>
  <c r="K85" i="101" s="1"/>
  <c r="J84" i="101" a="1"/>
  <c r="J84" i="101" s="1"/>
  <c r="K53" i="101" a="1"/>
  <c r="K53" i="101" s="1"/>
  <c r="K78" i="101" a="1"/>
  <c r="K78" i="101" s="1"/>
  <c r="P84" i="101" a="1"/>
  <c r="P84" i="101" s="1"/>
  <c r="J43" i="101" a="1"/>
  <c r="J43" i="101" s="1"/>
  <c r="K82" i="101" a="1"/>
  <c r="K82" i="101" s="1"/>
  <c r="J80" i="101" a="1"/>
  <c r="J80" i="101" s="1"/>
  <c r="K55" i="101" a="1"/>
  <c r="K55" i="101" s="1"/>
  <c r="I73" i="101" a="1"/>
  <c r="I73" i="101" s="1"/>
  <c r="J76" i="101" a="1"/>
  <c r="J76" i="101" s="1"/>
  <c r="K94" i="101" a="1"/>
  <c r="K94" i="101" s="1"/>
  <c r="K52" i="101" a="1"/>
  <c r="K52" i="101" s="1"/>
  <c r="K64" i="101" a="1"/>
  <c r="K64" i="101" s="1"/>
  <c r="N80" i="101" a="1"/>
  <c r="N80" i="101" s="1"/>
  <c r="J68" i="101" a="1"/>
  <c r="J68" i="101" s="1"/>
  <c r="J89" i="101" a="1"/>
  <c r="J89" i="101" s="1"/>
  <c r="P65" i="101" a="1"/>
  <c r="P65" i="101" s="1"/>
  <c r="N63" i="101" a="1"/>
  <c r="N63" i="101" s="1"/>
  <c r="J62" i="101" a="1"/>
  <c r="J62" i="101" s="1"/>
  <c r="P62" i="101" a="1"/>
  <c r="P62" i="101" s="1"/>
  <c r="N67" i="101" a="1"/>
  <c r="N67" i="101" s="1"/>
  <c r="J81" i="101" a="1"/>
  <c r="J81" i="101" s="1"/>
  <c r="P72" i="101" a="1"/>
  <c r="P72" i="101" s="1"/>
  <c r="N69" i="101" a="1"/>
  <c r="N69" i="101" s="1"/>
  <c r="J69" i="101" a="1"/>
  <c r="J69" i="101" s="1"/>
  <c r="N37" i="101" a="1"/>
  <c r="N37" i="101" s="1"/>
  <c r="K47" i="101" a="1"/>
  <c r="K47" i="101" s="1"/>
  <c r="N54" i="101" a="1"/>
  <c r="N54" i="101" s="1"/>
  <c r="K58" i="101" a="1"/>
  <c r="K58" i="101" s="1"/>
  <c r="J93" i="101" a="1"/>
  <c r="J93" i="101" s="1"/>
  <c r="K41" i="101" a="1"/>
  <c r="K41" i="101" s="1"/>
  <c r="J95" i="101" a="1"/>
  <c r="J95" i="101" s="1"/>
  <c r="N64" i="101" a="1"/>
  <c r="N64" i="101" s="1"/>
  <c r="N59" i="101" a="1"/>
  <c r="N59" i="101" s="1"/>
  <c r="K89" i="101" a="1"/>
  <c r="K89" i="101" s="1"/>
  <c r="J83" i="101" a="1"/>
  <c r="J83" i="101" s="1"/>
  <c r="N92" i="101" a="1"/>
  <c r="N92" i="101" s="1"/>
  <c r="N77" i="101" a="1"/>
  <c r="N77" i="101" s="1"/>
  <c r="M23" i="101" a="1"/>
  <c r="M23" i="101" s="1"/>
  <c r="M9" i="101" a="1"/>
  <c r="M9" i="101" s="1"/>
  <c r="H12" i="101" a="1"/>
  <c r="H12" i="101" s="1"/>
  <c r="H31" i="101" a="1"/>
  <c r="H31" i="101" s="1"/>
  <c r="H9" i="101" a="1"/>
  <c r="H9" i="101" s="1"/>
  <c r="H21" i="101" a="1"/>
  <c r="H21" i="101" s="1"/>
  <c r="K19" i="101" a="1"/>
  <c r="K19" i="101" s="1"/>
  <c r="M32" i="101" a="1"/>
  <c r="M32" i="101" s="1"/>
  <c r="H32" i="101" a="1"/>
  <c r="H32" i="101" s="1"/>
  <c r="K27" i="101" a="1"/>
  <c r="K27" i="101" s="1"/>
  <c r="M15" i="101" a="1"/>
  <c r="M15" i="101" s="1"/>
  <c r="H29" i="101" a="1"/>
  <c r="H29" i="101" s="1"/>
  <c r="H22" i="101" a="1"/>
  <c r="H22" i="101" s="1"/>
  <c r="H17" i="101" a="1"/>
  <c r="H17" i="101" s="1"/>
  <c r="H16" i="101" a="1"/>
  <c r="H16" i="101" s="1"/>
  <c r="H28" i="101" a="1"/>
  <c r="H28" i="101" s="1"/>
  <c r="H8" i="101" a="1"/>
  <c r="H8" i="101" s="1"/>
  <c r="H26" i="101" a="1"/>
  <c r="H26" i="101" s="1"/>
  <c r="H18" i="101" a="1"/>
  <c r="H18" i="101" s="1"/>
  <c r="H11" i="101" a="1"/>
  <c r="H11" i="101" s="1"/>
  <c r="K20" i="101" a="1"/>
  <c r="K20" i="101" s="1"/>
  <c r="K9" i="101" a="1"/>
  <c r="K9" i="101" s="1"/>
  <c r="M20" i="101" a="1"/>
  <c r="M20" i="101" s="1"/>
  <c r="H14" i="101" a="1"/>
  <c r="H14" i="101" s="1"/>
  <c r="H19" i="101" a="1"/>
  <c r="H19" i="101" s="1"/>
  <c r="K15" i="101" a="1"/>
  <c r="K15" i="101" s="1"/>
  <c r="M30" i="101" a="1"/>
  <c r="M30" i="101" s="1"/>
  <c r="H15" i="101" a="1"/>
  <c r="H15" i="101" s="1"/>
  <c r="H13" i="101" a="1"/>
  <c r="H13" i="101" s="1"/>
  <c r="K57" i="101" a="1"/>
  <c r="K57" i="101" s="1"/>
  <c r="N50" i="101" a="1"/>
  <c r="N50" i="101" s="1"/>
  <c r="K84" i="101" a="1"/>
  <c r="K84" i="101" s="1"/>
  <c r="J39" i="101" a="1"/>
  <c r="J39" i="101" s="1"/>
  <c r="K83" i="101" a="1"/>
  <c r="K83" i="101" s="1"/>
  <c r="N44" i="101" a="1"/>
  <c r="N44" i="101" s="1"/>
  <c r="K63" i="101" a="1"/>
  <c r="K63" i="101" s="1"/>
  <c r="H88" i="101" a="1"/>
  <c r="H88" i="101" s="1"/>
  <c r="O74" i="101" a="1"/>
  <c r="O74" i="101" s="1"/>
  <c r="I69" i="101" a="1"/>
  <c r="I69" i="101" s="1"/>
  <c r="J41" i="101" a="1"/>
  <c r="J41" i="101" s="1"/>
  <c r="I55" i="101" a="1"/>
  <c r="I55" i="101" s="1"/>
  <c r="K76" i="101" a="1"/>
  <c r="K76" i="101" s="1"/>
  <c r="N87" i="101" a="1"/>
  <c r="N87" i="101" s="1"/>
  <c r="J74" i="101" a="1"/>
  <c r="J74" i="101" s="1"/>
  <c r="J75" i="101" a="1"/>
  <c r="J75" i="101" s="1"/>
  <c r="P48" i="101" a="1"/>
  <c r="P48" i="101" s="1"/>
  <c r="O68" i="101" a="1"/>
  <c r="O68" i="101" s="1"/>
  <c r="J46" i="101" a="1"/>
  <c r="J46" i="101" s="1"/>
  <c r="K45" i="101" a="1"/>
  <c r="K45" i="101" s="1"/>
  <c r="N81" i="101" a="1"/>
  <c r="N81" i="101" s="1"/>
  <c r="O39" i="101" a="1"/>
  <c r="O39" i="101" s="1"/>
  <c r="N61" i="101" a="1"/>
  <c r="N61" i="101" s="1"/>
  <c r="O72" i="101" a="1"/>
  <c r="O72" i="101" s="1"/>
  <c r="I95" i="101" a="1"/>
  <c r="I95" i="101" s="1"/>
  <c r="K69" i="101" a="1"/>
  <c r="K69" i="101" s="1"/>
  <c r="P75" i="101" a="1"/>
  <c r="P75" i="101" s="1"/>
  <c r="I39" i="101" a="1"/>
  <c r="I39" i="101" s="1"/>
  <c r="J94" i="101" a="1"/>
  <c r="J94" i="101" s="1"/>
  <c r="K95" i="101" a="1"/>
  <c r="K95" i="101" s="1"/>
  <c r="N72" i="101" a="1"/>
  <c r="N72" i="101" s="1"/>
  <c r="N42" i="101" a="1"/>
  <c r="N42" i="101" s="1"/>
  <c r="P64" i="101" a="1"/>
  <c r="P64" i="101" s="1"/>
  <c r="N58" i="101" a="1"/>
  <c r="N58" i="101" s="1"/>
  <c r="P40" i="101" a="1"/>
  <c r="P40" i="101" s="1"/>
  <c r="I79" i="101" a="1"/>
  <c r="I79" i="101" s="1"/>
  <c r="J87" i="101" a="1"/>
  <c r="J87" i="101" s="1"/>
  <c r="K49" i="101" a="1"/>
  <c r="K49" i="101" s="1"/>
  <c r="N88" i="101" a="1"/>
  <c r="N88" i="101" s="1"/>
  <c r="N43" i="101" a="1"/>
  <c r="N43" i="101" s="1"/>
  <c r="N83" i="101" a="1"/>
  <c r="N83" i="101" s="1"/>
  <c r="P42" i="101" a="1"/>
  <c r="P42" i="101" s="1"/>
  <c r="J45" i="101" a="1"/>
  <c r="J45" i="101" s="1"/>
  <c r="J53" i="101" a="1"/>
  <c r="J53" i="101" s="1"/>
  <c r="N90" i="101" a="1"/>
  <c r="N90" i="101" s="1"/>
  <c r="N52" i="101" a="1"/>
  <c r="N52" i="101" s="1"/>
  <c r="M59" i="101" a="1"/>
  <c r="M59" i="101" s="1"/>
  <c r="O73" i="101" a="1"/>
  <c r="O73" i="101" s="1"/>
  <c r="P38" i="101" a="1"/>
  <c r="P38" i="101" s="1"/>
  <c r="I80" i="101" a="1"/>
  <c r="I80" i="101" s="1"/>
  <c r="J58" i="101" a="1"/>
  <c r="J58" i="101" s="1"/>
  <c r="J86" i="101" a="1"/>
  <c r="J86" i="101" s="1"/>
  <c r="J40" i="101" a="1"/>
  <c r="J40" i="101" s="1"/>
  <c r="N86" i="101" a="1"/>
  <c r="N86" i="101" s="1"/>
  <c r="J67" i="101" a="1"/>
  <c r="J67" i="101" s="1"/>
  <c r="N46" i="101" a="1"/>
  <c r="N46" i="101" s="1"/>
  <c r="P52" i="101" a="1"/>
  <c r="P52" i="101" s="1"/>
  <c r="I46" i="101" a="1"/>
  <c r="I46" i="101" s="1"/>
  <c r="J50" i="101" a="1"/>
  <c r="J50" i="101" s="1"/>
  <c r="J64" i="101" a="1"/>
  <c r="J64" i="101" s="1"/>
  <c r="J65" i="101" a="1"/>
  <c r="J65" i="101" s="1"/>
  <c r="J54" i="101" a="1"/>
  <c r="J54" i="101" s="1"/>
  <c r="N38" i="101" a="1"/>
  <c r="N38" i="101" s="1"/>
  <c r="M44" i="101" a="1"/>
  <c r="M44" i="101" s="1"/>
  <c r="P58" i="101" a="1"/>
  <c r="P58" i="101" s="1"/>
  <c r="O84" i="101" a="1"/>
  <c r="O84" i="101" s="1"/>
  <c r="J90" i="101" a="1"/>
  <c r="J90" i="101" s="1"/>
  <c r="J56" i="101" a="1"/>
  <c r="J56" i="101" s="1"/>
  <c r="N62" i="101" a="1"/>
  <c r="N62" i="101" s="1"/>
  <c r="N60" i="101" a="1"/>
  <c r="N60" i="101" s="1"/>
  <c r="P94" i="101" a="1"/>
  <c r="P94" i="101" s="1"/>
  <c r="N55" i="101" a="1"/>
  <c r="N55" i="101" s="1"/>
  <c r="O56" i="101" a="1"/>
  <c r="O56" i="101" s="1"/>
  <c r="J85" i="101" a="1"/>
  <c r="J85" i="101" s="1"/>
  <c r="J37" i="101" a="1"/>
  <c r="J37" i="101" s="1"/>
  <c r="I56" i="101" a="1"/>
  <c r="I56" i="101" s="1"/>
  <c r="N79" i="101" a="1"/>
  <c r="N79" i="101" s="1"/>
  <c r="N85" i="101" a="1"/>
  <c r="N85" i="101" s="1"/>
  <c r="P85" i="101" a="1"/>
  <c r="P85" i="101" s="1"/>
  <c r="N68" i="101" a="1"/>
  <c r="N68" i="101" s="1"/>
  <c r="I51" i="101" a="1"/>
  <c r="I51" i="101" s="1"/>
  <c r="J77" i="101" a="1"/>
  <c r="J77" i="101" s="1"/>
  <c r="J38" i="101" a="1"/>
  <c r="J38" i="101" s="1"/>
  <c r="J61" i="101" a="1"/>
  <c r="J61" i="101" s="1"/>
  <c r="N66" i="101" a="1"/>
  <c r="N66" i="101" s="1"/>
  <c r="N51" i="101" a="1"/>
  <c r="N51" i="101" s="1"/>
  <c r="I53" i="101" a="1"/>
  <c r="I53" i="101" s="1"/>
  <c r="J78" i="101" a="1"/>
  <c r="J78" i="101" s="1"/>
  <c r="J66" i="101" a="1"/>
  <c r="J66" i="101" s="1"/>
  <c r="N47" i="101" a="1"/>
  <c r="N47" i="101" s="1"/>
  <c r="N65" i="101" a="1"/>
  <c r="N65" i="101" s="1"/>
  <c r="I86" i="101" a="1"/>
  <c r="I86" i="101" s="1"/>
  <c r="I41" i="101" a="1"/>
  <c r="I41" i="101" s="1"/>
  <c r="N76" i="101" a="1"/>
  <c r="N76" i="101" s="1"/>
  <c r="J52" i="101" a="1"/>
  <c r="J52" i="101" s="1"/>
  <c r="N70" i="101" a="1"/>
  <c r="N70" i="101" s="1"/>
  <c r="N93" i="101" a="1"/>
  <c r="N93" i="101" s="1"/>
  <c r="O53" i="101" a="1"/>
  <c r="O53" i="101" s="1"/>
  <c r="P50" i="101" a="1"/>
  <c r="P50" i="101" s="1"/>
  <c r="O58" i="101" a="1"/>
  <c r="O58" i="101" s="1"/>
  <c r="J72" i="101" a="1"/>
  <c r="J72" i="101" s="1"/>
  <c r="J91" i="101" a="1"/>
  <c r="J91" i="101" s="1"/>
  <c r="N78" i="101" a="1"/>
  <c r="N78" i="101" s="1"/>
  <c r="N49" i="101" a="1"/>
  <c r="N49" i="101" s="1"/>
  <c r="J47" i="101" a="1"/>
  <c r="J47" i="101" s="1"/>
  <c r="N57" i="101" a="1"/>
  <c r="N57" i="101" s="1"/>
  <c r="O42" i="101" a="1"/>
  <c r="O42" i="101" s="1"/>
  <c r="I58" i="101" a="1"/>
  <c r="I58" i="101" s="1"/>
  <c r="J96" i="101" a="1"/>
  <c r="J96" i="101" s="1"/>
  <c r="J92" i="101" a="1"/>
  <c r="J92" i="101" s="1"/>
  <c r="N48" i="101" a="1"/>
  <c r="N48" i="101" s="1"/>
  <c r="N91" i="101" a="1"/>
  <c r="N91" i="101" s="1"/>
  <c r="M73" i="101" a="1"/>
  <c r="M73" i="101" s="1"/>
  <c r="P77" i="101" a="1"/>
  <c r="P77" i="101" s="1"/>
  <c r="P74" i="101" a="1"/>
  <c r="P74" i="101" s="1"/>
  <c r="I84" i="101" a="1"/>
  <c r="I84" i="101" s="1"/>
  <c r="O89" i="101" a="1"/>
  <c r="O89" i="101" s="1"/>
  <c r="O63" i="101" a="1"/>
  <c r="O63" i="101" s="1"/>
  <c r="M83" i="101" a="1"/>
  <c r="M83" i="101" s="1"/>
  <c r="O71" i="101" a="1"/>
  <c r="O71" i="101" s="1"/>
  <c r="O75" i="101" a="1"/>
  <c r="O75" i="101" s="1"/>
  <c r="H96" i="101" a="1"/>
  <c r="H96" i="101" s="1"/>
  <c r="I93" i="101" a="1"/>
  <c r="I93" i="101" s="1"/>
  <c r="M69" i="101" a="1"/>
  <c r="M69" i="101" s="1"/>
  <c r="I50" i="101" a="1"/>
  <c r="I50" i="101" s="1"/>
  <c r="I85" i="101" a="1"/>
  <c r="I85" i="101" s="1"/>
  <c r="I60" i="101" a="1"/>
  <c r="I60" i="101" s="1"/>
  <c r="H56" i="101" a="1"/>
  <c r="H56" i="101" s="1"/>
  <c r="M38" i="101" a="1"/>
  <c r="M38" i="101" s="1"/>
  <c r="M53" i="101" a="1"/>
  <c r="M53" i="101" s="1"/>
  <c r="P93" i="101" a="1"/>
  <c r="P93" i="101" s="1"/>
  <c r="O40" i="101" a="1"/>
  <c r="O40" i="101" s="1"/>
  <c r="I68" i="101" a="1"/>
  <c r="I68" i="101" s="1"/>
  <c r="I92" i="101" a="1"/>
  <c r="I92" i="101" s="1"/>
  <c r="H70" i="101" a="1"/>
  <c r="H70" i="101" s="1"/>
  <c r="O93" i="101" a="1"/>
  <c r="O93" i="101" s="1"/>
  <c r="O49" i="101" a="1"/>
  <c r="O49" i="101" s="1"/>
  <c r="I67" i="101" a="1"/>
  <c r="I67" i="101" s="1"/>
  <c r="I49" i="101" a="1"/>
  <c r="I49" i="101" s="1"/>
  <c r="M61" i="101" a="1"/>
  <c r="M61" i="101" s="1"/>
  <c r="O80" i="101" a="1"/>
  <c r="O80" i="101" s="1"/>
  <c r="I37" i="101" a="1"/>
  <c r="I37" i="101" s="1"/>
  <c r="H64" i="101" a="1"/>
  <c r="H64" i="101" s="1"/>
  <c r="P56" i="101" a="1"/>
  <c r="P56" i="101" s="1"/>
  <c r="I76" i="101" a="1"/>
  <c r="I76" i="101" s="1"/>
  <c r="O91" i="101" a="1"/>
  <c r="O91" i="101" s="1"/>
  <c r="H67" i="101" a="1"/>
  <c r="H67" i="101" s="1"/>
  <c r="O88" i="101" a="1"/>
  <c r="O88" i="101" s="1"/>
  <c r="P51" i="101" a="1"/>
  <c r="P51" i="101" s="1"/>
  <c r="P60" i="101" a="1"/>
  <c r="P60" i="101" s="1"/>
  <c r="I74" i="101" a="1"/>
  <c r="I74" i="101" s="1"/>
  <c r="O79" i="101" a="1"/>
  <c r="O79" i="101" s="1"/>
  <c r="H41" i="101" a="1"/>
  <c r="H41" i="101" s="1"/>
  <c r="P89" i="101" a="1"/>
  <c r="P89" i="101" s="1"/>
  <c r="P80" i="101" a="1"/>
  <c r="P80" i="101" s="1"/>
  <c r="O59" i="101" a="1"/>
  <c r="O59" i="101" s="1"/>
  <c r="I54" i="101" a="1"/>
  <c r="I54" i="101" s="1"/>
  <c r="H47" i="101" a="1"/>
  <c r="H47" i="101" s="1"/>
  <c r="O52" i="101" a="1"/>
  <c r="O52" i="101" s="1"/>
  <c r="P95" i="101" a="1"/>
  <c r="P95" i="101" s="1"/>
  <c r="P73" i="101" a="1"/>
  <c r="P73" i="101" s="1"/>
  <c r="P76" i="101" a="1"/>
  <c r="P76" i="101" s="1"/>
  <c r="P45" i="101" a="1"/>
  <c r="P45" i="101" s="1"/>
  <c r="I94" i="101" a="1"/>
  <c r="I94" i="101" s="1"/>
  <c r="M41" i="101" a="1"/>
  <c r="M41" i="101" s="1"/>
  <c r="H65" i="101" a="1"/>
  <c r="H65" i="101" s="1"/>
  <c r="P41" i="101" a="1"/>
  <c r="P41" i="101" s="1"/>
  <c r="P61" i="101" a="1"/>
  <c r="P61" i="101" s="1"/>
  <c r="O38" i="101" a="1"/>
  <c r="O38" i="101" s="1"/>
  <c r="O60" i="101" a="1"/>
  <c r="O60" i="101" s="1"/>
  <c r="I61" i="101" a="1"/>
  <c r="I61" i="101" s="1"/>
  <c r="P57" i="101" a="1"/>
  <c r="P57" i="101" s="1"/>
  <c r="P83" i="101" a="1"/>
  <c r="P83" i="101" s="1"/>
  <c r="O83" i="101" a="1"/>
  <c r="O83" i="101" s="1"/>
  <c r="I83" i="101" a="1"/>
  <c r="I83" i="101" s="1"/>
  <c r="I81" i="101" a="1"/>
  <c r="I81" i="101" s="1"/>
  <c r="P66" i="101" a="1"/>
  <c r="P66" i="101" s="1"/>
  <c r="P78" i="101" a="1"/>
  <c r="P78" i="101" s="1"/>
  <c r="M46" i="101" a="1"/>
  <c r="M46" i="101" s="1"/>
  <c r="I43" i="101" a="1"/>
  <c r="I43" i="101" s="1"/>
  <c r="I70" i="101" a="1"/>
  <c r="I70" i="101" s="1"/>
  <c r="I91" i="101" a="1"/>
  <c r="I91" i="101" s="1"/>
  <c r="M62" i="101" a="1"/>
  <c r="M62" i="101" s="1"/>
  <c r="H83" i="101" a="1"/>
  <c r="H83" i="101" s="1"/>
  <c r="O81" i="101" a="1"/>
  <c r="O81" i="101" s="1"/>
  <c r="P92" i="101" a="1"/>
  <c r="P92" i="101" s="1"/>
  <c r="I45" i="101" a="1"/>
  <c r="I45" i="101" s="1"/>
  <c r="O78" i="101" a="1"/>
  <c r="O78" i="101" s="1"/>
  <c r="I57" i="101" a="1"/>
  <c r="I57" i="101" s="1"/>
  <c r="M82" i="101" a="1"/>
  <c r="M82" i="101" s="1"/>
  <c r="M93" i="101" a="1"/>
  <c r="M93" i="101" s="1"/>
  <c r="M39" i="101" a="1"/>
  <c r="M39" i="101" s="1"/>
  <c r="H44" i="101" a="1"/>
  <c r="H44" i="101" s="1"/>
  <c r="H89" i="101" a="1"/>
  <c r="H89" i="101" s="1"/>
  <c r="M52" i="101" a="1"/>
  <c r="M52" i="101" s="1"/>
  <c r="H51" i="101" a="1"/>
  <c r="H51" i="101" s="1"/>
  <c r="H58" i="101" a="1"/>
  <c r="H58" i="101" s="1"/>
  <c r="H95" i="101" a="1"/>
  <c r="H95" i="101" s="1"/>
  <c r="H84" i="101" a="1"/>
  <c r="H84" i="101" s="1"/>
  <c r="P68" i="101" a="1"/>
  <c r="P68" i="101" s="1"/>
  <c r="H55" i="101" a="1"/>
  <c r="H55" i="101" s="1"/>
  <c r="M56" i="101" a="1"/>
  <c r="M56" i="101" s="1"/>
  <c r="H46" i="101" a="1"/>
  <c r="H46" i="101" s="1"/>
  <c r="M85" i="101" a="1"/>
  <c r="M85" i="101" s="1"/>
  <c r="M68" i="101" a="1"/>
  <c r="M68" i="101" s="1"/>
  <c r="H72" i="101" a="1"/>
  <c r="H72" i="101" s="1"/>
  <c r="H62" i="101" a="1"/>
  <c r="H62" i="101" s="1"/>
  <c r="H69" i="101" a="1"/>
  <c r="H69" i="101" s="1"/>
  <c r="M74" i="101" a="1"/>
  <c r="M74" i="101" s="1"/>
  <c r="M87" i="101" a="1"/>
  <c r="M87" i="101" s="1"/>
  <c r="M55" i="101" a="1"/>
  <c r="M55" i="101" s="1"/>
  <c r="H90" i="101" a="1"/>
  <c r="H90" i="101" s="1"/>
  <c r="M50" i="101" a="1"/>
  <c r="M50" i="101" s="1"/>
  <c r="H86" i="101" a="1"/>
  <c r="H86" i="101" s="1"/>
  <c r="M75" i="101" a="1"/>
  <c r="M75" i="101" s="1"/>
  <c r="M81" i="101" a="1"/>
  <c r="M81" i="101" s="1"/>
  <c r="H85" i="101" a="1"/>
  <c r="H85" i="101" s="1"/>
  <c r="M43" i="101" a="1"/>
  <c r="M43" i="101" s="1"/>
  <c r="M88" i="101" a="1"/>
  <c r="M88" i="101" s="1"/>
  <c r="H59" i="101" a="1"/>
  <c r="H59" i="101" s="1"/>
  <c r="K37" i="101" a="1"/>
  <c r="K37" i="101" s="1"/>
  <c r="P88" i="101" a="1"/>
  <c r="P88" i="101" s="1"/>
  <c r="K86" i="101" a="1"/>
  <c r="K86" i="101" s="1"/>
  <c r="K65" i="101" a="1"/>
  <c r="K65" i="101" s="1"/>
  <c r="H40" i="101" a="1"/>
  <c r="H40" i="101" s="1"/>
  <c r="H45" i="101" a="1"/>
  <c r="H45" i="101" s="1"/>
  <c r="K59" i="101" a="1"/>
  <c r="K59" i="101" s="1"/>
  <c r="I90" i="101" a="1"/>
  <c r="I90" i="101" s="1"/>
  <c r="I71" i="101" a="1"/>
  <c r="I71" i="101" s="1"/>
  <c r="P39" i="101" a="1"/>
  <c r="P39" i="101" s="1"/>
  <c r="P46" i="101" a="1"/>
  <c r="P46" i="101" s="1"/>
  <c r="P67" i="101" a="1"/>
  <c r="P67" i="101" s="1"/>
  <c r="O41" i="101" a="1"/>
  <c r="O41" i="101" s="1"/>
  <c r="I62" i="101" a="1"/>
  <c r="I62" i="101" s="1"/>
  <c r="O90" i="101" a="1"/>
  <c r="O90" i="101" s="1"/>
  <c r="I52" i="101" a="1"/>
  <c r="I52" i="101" s="1"/>
  <c r="O69" i="101" a="1"/>
  <c r="O69" i="101" s="1"/>
  <c r="K56" i="101" a="1"/>
  <c r="K56" i="101" s="1"/>
  <c r="K62" i="101" a="1"/>
  <c r="K62" i="101" s="1"/>
  <c r="K70" i="101" a="1"/>
  <c r="K70" i="101" s="1"/>
  <c r="H74" i="101" a="1"/>
  <c r="H74" i="101" s="1"/>
  <c r="H43" i="101" a="1"/>
  <c r="H43" i="101" s="1"/>
  <c r="H93" i="101" a="1"/>
  <c r="H93" i="101" s="1"/>
  <c r="H50" i="101" a="1"/>
  <c r="H50" i="101" s="1"/>
  <c r="O44" i="101" a="1"/>
  <c r="O44" i="101" s="1"/>
  <c r="M49" i="101" a="1"/>
  <c r="M49" i="101" s="1"/>
  <c r="H81" i="101" a="1"/>
  <c r="H81" i="101" s="1"/>
  <c r="P86" i="101" a="1"/>
  <c r="P86" i="101" s="1"/>
  <c r="H48" i="101" a="1"/>
  <c r="H48" i="101" s="1"/>
  <c r="I96" i="101" a="1"/>
  <c r="I96" i="101" s="1"/>
  <c r="M78" i="101" a="1"/>
  <c r="M78" i="101" s="1"/>
  <c r="P69" i="101" a="1"/>
  <c r="P69" i="101" s="1"/>
  <c r="M64" i="101" a="1"/>
  <c r="M64" i="101" s="1"/>
  <c r="O65" i="101" a="1"/>
  <c r="O65" i="101" s="1"/>
  <c r="I75" i="101" a="1"/>
  <c r="I75" i="101" s="1"/>
  <c r="O48" i="101" a="1"/>
  <c r="O48" i="101" s="1"/>
  <c r="I77" i="101" a="1"/>
  <c r="I77" i="101" s="1"/>
  <c r="P71" i="101" a="1"/>
  <c r="P71" i="101" s="1"/>
  <c r="M84" i="101" a="1"/>
  <c r="M84" i="101" s="1"/>
  <c r="K88" i="101" a="1"/>
  <c r="K88" i="101" s="1"/>
  <c r="K73" i="101" a="1"/>
  <c r="K73" i="101" s="1"/>
  <c r="K91" i="101" a="1"/>
  <c r="K91" i="101" s="1"/>
  <c r="H75" i="101" a="1"/>
  <c r="H75" i="101" s="1"/>
  <c r="H38" i="101" a="1"/>
  <c r="H38" i="101" s="1"/>
  <c r="M40" i="101" a="1"/>
  <c r="M40" i="101" s="1"/>
  <c r="H71" i="101" a="1"/>
  <c r="H71" i="101" s="1"/>
  <c r="O57" i="101" a="1"/>
  <c r="O57" i="101" s="1"/>
  <c r="K77" i="101" a="1"/>
  <c r="K77" i="101" s="1"/>
  <c r="M95" i="101" a="1"/>
  <c r="M95" i="101" s="1"/>
  <c r="P59" i="101" a="1"/>
  <c r="P59" i="101" s="1"/>
  <c r="M54" i="101" a="1"/>
  <c r="M54" i="101" s="1"/>
  <c r="M57" i="101" a="1"/>
  <c r="M57" i="101" s="1"/>
  <c r="M94" i="101" a="1"/>
  <c r="M94" i="101" s="1"/>
  <c r="M90" i="101" a="1"/>
  <c r="M90" i="101" s="1"/>
  <c r="I59" i="101" a="1"/>
  <c r="I59" i="101" s="1"/>
  <c r="O43" i="101" a="1"/>
  <c r="O43" i="101" s="1"/>
  <c r="I66" i="101" a="1"/>
  <c r="I66" i="101" s="1"/>
  <c r="O76" i="101" a="1"/>
  <c r="O76" i="101" s="1"/>
  <c r="P55" i="101" a="1"/>
  <c r="P55" i="101" s="1"/>
  <c r="M72" i="101" a="1"/>
  <c r="M72" i="101" s="1"/>
  <c r="K79" i="101" a="1"/>
  <c r="K79" i="101" s="1"/>
  <c r="K46" i="101" a="1"/>
  <c r="K46" i="101" s="1"/>
  <c r="H66" i="101" a="1"/>
  <c r="H66" i="101" s="1"/>
  <c r="H92" i="101" a="1"/>
  <c r="H92" i="101" s="1"/>
  <c r="H39" i="101" a="1"/>
  <c r="H39" i="101" s="1"/>
  <c r="K38" i="101" a="1"/>
  <c r="K38" i="101" s="1"/>
  <c r="P87" i="101" a="1"/>
  <c r="P87" i="101" s="1"/>
  <c r="O61" i="101" a="1"/>
  <c r="O61" i="101" s="1"/>
  <c r="K40" i="101" a="1"/>
  <c r="K40" i="101" s="1"/>
  <c r="O85" i="101" a="1"/>
  <c r="O85" i="101" s="1"/>
  <c r="M77" i="101" a="1"/>
  <c r="M77" i="101" s="1"/>
  <c r="M96" i="101" a="1"/>
  <c r="M96" i="101" s="1"/>
  <c r="M48" i="101" a="1"/>
  <c r="M48" i="101" s="1"/>
  <c r="M47" i="101" a="1"/>
  <c r="M47" i="101" s="1"/>
  <c r="I44" i="101" a="1"/>
  <c r="I44" i="101" s="1"/>
  <c r="O95" i="101" a="1"/>
  <c r="O95" i="101" s="1"/>
  <c r="I89" i="101" a="1"/>
  <c r="I89" i="101" s="1"/>
  <c r="O86" i="101" a="1"/>
  <c r="O86" i="101" s="1"/>
  <c r="M91" i="101" a="1"/>
  <c r="M91" i="101" s="1"/>
  <c r="K51" i="101" a="1"/>
  <c r="K51" i="101" s="1"/>
  <c r="K80" i="101" a="1"/>
  <c r="K80" i="101" s="1"/>
  <c r="K81" i="101" a="1"/>
  <c r="K81" i="101" s="1"/>
  <c r="H94" i="101" a="1"/>
  <c r="H94" i="101" s="1"/>
  <c r="H91" i="101" a="1"/>
  <c r="H91" i="101" s="1"/>
  <c r="K96" i="101" a="1"/>
  <c r="K96" i="101" s="1"/>
  <c r="H61" i="101" a="1"/>
  <c r="H61" i="101" s="1"/>
  <c r="P47" i="101" a="1"/>
  <c r="P47" i="101" s="1"/>
  <c r="O54" i="101" a="1"/>
  <c r="O54" i="101" s="1"/>
  <c r="K90" i="101" a="1"/>
  <c r="K90" i="101" s="1"/>
  <c r="O51" i="101" a="1"/>
  <c r="O51" i="101" s="1"/>
  <c r="I47" i="101" a="1"/>
  <c r="I47" i="101" s="1"/>
  <c r="P49" i="101" a="1"/>
  <c r="P49" i="101" s="1"/>
  <c r="M92" i="101" a="1"/>
  <c r="M92" i="101" s="1"/>
  <c r="P82" i="101" a="1"/>
  <c r="P82" i="101" s="1"/>
  <c r="O55" i="101" a="1"/>
  <c r="O55" i="101" s="1"/>
  <c r="O47" i="101" a="1"/>
  <c r="O47" i="101" s="1"/>
  <c r="O70" i="101" a="1"/>
  <c r="O70" i="101" s="1"/>
  <c r="I64" i="101" a="1"/>
  <c r="I64" i="101" s="1"/>
  <c r="M65" i="101" a="1"/>
  <c r="M65" i="101" s="1"/>
  <c r="K44" i="101" a="1"/>
  <c r="K44" i="101" s="1"/>
  <c r="K74" i="101" a="1"/>
  <c r="K74" i="101" s="1"/>
  <c r="K60" i="101" a="1"/>
  <c r="K60" i="101" s="1"/>
  <c r="H79" i="101" a="1"/>
  <c r="H79" i="101" s="1"/>
  <c r="H42" i="101" a="1"/>
  <c r="H42" i="101" s="1"/>
  <c r="H77" i="101" a="1"/>
  <c r="H77" i="101" s="1"/>
  <c r="M79" i="101" a="1"/>
  <c r="M79" i="101" s="1"/>
  <c r="K50" i="101" a="1"/>
  <c r="K50" i="101" s="1"/>
  <c r="M86" i="101" a="1"/>
  <c r="M86" i="101" s="1"/>
  <c r="O64" i="101" a="1"/>
  <c r="O64" i="101" s="1"/>
  <c r="K71" i="101" a="1"/>
  <c r="K71" i="101" s="1"/>
  <c r="P44" i="101" a="1"/>
  <c r="P44" i="101" s="1"/>
  <c r="P43" i="101" a="1"/>
  <c r="P43" i="101" s="1"/>
  <c r="P37" i="101" a="1"/>
  <c r="P37" i="101" s="1"/>
  <c r="P70" i="101" a="1"/>
  <c r="P70" i="101" s="1"/>
  <c r="O82" i="101" a="1"/>
  <c r="O82" i="101" s="1"/>
  <c r="I82" i="101" a="1"/>
  <c r="I82" i="101" s="1"/>
  <c r="O50" i="101" a="1"/>
  <c r="O50" i="101" s="1"/>
  <c r="I63" i="101" a="1"/>
  <c r="I63" i="101" s="1"/>
  <c r="P79" i="101" a="1"/>
  <c r="P79" i="101" s="1"/>
  <c r="M66" i="101" a="1"/>
  <c r="M66" i="101" s="1"/>
  <c r="K93" i="101" a="1"/>
  <c r="K93" i="101" s="1"/>
  <c r="K67" i="101" a="1"/>
  <c r="K67" i="101" s="1"/>
  <c r="K48" i="101" a="1"/>
  <c r="K48" i="101" s="1"/>
  <c r="K72" i="101" a="1"/>
  <c r="K72" i="101" s="1"/>
  <c r="H52" i="101" a="1"/>
  <c r="H52" i="101" s="1"/>
  <c r="H68" i="101" a="1"/>
  <c r="H68" i="101" s="1"/>
  <c r="K87" i="101" a="1"/>
  <c r="K87" i="101" s="1"/>
  <c r="H57" i="101" a="1"/>
  <c r="H57" i="101" s="1"/>
  <c r="H78" i="101" a="1"/>
  <c r="H78" i="101" s="1"/>
  <c r="M70" i="101" a="1"/>
  <c r="M70" i="101" s="1"/>
  <c r="H54" i="101" a="1"/>
  <c r="H54" i="101" s="1"/>
  <c r="P96" i="101" a="1"/>
  <c r="P96" i="101" s="1"/>
  <c r="M71" i="101" a="1"/>
  <c r="M71" i="101" s="1"/>
  <c r="M60" i="101" a="1"/>
  <c r="M60" i="101" s="1"/>
  <c r="H37" i="101" a="1"/>
  <c r="H37" i="101" s="1"/>
  <c r="O77" i="101" a="1"/>
  <c r="O77" i="101" s="1"/>
  <c r="O66" i="101" a="1"/>
  <c r="O66" i="101" s="1"/>
  <c r="P81" i="101" a="1"/>
  <c r="P81" i="101" s="1"/>
  <c r="M63" i="101" a="1"/>
  <c r="M63" i="101" s="1"/>
  <c r="O92" i="101" a="1"/>
  <c r="O92" i="101" s="1"/>
  <c r="I40" i="101" a="1"/>
  <c r="I40" i="101" s="1"/>
  <c r="O37" i="101" a="1"/>
  <c r="O37" i="101" s="1"/>
  <c r="I38" i="101" a="1"/>
  <c r="I38" i="101" s="1"/>
  <c r="P53" i="101" a="1"/>
  <c r="P53" i="101" s="1"/>
  <c r="M89" i="101" a="1"/>
  <c r="M89" i="101" s="1"/>
  <c r="K68" i="101" a="1"/>
  <c r="K68" i="101" s="1"/>
  <c r="K92" i="101" a="1"/>
  <c r="K92" i="101" s="1"/>
  <c r="H60" i="101" a="1"/>
  <c r="H60" i="101" s="1"/>
  <c r="H49" i="101" a="1"/>
  <c r="H49" i="101" s="1"/>
  <c r="K43" i="101" a="1"/>
  <c r="K43" i="101" s="1"/>
  <c r="P90" i="101" a="1"/>
  <c r="P90" i="101" s="1"/>
  <c r="O67" i="101" a="1"/>
  <c r="O67" i="101" s="1"/>
  <c r="P91" i="101" a="1"/>
  <c r="P91" i="101" s="1"/>
  <c r="M45" i="101" a="1"/>
  <c r="M45" i="101" s="1"/>
  <c r="I87" i="101" a="1"/>
  <c r="I87" i="101" s="1"/>
  <c r="O94" i="101" a="1"/>
  <c r="O94" i="101" s="1"/>
  <c r="O46" i="101" a="1"/>
  <c r="O46" i="101" s="1"/>
  <c r="O87" i="101" a="1"/>
  <c r="O87" i="101" s="1"/>
  <c r="I78" i="101" a="1"/>
  <c r="I78" i="101" s="1"/>
  <c r="M37" i="101" a="1"/>
  <c r="M37" i="101" s="1"/>
  <c r="K54" i="101" a="1"/>
  <c r="K54" i="101" s="1"/>
  <c r="K39" i="101" a="1"/>
  <c r="K39" i="101" s="1"/>
  <c r="H53" i="101" a="1"/>
  <c r="H53" i="101" s="1"/>
  <c r="H87" i="101" a="1"/>
  <c r="H87" i="101" s="1"/>
  <c r="M58" i="101" a="1"/>
  <c r="M58" i="101" s="1"/>
  <c r="H80" i="101" a="1"/>
  <c r="H80" i="101" s="1"/>
  <c r="M67" i="101" a="1"/>
  <c r="M67" i="101" s="1"/>
  <c r="P63" i="101" a="1"/>
  <c r="P63" i="101" s="1"/>
  <c r="I72" i="101" a="1"/>
  <c r="I72" i="101" s="1"/>
  <c r="M76" i="101" a="1"/>
  <c r="M76" i="101" s="1"/>
  <c r="O96" i="101" a="1"/>
  <c r="O96" i="101" s="1"/>
  <c r="O45" i="101" a="1"/>
  <c r="O45" i="101" s="1"/>
  <c r="K75" i="101" a="1"/>
  <c r="K75" i="101" s="1"/>
  <c r="H76" i="101" a="1"/>
  <c r="H76" i="101" s="1"/>
  <c r="H82" i="101" a="1"/>
  <c r="H82" i="101" s="1"/>
  <c r="H73" i="101" a="1"/>
  <c r="H73" i="101" s="1"/>
  <c r="AR49" i="5"/>
  <c r="BX10" i="101"/>
  <c r="BY10" i="101"/>
  <c r="Q20" i="86"/>
  <c r="AG109" i="62"/>
  <c r="AG139" i="62" s="1"/>
  <c r="K140" i="62" s="1"/>
  <c r="K141" i="62" s="1"/>
  <c r="E9" i="17" s="1"/>
  <c r="G9" i="17" s="1"/>
  <c r="AK109" i="62"/>
  <c r="AK139" i="62" s="1"/>
  <c r="O140" i="62" s="1"/>
  <c r="O141" i="62" s="1"/>
  <c r="E13" i="17" s="1"/>
  <c r="G13" i="17" s="1"/>
  <c r="AH109" i="62"/>
  <c r="AH139" i="62" s="1"/>
  <c r="L140" i="62" s="1"/>
  <c r="L141" i="62" s="1"/>
  <c r="E10" i="17" s="1"/>
  <c r="G10" i="17" s="1"/>
  <c r="AF109" i="62"/>
  <c r="AF139" i="62" s="1"/>
  <c r="J140" i="62" s="1"/>
  <c r="J141" i="62" s="1"/>
  <c r="E8" i="17" s="1"/>
  <c r="G8" i="17" s="1"/>
  <c r="AC109" i="62"/>
  <c r="BX6" i="101"/>
  <c r="BY6" i="101"/>
  <c r="I76" i="7"/>
  <c r="V13" i="69"/>
  <c r="CD20" i="5"/>
  <c r="AS49" i="5" s="1"/>
  <c r="CX20" i="5"/>
  <c r="BK29" i="5" s="1"/>
  <c r="Q78" i="7" s="1"/>
  <c r="CV20" i="5"/>
  <c r="AX20" i="5"/>
  <c r="DE5" i="5"/>
  <c r="Q20" i="99"/>
  <c r="Q20" i="92"/>
  <c r="Q20" i="84"/>
  <c r="F6" i="17"/>
  <c r="Q22" i="18" s="1"/>
  <c r="F5" i="17"/>
  <c r="Q21" i="18" s="1"/>
  <c r="S12" i="102" s="1"/>
  <c r="CU20" i="5"/>
  <c r="BG29" i="5" s="1"/>
  <c r="N78" i="7" s="1"/>
  <c r="N76" i="7"/>
  <c r="AS48" i="5"/>
  <c r="AX48" i="5" s="1"/>
  <c r="H76" i="7"/>
  <c r="BI20" i="5"/>
  <c r="CQ20" i="5"/>
  <c r="CA5" i="5"/>
  <c r="CA20" i="5" s="1"/>
  <c r="DA20" i="5"/>
  <c r="CG5" i="5"/>
  <c r="CG20" i="5" s="1"/>
  <c r="I30" i="4" s="1"/>
  <c r="CS20" i="5"/>
  <c r="BE29" i="5" s="1"/>
  <c r="BO20" i="5"/>
  <c r="CZ20" i="5"/>
  <c r="CP20" i="5"/>
  <c r="T76" i="7"/>
  <c r="CL20" i="5"/>
  <c r="CY20" i="5"/>
  <c r="BL29" i="5" s="1"/>
  <c r="R78" i="7" s="1"/>
  <c r="Q20" i="91"/>
  <c r="Q20" i="74"/>
  <c r="Q20" i="69"/>
  <c r="V5" i="61"/>
  <c r="Q20" i="89"/>
  <c r="Q20" i="72"/>
  <c r="Q20" i="67"/>
  <c r="Q20" i="68"/>
  <c r="AL8" i="15"/>
  <c r="AF8" i="16" s="1"/>
  <c r="F7" i="17"/>
  <c r="Q23" i="18" s="1"/>
  <c r="S14" i="102" s="1"/>
  <c r="AK5" i="15"/>
  <c r="W5" i="15" s="1"/>
  <c r="Q20" i="82"/>
  <c r="Q20" i="87"/>
  <c r="Q20" i="94"/>
  <c r="Q20" i="95"/>
  <c r="Q20" i="93"/>
  <c r="Q20" i="96"/>
  <c r="Q20" i="97"/>
  <c r="Q20" i="90"/>
  <c r="Q20" i="88"/>
  <c r="Q20" i="73"/>
  <c r="Q20" i="85"/>
  <c r="Q17" i="19"/>
  <c r="Q20" i="83"/>
  <c r="Q20" i="70"/>
  <c r="Q20" i="98"/>
  <c r="CE20" i="5"/>
  <c r="CE21" i="5" s="1"/>
  <c r="CE22" i="5" s="1"/>
  <c r="Q20" i="81"/>
  <c r="BO28" i="5"/>
  <c r="Q20" i="100"/>
  <c r="Q20" i="66"/>
  <c r="Q20" i="71"/>
  <c r="AL6" i="15"/>
  <c r="AF6" i="16" s="1"/>
  <c r="AB139" i="62"/>
  <c r="DE20" i="5"/>
  <c r="DE24" i="5" s="1"/>
  <c r="CF21" i="5"/>
  <c r="CF22" i="5" s="1"/>
  <c r="BF29" i="5"/>
  <c r="M78" i="7" s="1"/>
  <c r="BJ29" i="5"/>
  <c r="BJ30" i="5" s="1"/>
  <c r="BX21" i="5"/>
  <c r="BX22" i="5" s="1"/>
  <c r="AW35" i="5"/>
  <c r="J78" i="7" s="1"/>
  <c r="BD29" i="5"/>
  <c r="K78" i="7" s="1"/>
  <c r="AT35" i="5"/>
  <c r="G78" i="7" s="1"/>
  <c r="DG20" i="5"/>
  <c r="DD14" i="71"/>
  <c r="V14" i="71" s="1"/>
  <c r="BW49" i="101" s="1"/>
  <c r="U13" i="70"/>
  <c r="DD14" i="95"/>
  <c r="V14" i="95" s="1"/>
  <c r="BW85" i="101" s="1"/>
  <c r="V13" i="72"/>
  <c r="DD14" i="92"/>
  <c r="V14" i="92" s="1"/>
  <c r="BW79" i="101" s="1"/>
  <c r="DD14" i="81"/>
  <c r="V14" i="81" s="1"/>
  <c r="AW65" i="5"/>
  <c r="AW63" i="5"/>
  <c r="AW66" i="5" s="1"/>
  <c r="AW73" i="5" s="1"/>
  <c r="AW75" i="5" s="1"/>
  <c r="AQ42" i="5"/>
  <c r="J23" i="6"/>
  <c r="AX42" i="5" s="1"/>
  <c r="C24" i="6"/>
  <c r="I26" i="17"/>
  <c r="D26" i="17" s="1"/>
  <c r="AN102" i="62"/>
  <c r="AG30" i="99"/>
  <c r="AE30" i="99"/>
  <c r="AF30" i="99"/>
  <c r="AG24" i="97"/>
  <c r="AE24" i="97"/>
  <c r="AF24" i="97"/>
  <c r="AG24" i="100"/>
  <c r="AE24" i="100"/>
  <c r="AF24" i="100"/>
  <c r="AG29" i="88"/>
  <c r="AE29" i="88"/>
  <c r="AF29" i="88"/>
  <c r="AG30" i="85"/>
  <c r="AE30" i="85"/>
  <c r="AF30" i="85"/>
  <c r="AG29" i="87"/>
  <c r="AE29" i="87"/>
  <c r="AF29" i="87"/>
  <c r="AG29" i="84"/>
  <c r="AE29" i="84"/>
  <c r="AF29" i="84"/>
  <c r="AG30" i="89"/>
  <c r="AF30" i="89"/>
  <c r="AE30" i="89"/>
  <c r="AG27" i="98"/>
  <c r="AF27" i="98"/>
  <c r="AE27" i="98"/>
  <c r="AG24" i="96"/>
  <c r="AF24" i="96"/>
  <c r="AE24" i="96"/>
  <c r="AG24" i="95"/>
  <c r="AF24" i="95"/>
  <c r="AE24" i="95"/>
  <c r="AG29" i="98"/>
  <c r="AF29" i="98"/>
  <c r="AE29" i="98"/>
  <c r="AG28" i="88"/>
  <c r="AE28" i="88"/>
  <c r="AF28" i="88"/>
  <c r="AG24" i="94"/>
  <c r="AE24" i="94"/>
  <c r="AF24" i="94"/>
  <c r="AG24" i="81"/>
  <c r="AE24" i="81"/>
  <c r="AF24" i="81"/>
  <c r="AG29" i="92"/>
  <c r="AF29" i="92"/>
  <c r="AE29" i="92"/>
  <c r="AG30" i="91"/>
  <c r="AF30" i="91"/>
  <c r="AE30" i="91"/>
  <c r="AG30" i="97"/>
  <c r="AE30" i="97"/>
  <c r="AF30" i="97"/>
  <c r="AG28" i="83"/>
  <c r="AF28" i="83"/>
  <c r="AE28" i="83"/>
  <c r="AG24" i="85"/>
  <c r="AF24" i="85"/>
  <c r="AE24" i="85"/>
  <c r="AG30" i="100"/>
  <c r="AE30" i="100"/>
  <c r="AF30" i="100"/>
  <c r="AG28" i="100"/>
  <c r="AE28" i="100"/>
  <c r="AF28" i="100"/>
  <c r="AG24" i="93"/>
  <c r="AE24" i="93"/>
  <c r="AF24" i="93"/>
  <c r="AG30" i="82"/>
  <c r="AE30" i="82"/>
  <c r="AF30" i="82"/>
  <c r="AG28" i="94"/>
  <c r="AF28" i="94"/>
  <c r="AE28" i="94"/>
  <c r="AG24" i="18"/>
  <c r="AF24" i="18"/>
  <c r="AO102" i="62"/>
  <c r="AG29" i="93"/>
  <c r="AE29" i="93"/>
  <c r="AF29" i="93"/>
  <c r="AG28" i="91"/>
  <c r="AF28" i="91"/>
  <c r="AE28" i="91"/>
  <c r="AG27" i="85"/>
  <c r="AF27" i="85"/>
  <c r="AE27" i="85"/>
  <c r="AG29" i="90"/>
  <c r="AE29" i="90"/>
  <c r="AF29" i="90"/>
  <c r="AG28" i="84"/>
  <c r="AF28" i="84"/>
  <c r="AE28" i="84"/>
  <c r="AG24" i="90"/>
  <c r="AE24" i="90"/>
  <c r="AF24" i="90"/>
  <c r="AG28" i="82"/>
  <c r="AE28" i="82"/>
  <c r="AF28" i="82"/>
  <c r="AG29" i="95"/>
  <c r="AE29" i="95"/>
  <c r="AF29" i="95"/>
  <c r="AG24" i="86"/>
  <c r="AF24" i="86"/>
  <c r="AE24" i="86"/>
  <c r="AG28" i="99"/>
  <c r="AF28" i="99"/>
  <c r="AE28" i="99"/>
  <c r="AG29" i="91"/>
  <c r="AE29" i="91"/>
  <c r="AF29" i="91"/>
  <c r="AG24" i="89"/>
  <c r="AF24" i="89"/>
  <c r="AE24" i="89"/>
  <c r="AG29" i="82"/>
  <c r="AE29" i="82"/>
  <c r="AF29" i="82"/>
  <c r="AG28" i="87"/>
  <c r="AE28" i="87"/>
  <c r="AF28" i="87"/>
  <c r="AG27" i="93"/>
  <c r="AE27" i="93"/>
  <c r="AF27" i="93"/>
  <c r="AG30" i="81"/>
  <c r="AE30" i="81"/>
  <c r="AF30" i="81"/>
  <c r="AG27" i="97"/>
  <c r="AF27" i="97"/>
  <c r="AE27" i="97"/>
  <c r="AP102" i="62"/>
  <c r="AG30" i="84"/>
  <c r="AF30" i="84"/>
  <c r="AE30" i="84"/>
  <c r="AG28" i="92"/>
  <c r="AF28" i="92"/>
  <c r="AE28" i="92"/>
  <c r="AG24" i="92"/>
  <c r="AE24" i="92"/>
  <c r="AF24" i="92"/>
  <c r="AG30" i="88"/>
  <c r="AF30" i="88"/>
  <c r="AE30" i="88"/>
  <c r="AG29" i="85"/>
  <c r="AE29" i="85"/>
  <c r="AF29" i="85"/>
  <c r="AG28" i="90"/>
  <c r="AF28" i="90"/>
  <c r="AE28" i="90"/>
  <c r="AG27" i="100"/>
  <c r="AE27" i="100"/>
  <c r="AF27" i="100"/>
  <c r="AG24" i="83"/>
  <c r="AF24" i="83"/>
  <c r="AE24" i="83"/>
  <c r="AG29" i="83"/>
  <c r="AF29" i="83"/>
  <c r="AE29" i="83"/>
  <c r="AG30" i="96"/>
  <c r="AE30" i="96"/>
  <c r="AF30" i="96"/>
  <c r="AG27" i="92"/>
  <c r="AF27" i="92"/>
  <c r="AE27" i="92"/>
  <c r="AG27" i="82"/>
  <c r="AF27" i="82"/>
  <c r="AE27" i="82"/>
  <c r="AG29" i="99"/>
  <c r="AF29" i="99"/>
  <c r="AE29" i="99"/>
  <c r="AG27" i="96"/>
  <c r="AF27" i="96"/>
  <c r="AE27" i="96"/>
  <c r="AG30" i="98"/>
  <c r="AE30" i="98"/>
  <c r="AF30" i="98"/>
  <c r="AG27" i="99"/>
  <c r="AF27" i="99"/>
  <c r="AE27" i="99"/>
  <c r="AG24" i="88"/>
  <c r="AE24" i="88"/>
  <c r="AF24" i="88"/>
  <c r="AK102" i="62"/>
  <c r="AG27" i="90"/>
  <c r="AF27" i="90"/>
  <c r="AE27" i="90"/>
  <c r="AG27" i="91"/>
  <c r="AF27" i="91"/>
  <c r="AE27" i="91"/>
  <c r="AG30" i="92"/>
  <c r="AE30" i="92"/>
  <c r="AF30" i="92"/>
  <c r="AG27" i="81"/>
  <c r="AE27" i="81"/>
  <c r="AF27" i="81"/>
  <c r="AG24" i="82"/>
  <c r="AF24" i="82"/>
  <c r="AE24" i="82"/>
  <c r="AG28" i="97"/>
  <c r="AF28" i="97"/>
  <c r="AE28" i="97"/>
  <c r="AG27" i="84"/>
  <c r="AF27" i="84"/>
  <c r="AE27" i="84"/>
  <c r="AG24" i="87"/>
  <c r="AE24" i="87"/>
  <c r="AF24" i="87"/>
  <c r="AG30" i="90"/>
  <c r="AE30" i="90"/>
  <c r="AF30" i="90"/>
  <c r="AG28" i="93"/>
  <c r="AE28" i="93"/>
  <c r="AF28" i="93"/>
  <c r="AG27" i="95"/>
  <c r="AE27" i="95"/>
  <c r="AF27" i="95"/>
  <c r="AG24" i="84"/>
  <c r="AF24" i="84"/>
  <c r="AE24" i="84"/>
  <c r="AG27" i="86"/>
  <c r="AE27" i="86"/>
  <c r="AF27" i="86"/>
  <c r="AG29" i="81"/>
  <c r="AF29" i="81"/>
  <c r="AE29" i="81"/>
  <c r="AG30" i="83"/>
  <c r="AE30" i="83"/>
  <c r="AF30" i="83"/>
  <c r="AG28" i="95"/>
  <c r="AE28" i="95"/>
  <c r="AF28" i="95"/>
  <c r="AG27" i="88"/>
  <c r="AE27" i="88"/>
  <c r="AF27" i="88"/>
  <c r="AG28" i="86"/>
  <c r="AE28" i="86"/>
  <c r="AF28" i="86"/>
  <c r="AG27" i="89"/>
  <c r="AF27" i="89"/>
  <c r="AE27" i="89"/>
  <c r="AG24" i="99"/>
  <c r="AE24" i="99"/>
  <c r="AF24" i="99"/>
  <c r="AG29" i="97"/>
  <c r="AE29" i="97"/>
  <c r="AF29" i="97"/>
  <c r="AG29" i="96"/>
  <c r="AF29" i="96"/>
  <c r="AE29" i="96"/>
  <c r="AG28" i="89"/>
  <c r="AF28" i="89"/>
  <c r="AE28" i="89"/>
  <c r="AM102" i="62"/>
  <c r="AG30" i="87"/>
  <c r="AE30" i="87"/>
  <c r="AF30" i="87"/>
  <c r="AG28" i="96"/>
  <c r="AF28" i="96"/>
  <c r="AE28" i="96"/>
  <c r="AG30" i="94"/>
  <c r="AF30" i="94"/>
  <c r="AE30" i="94"/>
  <c r="AG27" i="94"/>
  <c r="AE27" i="94"/>
  <c r="AF27" i="94"/>
  <c r="AG24" i="98"/>
  <c r="AE24" i="98"/>
  <c r="AF24" i="98"/>
  <c r="AG30" i="93"/>
  <c r="AE30" i="93"/>
  <c r="AF30" i="93"/>
  <c r="AL102" i="62"/>
  <c r="AG29" i="89"/>
  <c r="AF29" i="89"/>
  <c r="AE29" i="89"/>
  <c r="AG30" i="95"/>
  <c r="AE30" i="95"/>
  <c r="AF30" i="95"/>
  <c r="AG29" i="86"/>
  <c r="AF29" i="86"/>
  <c r="AE29" i="86"/>
  <c r="AG30" i="86"/>
  <c r="AE30" i="86"/>
  <c r="AF30" i="86"/>
  <c r="AG29" i="94"/>
  <c r="AF29" i="94"/>
  <c r="AE29" i="94"/>
  <c r="AG28" i="81"/>
  <c r="AF28" i="81"/>
  <c r="AE28" i="81"/>
  <c r="AG27" i="87"/>
  <c r="AE27" i="87"/>
  <c r="AF27" i="87"/>
  <c r="AG28" i="98"/>
  <c r="AE28" i="98"/>
  <c r="AF28" i="98"/>
  <c r="AG28" i="85"/>
  <c r="AF28" i="85"/>
  <c r="AE28" i="85"/>
  <c r="AG27" i="83"/>
  <c r="AE27" i="83"/>
  <c r="AF27" i="83"/>
  <c r="AG24" i="91"/>
  <c r="AF24" i="91"/>
  <c r="AE24" i="91"/>
  <c r="AG29" i="100"/>
  <c r="AF29" i="100"/>
  <c r="AE29" i="100"/>
  <c r="DD14" i="98"/>
  <c r="V14" i="98" s="1"/>
  <c r="BW91" i="101" s="1"/>
  <c r="DD14" i="91"/>
  <c r="V14" i="91" s="1"/>
  <c r="BW77" i="101" s="1"/>
  <c r="U13" i="69"/>
  <c r="DD14" i="82"/>
  <c r="V14" i="82" s="1"/>
  <c r="BW59" i="101" s="1"/>
  <c r="DC14" i="84"/>
  <c r="V14" i="84" s="1"/>
  <c r="BW63" i="101" s="1"/>
  <c r="U13" i="72"/>
  <c r="DD14" i="85"/>
  <c r="V14" i="85" s="1"/>
  <c r="BW65" i="101" s="1"/>
  <c r="U14" i="68"/>
  <c r="BV43" i="101" s="1"/>
  <c r="V14" i="68"/>
  <c r="BW43" i="101" s="1"/>
  <c r="DD14" i="97"/>
  <c r="V14" i="97" s="1"/>
  <c r="BW89" i="101" s="1"/>
  <c r="DC14" i="67"/>
  <c r="DD14" i="67"/>
  <c r="V14" i="74"/>
  <c r="BW55" i="101" s="1"/>
  <c r="U14" i="74"/>
  <c r="BV55" i="101" s="1"/>
  <c r="W14" i="66"/>
  <c r="DC14" i="70"/>
  <c r="DD14" i="70"/>
  <c r="DD14" i="87"/>
  <c r="V14" i="87" s="1"/>
  <c r="BW69" i="101" s="1"/>
  <c r="DD14" i="83"/>
  <c r="V14" i="83" s="1"/>
  <c r="BW61" i="101" s="1"/>
  <c r="BX49" i="101"/>
  <c r="BY49" i="101"/>
  <c r="W14" i="72"/>
  <c r="W14" i="69"/>
  <c r="AL139" i="62"/>
  <c r="P140" i="62" s="1"/>
  <c r="P141" i="62" s="1"/>
  <c r="E14" i="17" s="1"/>
  <c r="G14" i="17" s="1"/>
  <c r="R30" i="95" s="1"/>
  <c r="U14" i="91"/>
  <c r="BV77" i="101" s="1"/>
  <c r="BY77" i="101" s="1"/>
  <c r="U14" i="92"/>
  <c r="BV79" i="101" s="1"/>
  <c r="BX79" i="101" s="1"/>
  <c r="V14" i="94"/>
  <c r="BW83" i="101" s="1"/>
  <c r="U14" i="95"/>
  <c r="BV85" i="101" s="1"/>
  <c r="BY85" i="101" s="1"/>
  <c r="U14" i="97"/>
  <c r="BV89" i="101" s="1"/>
  <c r="BX89" i="101" s="1"/>
  <c r="U14" i="98"/>
  <c r="BV91" i="101" s="1"/>
  <c r="BX91" i="101" s="1"/>
  <c r="BY31" i="101"/>
  <c r="BX31" i="101"/>
  <c r="H22" i="18"/>
  <c r="H22" i="97"/>
  <c r="H22" i="86"/>
  <c r="H22" i="69"/>
  <c r="H22" i="98"/>
  <c r="H22" i="87"/>
  <c r="H22" i="70"/>
  <c r="H22" i="89"/>
  <c r="H22" i="73"/>
  <c r="H22" i="91"/>
  <c r="H22" i="81"/>
  <c r="H22" i="93"/>
  <c r="H22" i="83"/>
  <c r="H22" i="66"/>
  <c r="H22" i="92"/>
  <c r="H22" i="82"/>
  <c r="H22" i="71"/>
  <c r="H22" i="72"/>
  <c r="H22" i="67"/>
  <c r="H22" i="68"/>
  <c r="H22" i="99"/>
  <c r="H22" i="84"/>
  <c r="H22" i="88"/>
  <c r="H22" i="96"/>
  <c r="H22" i="94"/>
  <c r="H22" i="100"/>
  <c r="H22" i="95"/>
  <c r="H22" i="85"/>
  <c r="H22" i="90"/>
  <c r="H22" i="74"/>
  <c r="H27" i="18"/>
  <c r="H27" i="94"/>
  <c r="H27" i="83"/>
  <c r="H27" i="66"/>
  <c r="H27" i="96"/>
  <c r="H27" i="68"/>
  <c r="H27" i="91"/>
  <c r="H27" i="81"/>
  <c r="H27" i="88"/>
  <c r="H27" i="85"/>
  <c r="H27" i="97"/>
  <c r="H27" i="87"/>
  <c r="H27" i="100"/>
  <c r="H27" i="89"/>
  <c r="H27" i="72"/>
  <c r="H27" i="90"/>
  <c r="H27" i="74"/>
  <c r="H27" i="84"/>
  <c r="H27" i="67"/>
  <c r="H27" i="73"/>
  <c r="H27" i="69"/>
  <c r="H27" i="92"/>
  <c r="H27" i="82"/>
  <c r="H27" i="95"/>
  <c r="H27" i="99"/>
  <c r="H27" i="86"/>
  <c r="H27" i="71"/>
  <c r="H27" i="98"/>
  <c r="H27" i="70"/>
  <c r="H27" i="93"/>
  <c r="H28" i="18"/>
  <c r="H28" i="100"/>
  <c r="H28" i="89"/>
  <c r="H28" i="72"/>
  <c r="H28" i="67"/>
  <c r="H28" i="90"/>
  <c r="H28" i="73"/>
  <c r="H28" i="68"/>
  <c r="H28" i="97"/>
  <c r="H28" i="74"/>
  <c r="H28" i="98"/>
  <c r="H28" i="94"/>
  <c r="H28" i="95"/>
  <c r="H28" i="84"/>
  <c r="H28" i="96"/>
  <c r="H28" i="85"/>
  <c r="H28" i="91"/>
  <c r="H28" i="86"/>
  <c r="H28" i="82"/>
  <c r="H28" i="70"/>
  <c r="H28" i="93"/>
  <c r="H28" i="69"/>
  <c r="H28" i="87"/>
  <c r="H28" i="88"/>
  <c r="H28" i="71"/>
  <c r="H28" i="81"/>
  <c r="H28" i="99"/>
  <c r="H28" i="83"/>
  <c r="H28" i="66"/>
  <c r="H28" i="92"/>
  <c r="DU15" i="18"/>
  <c r="DA15" i="18" s="1"/>
  <c r="DB15" i="18" s="1"/>
  <c r="BY83" i="101"/>
  <c r="BX83" i="101"/>
  <c r="BX69" i="101"/>
  <c r="BY69" i="101"/>
  <c r="BX65" i="101"/>
  <c r="BY65" i="101"/>
  <c r="BX61" i="101"/>
  <c r="BY61" i="101"/>
  <c r="BX59" i="101"/>
  <c r="BY59" i="101"/>
  <c r="BY57" i="101"/>
  <c r="BX57" i="101"/>
  <c r="BB65" i="16"/>
  <c r="AQ54" i="16" s="1"/>
  <c r="DC14" i="90"/>
  <c r="DD14" i="90"/>
  <c r="DC14" i="93"/>
  <c r="DD14" i="93"/>
  <c r="U13" i="95"/>
  <c r="V13" i="95"/>
  <c r="DC14" i="86"/>
  <c r="DD14" i="86"/>
  <c r="U13" i="87"/>
  <c r="V13" i="87"/>
  <c r="DC14" i="99"/>
  <c r="DD14" i="99"/>
  <c r="DC14" i="100"/>
  <c r="DD14" i="100"/>
  <c r="DC14" i="89"/>
  <c r="DD14" i="89"/>
  <c r="U13" i="83"/>
  <c r="V13" i="83"/>
  <c r="DC14" i="88"/>
  <c r="DD14" i="88"/>
  <c r="DC14" i="96"/>
  <c r="DD14" i="96"/>
  <c r="U13" i="74"/>
  <c r="V13" i="74"/>
  <c r="AM139" i="62"/>
  <c r="Q140" i="62" s="1"/>
  <c r="Q141" i="62" s="1"/>
  <c r="E15" i="17" s="1"/>
  <c r="G15" i="17" s="1"/>
  <c r="R31" i="98" s="1"/>
  <c r="BF65" i="16"/>
  <c r="AU54" i="16" s="1"/>
  <c r="BD65" i="16"/>
  <c r="AS54" i="16" s="1"/>
  <c r="AE139" i="62"/>
  <c r="I140" i="62" s="1"/>
  <c r="I141" i="62" s="1"/>
  <c r="E7" i="17" s="1"/>
  <c r="G7" i="17" s="1"/>
  <c r="G44" i="101" a="1"/>
  <c r="G44" i="101" s="1"/>
  <c r="G68" i="101" a="1"/>
  <c r="G68" i="101" s="1"/>
  <c r="G92" i="101" a="1"/>
  <c r="G92" i="101" s="1"/>
  <c r="G47" i="101" a="1"/>
  <c r="G47" i="101" s="1"/>
  <c r="G95" i="101" a="1"/>
  <c r="G95" i="101" s="1"/>
  <c r="G45" i="101" a="1"/>
  <c r="G45" i="101" s="1"/>
  <c r="G69" i="101" a="1"/>
  <c r="G69" i="101" s="1"/>
  <c r="G93" i="101" a="1"/>
  <c r="G93" i="101" s="1"/>
  <c r="G71" i="101" a="1"/>
  <c r="G71" i="101" s="1"/>
  <c r="G49" i="101" a="1"/>
  <c r="G49" i="101" s="1"/>
  <c r="G76" i="101" a="1"/>
  <c r="G76" i="101" s="1"/>
  <c r="G46" i="101" a="1"/>
  <c r="G46" i="101" s="1"/>
  <c r="G70" i="101" a="1"/>
  <c r="G70" i="101" s="1"/>
  <c r="G94" i="101" a="1"/>
  <c r="G94" i="101" s="1"/>
  <c r="G73" i="101" a="1"/>
  <c r="G73" i="101" s="1"/>
  <c r="G51" i="101" a="1"/>
  <c r="G51" i="101" s="1"/>
  <c r="G77" i="101" a="1"/>
  <c r="G77" i="101" s="1"/>
  <c r="G48" i="101" a="1"/>
  <c r="G48" i="101" s="1"/>
  <c r="G72" i="101" a="1"/>
  <c r="G72" i="101" s="1"/>
  <c r="G96" i="101" a="1"/>
  <c r="G96" i="101" s="1"/>
  <c r="G75" i="101" a="1"/>
  <c r="G75" i="101" s="1"/>
  <c r="G50" i="101" a="1"/>
  <c r="G50" i="101" s="1"/>
  <c r="G74" i="101" a="1"/>
  <c r="G74" i="101" s="1"/>
  <c r="G52" i="101" a="1"/>
  <c r="G52" i="101" s="1"/>
  <c r="G53" i="101" a="1"/>
  <c r="G53" i="101" s="1"/>
  <c r="G56" i="101" a="1"/>
  <c r="G56" i="101" s="1"/>
  <c r="G80" i="101" a="1"/>
  <c r="G80" i="101" s="1"/>
  <c r="G57" i="101" a="1"/>
  <c r="G57" i="101" s="1"/>
  <c r="G81" i="101" a="1"/>
  <c r="G81" i="101" s="1"/>
  <c r="G63" i="101" a="1"/>
  <c r="G63" i="101" s="1"/>
  <c r="G64" i="101" a="1"/>
  <c r="G64" i="101" s="1"/>
  <c r="G66" i="101" a="1"/>
  <c r="G66" i="101" s="1"/>
  <c r="G78" i="101" a="1"/>
  <c r="G78" i="101" s="1"/>
  <c r="G79" i="101" a="1"/>
  <c r="G79" i="101" s="1"/>
  <c r="G84" i="101" a="1"/>
  <c r="G84" i="101" s="1"/>
  <c r="G86" i="101" a="1"/>
  <c r="G86" i="101" s="1"/>
  <c r="G54" i="101" a="1"/>
  <c r="G54" i="101" s="1"/>
  <c r="G65" i="101" a="1"/>
  <c r="G65" i="101" s="1"/>
  <c r="G83" i="101" a="1"/>
  <c r="G83" i="101" s="1"/>
  <c r="G85" i="101" a="1"/>
  <c r="G85" i="101" s="1"/>
  <c r="G41" i="101" a="1"/>
  <c r="G41" i="101" s="1"/>
  <c r="G91" i="101" a="1"/>
  <c r="G91" i="101" s="1"/>
  <c r="G55" i="101" a="1"/>
  <c r="G55" i="101" s="1"/>
  <c r="G60" i="101" a="1"/>
  <c r="G60" i="101" s="1"/>
  <c r="G38" i="101" a="1"/>
  <c r="G38" i="101" s="1"/>
  <c r="G37" i="101" a="1"/>
  <c r="G37" i="101" s="1"/>
  <c r="G67" i="101" a="1"/>
  <c r="G67" i="101" s="1"/>
  <c r="G82" i="101" a="1"/>
  <c r="G82" i="101" s="1"/>
  <c r="G90" i="101" a="1"/>
  <c r="G90" i="101" s="1"/>
  <c r="G43" i="101" a="1"/>
  <c r="G43" i="101" s="1"/>
  <c r="G58" i="101" a="1"/>
  <c r="G58" i="101" s="1"/>
  <c r="G39" i="101" a="1"/>
  <c r="G39" i="101" s="1"/>
  <c r="G87" i="101" a="1"/>
  <c r="G87" i="101" s="1"/>
  <c r="G40" i="101" a="1"/>
  <c r="G40" i="101" s="1"/>
  <c r="G88" i="101" a="1"/>
  <c r="G88" i="101" s="1"/>
  <c r="G89" i="101" a="1"/>
  <c r="G89" i="101" s="1"/>
  <c r="G42" i="101" a="1"/>
  <c r="G42" i="101" s="1"/>
  <c r="G59" i="101" a="1"/>
  <c r="G59" i="101" s="1"/>
  <c r="G61" i="101" a="1"/>
  <c r="G61" i="101" s="1"/>
  <c r="G62" i="101" a="1"/>
  <c r="G62" i="101" s="1"/>
  <c r="BE65" i="16"/>
  <c r="AT54" i="16" s="1"/>
  <c r="BA65" i="16"/>
  <c r="AP54" i="16" s="1"/>
  <c r="V13" i="66"/>
  <c r="BW5" i="101" s="1"/>
  <c r="U13" i="66"/>
  <c r="BV5" i="101" s="1"/>
  <c r="G5" i="101" a="1"/>
  <c r="G5" i="101" s="1"/>
  <c r="G17" i="101" a="1"/>
  <c r="G17" i="101" s="1"/>
  <c r="G23" i="101" a="1"/>
  <c r="G23" i="101" s="1"/>
  <c r="G33" i="101" a="1"/>
  <c r="G33" i="101" s="1"/>
  <c r="G20" i="101" a="1"/>
  <c r="G20" i="101" s="1"/>
  <c r="G21" i="101" a="1"/>
  <c r="G21" i="101" s="1"/>
  <c r="G7" i="101" a="1"/>
  <c r="G7" i="101" s="1"/>
  <c r="G24" i="101" a="1"/>
  <c r="G24" i="101" s="1"/>
  <c r="G27" i="101" a="1"/>
  <c r="G27" i="101" s="1"/>
  <c r="G8" i="101" a="1"/>
  <c r="G8" i="101" s="1"/>
  <c r="G13" i="101" a="1"/>
  <c r="G13" i="101" s="1"/>
  <c r="G9" i="101" a="1"/>
  <c r="G9" i="101" s="1"/>
  <c r="G14" i="101" a="1"/>
  <c r="G14" i="101" s="1"/>
  <c r="G25" i="101" a="1"/>
  <c r="G25" i="101" s="1"/>
  <c r="G32" i="101" a="1"/>
  <c r="G32" i="101" s="1"/>
  <c r="G29" i="101" a="1"/>
  <c r="G29" i="101" s="1"/>
  <c r="G15" i="101" a="1"/>
  <c r="G15" i="101" s="1"/>
  <c r="G16" i="101" a="1"/>
  <c r="G16" i="101" s="1"/>
  <c r="G4" i="101" a="1"/>
  <c r="G4" i="101" s="1"/>
  <c r="G19" i="101" a="1"/>
  <c r="G19" i="101" s="1"/>
  <c r="G22" i="101" a="1"/>
  <c r="G22" i="101" s="1"/>
  <c r="G10" i="101" a="1"/>
  <c r="G10" i="101" s="1"/>
  <c r="G11" i="101" a="1"/>
  <c r="G11" i="101" s="1"/>
  <c r="G28" i="101" a="1"/>
  <c r="G28" i="101" s="1"/>
  <c r="G30" i="101" a="1"/>
  <c r="G30" i="101" s="1"/>
  <c r="G12" i="101" a="1"/>
  <c r="G12" i="101" s="1"/>
  <c r="G31" i="101" a="1"/>
  <c r="G31" i="101" s="1"/>
  <c r="G26" i="101" a="1"/>
  <c r="G26" i="101" s="1"/>
  <c r="G18" i="101" a="1"/>
  <c r="G18" i="101" s="1"/>
  <c r="G6" i="101" a="1"/>
  <c r="G6" i="101" s="1"/>
  <c r="EV13" i="18"/>
  <c r="GT13" i="18"/>
  <c r="EI13" i="18"/>
  <c r="HG13" i="18"/>
  <c r="HG14" i="18"/>
  <c r="HT14" i="18"/>
  <c r="GT14" i="18"/>
  <c r="EV14" i="18"/>
  <c r="HT13" i="18"/>
  <c r="GG13" i="18"/>
  <c r="DV13" i="18"/>
  <c r="CX13" i="18" s="1"/>
  <c r="DV14" i="18"/>
  <c r="CX14" i="18" s="1"/>
  <c r="GG14" i="18"/>
  <c r="EI14" i="18"/>
  <c r="AS66" i="16"/>
  <c r="AS63" i="16" s="1"/>
  <c r="E20" i="19" s="1"/>
  <c r="AU66" i="16"/>
  <c r="AU63" i="16" s="1"/>
  <c r="E22" i="19" s="1"/>
  <c r="Q31" i="91"/>
  <c r="Q31" i="90"/>
  <c r="Q31" i="89"/>
  <c r="Q31" i="95"/>
  <c r="Q31" i="82"/>
  <c r="Q31" i="97"/>
  <c r="Q31" i="92"/>
  <c r="Q31" i="81"/>
  <c r="Q31" i="99"/>
  <c r="Q31" i="96"/>
  <c r="Q31" i="98"/>
  <c r="Q31" i="93"/>
  <c r="Q31" i="87"/>
  <c r="Q31" i="84"/>
  <c r="Q31" i="86"/>
  <c r="Q31" i="83"/>
  <c r="Q31" i="94"/>
  <c r="Q31" i="100"/>
  <c r="Q31" i="88"/>
  <c r="Q31" i="85"/>
  <c r="S15" i="102"/>
  <c r="Q24" i="84"/>
  <c r="Q24" i="92"/>
  <c r="Q24" i="90"/>
  <c r="Q24" i="81"/>
  <c r="Q24" i="88"/>
  <c r="Q24" i="87"/>
  <c r="Q24" i="82"/>
  <c r="Q24" i="99"/>
  <c r="Q24" i="83"/>
  <c r="Q24" i="100"/>
  <c r="Q24" i="98"/>
  <c r="Q24" i="86"/>
  <c r="Q24" i="97"/>
  <c r="Q24" i="85"/>
  <c r="Q24" i="94"/>
  <c r="Q24" i="93"/>
  <c r="Q24" i="89"/>
  <c r="Q24" i="96"/>
  <c r="Q24" i="95"/>
  <c r="Q24" i="91"/>
  <c r="Q30" i="94"/>
  <c r="Q30" i="84"/>
  <c r="Q30" i="89"/>
  <c r="Q30" i="82"/>
  <c r="Q30" i="98"/>
  <c r="Q30" i="95"/>
  <c r="Q30" i="99"/>
  <c r="Q30" i="100"/>
  <c r="Q30" i="91"/>
  <c r="Q30" i="90"/>
  <c r="Q30" i="88"/>
  <c r="Q30" i="96"/>
  <c r="Q30" i="93"/>
  <c r="Q30" i="85"/>
  <c r="Q30" i="83"/>
  <c r="Q30" i="97"/>
  <c r="Q30" i="87"/>
  <c r="Q30" i="81"/>
  <c r="Q30" i="86"/>
  <c r="Q30" i="92"/>
  <c r="Q26" i="100"/>
  <c r="Q26" i="98"/>
  <c r="Q26" i="81"/>
  <c r="Q26" i="94"/>
  <c r="Q26" i="86"/>
  <c r="Q26" i="88"/>
  <c r="Q26" i="93"/>
  <c r="Q26" i="91"/>
  <c r="Q26" i="85"/>
  <c r="Q26" i="97"/>
  <c r="Q26" i="87"/>
  <c r="Q26" i="84"/>
  <c r="Q26" i="96"/>
  <c r="Q26" i="89"/>
  <c r="Q26" i="99"/>
  <c r="Q26" i="95"/>
  <c r="Q26" i="92"/>
  <c r="Q26" i="83"/>
  <c r="Q26" i="82"/>
  <c r="Q26" i="90"/>
  <c r="Q28" i="70"/>
  <c r="Q28" i="82"/>
  <c r="Q28" i="92"/>
  <c r="Q28" i="87"/>
  <c r="Q28" i="100"/>
  <c r="Q28" i="94"/>
  <c r="Q28" i="96"/>
  <c r="Q28" i="83"/>
  <c r="Q28" i="98"/>
  <c r="Q28" i="95"/>
  <c r="Q28" i="93"/>
  <c r="Q28" i="85"/>
  <c r="Q28" i="89"/>
  <c r="Q28" i="84"/>
  <c r="Q28" i="81"/>
  <c r="Q28" i="97"/>
  <c r="Q28" i="88"/>
  <c r="Q28" i="86"/>
  <c r="Q28" i="99"/>
  <c r="Q28" i="91"/>
  <c r="Q28" i="90"/>
  <c r="Q27" i="95"/>
  <c r="Q27" i="88"/>
  <c r="Q27" i="83"/>
  <c r="Q27" i="100"/>
  <c r="Q27" i="97"/>
  <c r="Q27" i="89"/>
  <c r="Q27" i="90"/>
  <c r="Q27" i="81"/>
  <c r="Q27" i="99"/>
  <c r="Q27" i="91"/>
  <c r="Q27" i="92"/>
  <c r="Q27" i="96"/>
  <c r="Q27" i="94"/>
  <c r="Q27" i="93"/>
  <c r="Q27" i="85"/>
  <c r="Q27" i="84"/>
  <c r="Q27" i="82"/>
  <c r="Q27" i="87"/>
  <c r="Q27" i="86"/>
  <c r="Q27" i="98"/>
  <c r="Q25" i="85"/>
  <c r="Q25" i="91"/>
  <c r="Q25" i="94"/>
  <c r="Q25" i="82"/>
  <c r="Q25" i="86"/>
  <c r="Q25" i="99"/>
  <c r="Q25" i="81"/>
  <c r="Q25" i="95"/>
  <c r="Q25" i="84"/>
  <c r="Q25" i="96"/>
  <c r="Q25" i="87"/>
  <c r="Q25" i="89"/>
  <c r="Q25" i="92"/>
  <c r="Q25" i="88"/>
  <c r="Q25" i="100"/>
  <c r="Q25" i="90"/>
  <c r="Q25" i="97"/>
  <c r="Q25" i="93"/>
  <c r="Q25" i="83"/>
  <c r="Q25" i="98"/>
  <c r="V14" i="61"/>
  <c r="Q29" i="89"/>
  <c r="Q29" i="88"/>
  <c r="Q29" i="96"/>
  <c r="Q29" i="91"/>
  <c r="Q29" i="90"/>
  <c r="Q29" i="85"/>
  <c r="Q29" i="97"/>
  <c r="Q29" i="82"/>
  <c r="Q29" i="100"/>
  <c r="Q29" i="94"/>
  <c r="Q29" i="83"/>
  <c r="Q29" i="98"/>
  <c r="Q29" i="93"/>
  <c r="Q29" i="84"/>
  <c r="Q29" i="95"/>
  <c r="Q29" i="86"/>
  <c r="Q29" i="92"/>
  <c r="Q29" i="87"/>
  <c r="Q29" i="99"/>
  <c r="Q29" i="81"/>
  <c r="R28" i="95"/>
  <c r="R28" i="98"/>
  <c r="R28" i="100"/>
  <c r="R28" i="97"/>
  <c r="R28" i="94"/>
  <c r="R28" i="93"/>
  <c r="R28" i="99"/>
  <c r="R28" i="96"/>
  <c r="R22" i="99"/>
  <c r="R22" i="95"/>
  <c r="R22" i="100"/>
  <c r="R22" i="98"/>
  <c r="R22" i="97"/>
  <c r="R22" i="93"/>
  <c r="R22" i="94"/>
  <c r="R22" i="96"/>
  <c r="R27" i="97"/>
  <c r="R27" i="98"/>
  <c r="R27" i="95"/>
  <c r="R27" i="96"/>
  <c r="R27" i="99"/>
  <c r="R27" i="94"/>
  <c r="R27" i="93"/>
  <c r="R27" i="100"/>
  <c r="R22" i="68"/>
  <c r="R22" i="82"/>
  <c r="R22" i="83"/>
  <c r="R22" i="87"/>
  <c r="R22" i="81"/>
  <c r="R22" i="90"/>
  <c r="R22" i="89"/>
  <c r="R22" i="86"/>
  <c r="R22" i="88"/>
  <c r="R22" i="84"/>
  <c r="R22" i="85"/>
  <c r="R22" i="91"/>
  <c r="R22" i="92"/>
  <c r="R27" i="88"/>
  <c r="R27" i="92"/>
  <c r="R27" i="87"/>
  <c r="R27" i="89"/>
  <c r="R27" i="91"/>
  <c r="R27" i="86"/>
  <c r="R27" i="82"/>
  <c r="R27" i="90"/>
  <c r="R27" i="84"/>
  <c r="R27" i="85"/>
  <c r="R27" i="83"/>
  <c r="R27" i="81"/>
  <c r="R28" i="92"/>
  <c r="R28" i="85"/>
  <c r="R28" i="89"/>
  <c r="R28" i="88"/>
  <c r="R28" i="81"/>
  <c r="R28" i="90"/>
  <c r="R28" i="83"/>
  <c r="R28" i="91"/>
  <c r="R28" i="86"/>
  <c r="R28" i="82"/>
  <c r="R28" i="84"/>
  <c r="R28" i="87"/>
  <c r="Q21" i="19"/>
  <c r="Q24" i="72"/>
  <c r="Q24" i="70"/>
  <c r="Q24" i="68"/>
  <c r="Q24" i="74"/>
  <c r="Q24" i="71"/>
  <c r="V9" i="61"/>
  <c r="Q24" i="69"/>
  <c r="Q24" i="66"/>
  <c r="R28" i="73"/>
  <c r="R25" i="19"/>
  <c r="R28" i="69"/>
  <c r="R28" i="66"/>
  <c r="Q24" i="67"/>
  <c r="R28" i="68"/>
  <c r="Q24" i="73"/>
  <c r="R28" i="71"/>
  <c r="R28" i="67"/>
  <c r="R28" i="70"/>
  <c r="R28" i="18"/>
  <c r="T19" i="102" s="1"/>
  <c r="R28" i="74"/>
  <c r="R28" i="72"/>
  <c r="S20" i="102"/>
  <c r="Q29" i="71"/>
  <c r="Q26" i="19"/>
  <c r="Q29" i="72"/>
  <c r="Q29" i="74"/>
  <c r="Q28" i="71"/>
  <c r="Q29" i="70"/>
  <c r="Q29" i="69"/>
  <c r="Q29" i="73"/>
  <c r="Q29" i="68"/>
  <c r="Q28" i="74"/>
  <c r="Q25" i="19"/>
  <c r="R22" i="67"/>
  <c r="Q28" i="72"/>
  <c r="Q29" i="67"/>
  <c r="Q28" i="66"/>
  <c r="Q28" i="73"/>
  <c r="Q29" i="66"/>
  <c r="Q28" i="68"/>
  <c r="V13" i="61"/>
  <c r="Q28" i="69"/>
  <c r="Q28" i="67"/>
  <c r="AF29" i="72"/>
  <c r="AG29" i="72"/>
  <c r="AE29" i="72"/>
  <c r="AG28" i="73"/>
  <c r="AF28" i="73"/>
  <c r="AE28" i="73"/>
  <c r="AE27" i="66"/>
  <c r="AG27" i="66"/>
  <c r="AF27" i="66"/>
  <c r="AG30" i="67"/>
  <c r="AF30" i="67"/>
  <c r="AE30" i="67"/>
  <c r="AG28" i="71"/>
  <c r="AE28" i="71"/>
  <c r="AF28" i="71"/>
  <c r="AF27" i="72"/>
  <c r="AG27" i="72"/>
  <c r="AE27" i="72"/>
  <c r="AF30" i="71"/>
  <c r="AG30" i="71"/>
  <c r="AE30" i="71"/>
  <c r="Y21" i="19"/>
  <c r="X21" i="19"/>
  <c r="W21" i="19"/>
  <c r="AE28" i="18"/>
  <c r="AF28" i="18"/>
  <c r="AG28" i="18"/>
  <c r="AE27" i="68"/>
  <c r="AG27" i="68"/>
  <c r="AF27" i="68"/>
  <c r="W24" i="19"/>
  <c r="X24" i="19"/>
  <c r="Y24" i="19"/>
  <c r="AF30" i="72"/>
  <c r="AG30" i="72"/>
  <c r="AE30" i="72"/>
  <c r="AG24" i="67"/>
  <c r="AF24" i="67"/>
  <c r="AE24" i="67"/>
  <c r="AG30" i="66"/>
  <c r="AF30" i="66"/>
  <c r="AE30" i="66"/>
  <c r="AG27" i="70"/>
  <c r="AE27" i="70"/>
  <c r="AF27" i="70"/>
  <c r="X27" i="19"/>
  <c r="W27" i="19"/>
  <c r="Y27" i="19"/>
  <c r="I27" i="17"/>
  <c r="D27" i="17" s="1"/>
  <c r="AJ72" i="62"/>
  <c r="AJ74" i="62"/>
  <c r="AG79" i="62"/>
  <c r="AE73" i="62"/>
  <c r="AF73" i="62"/>
  <c r="AF78" i="62"/>
  <c r="AJ79" i="62"/>
  <c r="AF81" i="62"/>
  <c r="AG73" i="62"/>
  <c r="AG81" i="62"/>
  <c r="AG72" i="62"/>
  <c r="AF72" i="62"/>
  <c r="AE83" i="62"/>
  <c r="AE92" i="62"/>
  <c r="AH86" i="62"/>
  <c r="AG85" i="62"/>
  <c r="AG98" i="62"/>
  <c r="AF76" i="62"/>
  <c r="AI72" i="62"/>
  <c r="AF89" i="62"/>
  <c r="AI97" i="62"/>
  <c r="AJ94" i="62"/>
  <c r="AF91" i="62"/>
  <c r="AF99" i="62"/>
  <c r="AG89" i="62"/>
  <c r="AF86" i="62"/>
  <c r="AF88" i="62"/>
  <c r="AG91" i="62"/>
  <c r="AG88" i="62"/>
  <c r="AE75" i="62"/>
  <c r="AH83" i="62"/>
  <c r="AI89" i="62"/>
  <c r="AE91" i="62"/>
  <c r="AF98" i="62"/>
  <c r="AF96" i="62"/>
  <c r="AH73" i="62"/>
  <c r="AJ84" i="62"/>
  <c r="AG90" i="62"/>
  <c r="AI87" i="62"/>
  <c r="AE99" i="62"/>
  <c r="AE100" i="62"/>
  <c r="AE82" i="62"/>
  <c r="AF92" i="62"/>
  <c r="AF101" i="62"/>
  <c r="AE87" i="62"/>
  <c r="AG100" i="62"/>
  <c r="AI73" i="62"/>
  <c r="AE89" i="62"/>
  <c r="AG93" i="62"/>
  <c r="AF82" i="62"/>
  <c r="AI91" i="62"/>
  <c r="AH88" i="62"/>
  <c r="AE72" i="62"/>
  <c r="AE93" i="62"/>
  <c r="AH93" i="62"/>
  <c r="AE98" i="62"/>
  <c r="AG96" i="62"/>
  <c r="AJ96" i="62"/>
  <c r="AG97" i="62"/>
  <c r="AH97" i="62"/>
  <c r="AE88" i="62"/>
  <c r="AH98" i="62"/>
  <c r="AJ73" i="62"/>
  <c r="AI99" i="62"/>
  <c r="AI93" i="62"/>
  <c r="AF100" i="62"/>
  <c r="AI84" i="62"/>
  <c r="AH92" i="62"/>
  <c r="AF87" i="62"/>
  <c r="AE90" i="62"/>
  <c r="AJ95" i="62"/>
  <c r="AJ83" i="62"/>
  <c r="AF74" i="62"/>
  <c r="AF94" i="62"/>
  <c r="AI86" i="62"/>
  <c r="AG87" i="62"/>
  <c r="AF95" i="62"/>
  <c r="AJ87" i="62"/>
  <c r="AH87" i="62"/>
  <c r="AG74" i="62"/>
  <c r="AI98" i="62"/>
  <c r="AE94" i="62"/>
  <c r="AH91" i="62"/>
  <c r="AJ100" i="62"/>
  <c r="AG101" i="62"/>
  <c r="AE101" i="62"/>
  <c r="AE86" i="62"/>
  <c r="AJ86" i="62"/>
  <c r="AE95" i="62"/>
  <c r="AH89" i="62"/>
  <c r="AH101" i="62"/>
  <c r="AJ92" i="62"/>
  <c r="AF90" i="62"/>
  <c r="AH82" i="62"/>
  <c r="AH99" i="62"/>
  <c r="AG94" i="62"/>
  <c r="AE85" i="62"/>
  <c r="AH96" i="62"/>
  <c r="AI82" i="62"/>
  <c r="AI78" i="62"/>
  <c r="AI90" i="62"/>
  <c r="AJ89" i="62"/>
  <c r="AE96" i="62"/>
  <c r="AH95" i="62"/>
  <c r="AI95" i="62"/>
  <c r="AI92" i="62"/>
  <c r="AI96" i="62"/>
  <c r="AF85" i="62"/>
  <c r="AJ97" i="62"/>
  <c r="AG86" i="62"/>
  <c r="AG92" i="62"/>
  <c r="AJ90" i="62"/>
  <c r="AE84" i="62"/>
  <c r="AI94" i="62"/>
  <c r="AJ93" i="62"/>
  <c r="AI101" i="62"/>
  <c r="AH85" i="62"/>
  <c r="AJ82" i="62"/>
  <c r="AH90" i="62"/>
  <c r="AG83" i="62"/>
  <c r="AI100" i="62"/>
  <c r="AG95" i="62"/>
  <c r="AJ98" i="62"/>
  <c r="AH94" i="62"/>
  <c r="AJ88" i="62"/>
  <c r="AI88" i="62"/>
  <c r="AI83" i="62"/>
  <c r="AJ91" i="62"/>
  <c r="AG99" i="62"/>
  <c r="AF97" i="62"/>
  <c r="AH100" i="62"/>
  <c r="AI85" i="62"/>
  <c r="AJ85" i="62"/>
  <c r="AF83" i="62"/>
  <c r="AH84" i="62"/>
  <c r="AJ99" i="62"/>
  <c r="AF84" i="62"/>
  <c r="AG77" i="62"/>
  <c r="AI79" i="62"/>
  <c r="AJ76" i="62"/>
  <c r="AH81" i="62"/>
  <c r="AG75" i="62"/>
  <c r="AE97" i="62"/>
  <c r="AE80" i="62"/>
  <c r="AE79" i="62"/>
  <c r="AJ81" i="62"/>
  <c r="AI81" i="62"/>
  <c r="AI80" i="62"/>
  <c r="AH79" i="62"/>
  <c r="AH72" i="62"/>
  <c r="AF77" i="62"/>
  <c r="AJ80" i="62"/>
  <c r="AG76" i="62"/>
  <c r="AG78" i="62"/>
  <c r="AJ77" i="62"/>
  <c r="AE81" i="62"/>
  <c r="AE78" i="62"/>
  <c r="AF93" i="62"/>
  <c r="AH75" i="62"/>
  <c r="AF75" i="62"/>
  <c r="AI74" i="62"/>
  <c r="AJ101" i="62"/>
  <c r="AE77" i="62"/>
  <c r="AJ75" i="62"/>
  <c r="AH74" i="62"/>
  <c r="AI77" i="62"/>
  <c r="AH80" i="62"/>
  <c r="AE74" i="62"/>
  <c r="AJ78" i="62"/>
  <c r="AG84" i="62"/>
  <c r="AI75" i="62"/>
  <c r="AH76" i="62"/>
  <c r="AG80" i="62"/>
  <c r="AF80" i="62"/>
  <c r="AF79" i="62"/>
  <c r="AH78" i="62"/>
  <c r="AG82" i="62"/>
  <c r="AI76" i="62"/>
  <c r="AH77" i="62"/>
  <c r="AE76" i="62"/>
  <c r="AF28" i="66"/>
  <c r="AG28" i="66"/>
  <c r="AE28" i="66"/>
  <c r="V28" i="17"/>
  <c r="U28" i="17"/>
  <c r="W28" i="17"/>
  <c r="P28" i="17"/>
  <c r="M28" i="17"/>
  <c r="R28" i="17"/>
  <c r="S28" i="17"/>
  <c r="O28" i="17"/>
  <c r="Q28" i="17"/>
  <c r="N28" i="17"/>
  <c r="K28" i="17"/>
  <c r="J28" i="17"/>
  <c r="L28" i="17"/>
  <c r="T28" i="17"/>
  <c r="AG30" i="74"/>
  <c r="AF30" i="74"/>
  <c r="AE30" i="74"/>
  <c r="AE24" i="70"/>
  <c r="AG24" i="70"/>
  <c r="AF24" i="70"/>
  <c r="AG24" i="69"/>
  <c r="AE24" i="69"/>
  <c r="AF24" i="69"/>
  <c r="S31" i="17"/>
  <c r="U31" i="17"/>
  <c r="W31" i="17"/>
  <c r="T31" i="17"/>
  <c r="V31" i="17"/>
  <c r="R31" i="17"/>
  <c r="L31" i="17"/>
  <c r="Q31" i="17"/>
  <c r="O31" i="17"/>
  <c r="K31" i="17"/>
  <c r="M31" i="17"/>
  <c r="J31" i="17"/>
  <c r="N31" i="17"/>
  <c r="P31" i="17"/>
  <c r="AG24" i="74"/>
  <c r="AF24" i="74"/>
  <c r="AE24" i="74"/>
  <c r="AF28" i="72"/>
  <c r="AE28" i="72"/>
  <c r="AG28" i="72"/>
  <c r="AZ73" i="62"/>
  <c r="AW72" i="62"/>
  <c r="AZ83" i="62"/>
  <c r="AY76" i="62"/>
  <c r="BB77" i="62"/>
  <c r="BA73" i="62"/>
  <c r="AX72" i="62"/>
  <c r="AZ76" i="62"/>
  <c r="BB73" i="62"/>
  <c r="AY72" i="62"/>
  <c r="BA76" i="62"/>
  <c r="BA72" i="62"/>
  <c r="BB76" i="62"/>
  <c r="BB79" i="62"/>
  <c r="AW84" i="62"/>
  <c r="BB72" i="62"/>
  <c r="AY78" i="62"/>
  <c r="AZ85" i="62"/>
  <c r="AW81" i="62"/>
  <c r="AZ90" i="62"/>
  <c r="BB91" i="62"/>
  <c r="AZ75" i="62"/>
  <c r="AY80" i="62"/>
  <c r="BA83" i="62"/>
  <c r="AY93" i="62"/>
  <c r="BB101" i="62"/>
  <c r="AY100" i="62"/>
  <c r="AX99" i="62"/>
  <c r="BB86" i="62"/>
  <c r="AZ94" i="62"/>
  <c r="AX88" i="62"/>
  <c r="AZ86" i="62"/>
  <c r="AY101" i="62"/>
  <c r="BA77" i="62"/>
  <c r="BB90" i="62"/>
  <c r="BA96" i="62"/>
  <c r="AX90" i="62"/>
  <c r="AZ100" i="62"/>
  <c r="AW99" i="62"/>
  <c r="AW93" i="62"/>
  <c r="BB97" i="62"/>
  <c r="BA92" i="62"/>
  <c r="AW94" i="62"/>
  <c r="AY99" i="62"/>
  <c r="AX94" i="62"/>
  <c r="AW85" i="62"/>
  <c r="AW87" i="62"/>
  <c r="AX101" i="62"/>
  <c r="AX95" i="62"/>
  <c r="BB88" i="62"/>
  <c r="BB89" i="62"/>
  <c r="AW96" i="62"/>
  <c r="AX81" i="62"/>
  <c r="AY96" i="62"/>
  <c r="AW91" i="62"/>
  <c r="AY90" i="62"/>
  <c r="AW97" i="62"/>
  <c r="AZ97" i="62"/>
  <c r="AY92" i="62"/>
  <c r="BB92" i="62"/>
  <c r="AW100" i="62"/>
  <c r="AW73" i="62"/>
  <c r="BA98" i="62"/>
  <c r="AZ93" i="62"/>
  <c r="AY87" i="62"/>
  <c r="BB87" i="62"/>
  <c r="BA99" i="62"/>
  <c r="BA94" i="62"/>
  <c r="AZ87" i="62"/>
  <c r="AX97" i="62"/>
  <c r="AX73" i="62"/>
  <c r="AX80" i="62"/>
  <c r="AX84" i="62"/>
  <c r="BB100" i="62"/>
  <c r="BA95" i="62"/>
  <c r="AZ91" i="62"/>
  <c r="BA100" i="62"/>
  <c r="BB81" i="62"/>
  <c r="BA85" i="62"/>
  <c r="BB83" i="62"/>
  <c r="BB96" i="62"/>
  <c r="AW82" i="62"/>
  <c r="BB93" i="62"/>
  <c r="AY73" i="62"/>
  <c r="AX93" i="62"/>
  <c r="AW98" i="62"/>
  <c r="AY94" i="62"/>
  <c r="AY82" i="62"/>
  <c r="AZ96" i="62"/>
  <c r="AX86" i="62"/>
  <c r="AW76" i="62"/>
  <c r="BA97" i="62"/>
  <c r="AX96" i="62"/>
  <c r="BB98" i="62"/>
  <c r="AZ99" i="62"/>
  <c r="BB99" i="62"/>
  <c r="AX100" i="62"/>
  <c r="BA88" i="62"/>
  <c r="BB82" i="62"/>
  <c r="AY77" i="62"/>
  <c r="AX92" i="62"/>
  <c r="AY86" i="62"/>
  <c r="AW74" i="62"/>
  <c r="AW83" i="62"/>
  <c r="AX91" i="62"/>
  <c r="AW86" i="62"/>
  <c r="AZ80" i="62"/>
  <c r="AY89" i="62"/>
  <c r="AY84" i="62"/>
  <c r="BA87" i="62"/>
  <c r="BB85" i="62"/>
  <c r="BA91" i="62"/>
  <c r="BB74" i="62"/>
  <c r="AX83" i="62"/>
  <c r="BA82" i="62"/>
  <c r="AZ84" i="62"/>
  <c r="AW95" i="62"/>
  <c r="AZ82" i="62"/>
  <c r="AX89" i="62"/>
  <c r="AY97" i="62"/>
  <c r="BA80" i="62"/>
  <c r="AY83" i="62"/>
  <c r="BA86" i="62"/>
  <c r="BA84" i="62"/>
  <c r="AX98" i="62"/>
  <c r="BB84" i="62"/>
  <c r="AY98" i="62"/>
  <c r="AY88" i="62"/>
  <c r="AX82" i="62"/>
  <c r="AZ88" i="62"/>
  <c r="AZ98" i="62"/>
  <c r="AY95" i="62"/>
  <c r="AW101" i="62"/>
  <c r="AY91" i="62"/>
  <c r="BA101" i="62"/>
  <c r="AW92" i="62"/>
  <c r="BA90" i="62"/>
  <c r="AX85" i="62"/>
  <c r="AZ95" i="62"/>
  <c r="AZ89" i="62"/>
  <c r="AW90" i="62"/>
  <c r="BA89" i="62"/>
  <c r="AY85" i="62"/>
  <c r="AW88" i="62"/>
  <c r="AZ101" i="62"/>
  <c r="AW89" i="62"/>
  <c r="AZ92" i="62"/>
  <c r="BA93" i="62"/>
  <c r="BB94" i="62"/>
  <c r="BB95" i="62"/>
  <c r="AZ74" i="62"/>
  <c r="AX87" i="62"/>
  <c r="BB78" i="62"/>
  <c r="AX74" i="62"/>
  <c r="AX76" i="62"/>
  <c r="AZ77" i="62"/>
  <c r="AY75" i="62"/>
  <c r="AZ81" i="62"/>
  <c r="BA75" i="62"/>
  <c r="AY74" i="62"/>
  <c r="AZ78" i="62"/>
  <c r="AX78" i="62"/>
  <c r="AY79" i="62"/>
  <c r="AX75" i="62"/>
  <c r="BA78" i="62"/>
  <c r="BB75" i="62"/>
  <c r="AZ72" i="62"/>
  <c r="AW77" i="62"/>
  <c r="BA79" i="62"/>
  <c r="BA74" i="62"/>
  <c r="AZ79" i="62"/>
  <c r="AW80" i="62"/>
  <c r="BA81" i="62"/>
  <c r="BB80" i="62"/>
  <c r="AX77" i="62"/>
  <c r="AW79" i="62"/>
  <c r="AW75" i="62"/>
  <c r="AW78" i="62"/>
  <c r="AY81" i="62"/>
  <c r="AX79" i="62"/>
  <c r="Y26" i="19"/>
  <c r="W26" i="19"/>
  <c r="X26" i="19"/>
  <c r="AE28" i="70"/>
  <c r="AG28" i="70"/>
  <c r="AF28" i="70"/>
  <c r="AG24" i="73"/>
  <c r="AF24" i="73"/>
  <c r="AE24" i="73"/>
  <c r="BF81" i="62"/>
  <c r="BG81" i="62"/>
  <c r="BE74" i="62"/>
  <c r="BF75" i="62"/>
  <c r="BD77" i="62"/>
  <c r="BG75" i="62"/>
  <c r="BC73" i="62"/>
  <c r="BH74" i="62"/>
  <c r="BD73" i="62"/>
  <c r="BE73" i="62"/>
  <c r="BD76" i="62"/>
  <c r="BC72" i="62"/>
  <c r="BG78" i="62"/>
  <c r="BC85" i="62"/>
  <c r="BE100" i="62"/>
  <c r="BE93" i="62"/>
  <c r="BG98" i="62"/>
  <c r="BD94" i="62"/>
  <c r="BH73" i="62"/>
  <c r="BE79" i="62"/>
  <c r="BD90" i="62"/>
  <c r="BG90" i="62"/>
  <c r="BF88" i="62"/>
  <c r="BH91" i="62"/>
  <c r="BD91" i="62"/>
  <c r="BH79" i="62"/>
  <c r="BD72" i="62"/>
  <c r="BC101" i="62"/>
  <c r="BE98" i="62"/>
  <c r="BG84" i="62"/>
  <c r="BH98" i="62"/>
  <c r="BF95" i="62"/>
  <c r="BC86" i="62"/>
  <c r="BE99" i="62"/>
  <c r="BG88" i="62"/>
  <c r="BG99" i="62"/>
  <c r="BG82" i="62"/>
  <c r="BE72" i="62"/>
  <c r="BD89" i="62"/>
  <c r="BF100" i="62"/>
  <c r="BD92" i="62"/>
  <c r="BE82" i="62"/>
  <c r="BE95" i="62"/>
  <c r="BC75" i="62"/>
  <c r="BC90" i="62"/>
  <c r="BG101" i="62"/>
  <c r="BG93" i="62"/>
  <c r="BH85" i="62"/>
  <c r="BG95" i="62"/>
  <c r="BC83" i="62"/>
  <c r="BF83" i="62"/>
  <c r="BH88" i="62"/>
  <c r="BD95" i="62"/>
  <c r="BG72" i="62"/>
  <c r="BG86" i="62"/>
  <c r="BC84" i="62"/>
  <c r="BG91" i="62"/>
  <c r="BC95" i="62"/>
  <c r="BE85" i="62"/>
  <c r="BH95" i="62"/>
  <c r="BF99" i="62"/>
  <c r="BC89" i="62"/>
  <c r="BD84" i="62"/>
  <c r="BC82" i="62"/>
  <c r="BE90" i="62"/>
  <c r="BG94" i="62"/>
  <c r="BE96" i="62"/>
  <c r="BD81" i="62"/>
  <c r="BF73" i="62"/>
  <c r="BE81" i="62"/>
  <c r="BH72" i="62"/>
  <c r="BD78" i="62"/>
  <c r="BC88" i="62"/>
  <c r="BF98" i="62"/>
  <c r="BG89" i="62"/>
  <c r="BF87" i="62"/>
  <c r="BC96" i="62"/>
  <c r="BD96" i="62"/>
  <c r="BD97" i="62"/>
  <c r="BF97" i="62"/>
  <c r="BG97" i="62"/>
  <c r="BG73" i="62"/>
  <c r="BH89" i="62"/>
  <c r="BF85" i="62"/>
  <c r="BH90" i="62"/>
  <c r="BD86" i="62"/>
  <c r="BG87" i="62"/>
  <c r="BC93" i="62"/>
  <c r="BG96" i="62"/>
  <c r="BE86" i="62"/>
  <c r="BF94" i="62"/>
  <c r="BC100" i="62"/>
  <c r="BH87" i="62"/>
  <c r="BD93" i="62"/>
  <c r="BG92" i="62"/>
  <c r="BF86" i="62"/>
  <c r="BD101" i="62"/>
  <c r="BH92" i="62"/>
  <c r="BH86" i="62"/>
  <c r="BE88" i="62"/>
  <c r="BE91" i="62"/>
  <c r="BF90" i="62"/>
  <c r="BG83" i="62"/>
  <c r="BC91" i="62"/>
  <c r="BC92" i="62"/>
  <c r="BE92" i="62"/>
  <c r="BC87" i="62"/>
  <c r="BF93" i="62"/>
  <c r="BH93" i="62"/>
  <c r="BE87" i="62"/>
  <c r="BE97" i="62"/>
  <c r="BF92" i="62"/>
  <c r="BC98" i="62"/>
  <c r="BF91" i="62"/>
  <c r="BD85" i="62"/>
  <c r="BF96" i="62"/>
  <c r="BE89" i="62"/>
  <c r="BG100" i="62"/>
  <c r="BD100" i="62"/>
  <c r="BC99" i="62"/>
  <c r="BD87" i="62"/>
  <c r="BH100" i="62"/>
  <c r="BE83" i="62"/>
  <c r="BE84" i="62"/>
  <c r="BH94" i="62"/>
  <c r="BE101" i="62"/>
  <c r="BC94" i="62"/>
  <c r="BD83" i="62"/>
  <c r="BF89" i="62"/>
  <c r="BC97" i="62"/>
  <c r="BD98" i="62"/>
  <c r="BD99" i="62"/>
  <c r="BH101" i="62"/>
  <c r="BF84" i="62"/>
  <c r="BE94" i="62"/>
  <c r="BG85" i="62"/>
  <c r="BF82" i="62"/>
  <c r="BD82" i="62"/>
  <c r="BG80" i="62"/>
  <c r="BC80" i="62"/>
  <c r="BH97" i="62"/>
  <c r="BE75" i="62"/>
  <c r="BD74" i="62"/>
  <c r="BF78" i="62"/>
  <c r="BE80" i="62"/>
  <c r="BF72" i="62"/>
  <c r="BG76" i="62"/>
  <c r="BC74" i="62"/>
  <c r="BC81" i="62"/>
  <c r="BH80" i="62"/>
  <c r="BF101" i="62"/>
  <c r="BD79" i="62"/>
  <c r="BE77" i="62"/>
  <c r="BH99" i="62"/>
  <c r="BF77" i="62"/>
  <c r="BF80" i="62"/>
  <c r="BF74" i="62"/>
  <c r="BH84" i="62"/>
  <c r="BG77" i="62"/>
  <c r="BH83" i="62"/>
  <c r="BC78" i="62"/>
  <c r="BH96" i="62"/>
  <c r="BF76" i="62"/>
  <c r="BH78" i="62"/>
  <c r="BH77" i="62"/>
  <c r="BC79" i="62"/>
  <c r="BD75" i="62"/>
  <c r="BH82" i="62"/>
  <c r="BD88" i="62"/>
  <c r="BC77" i="62"/>
  <c r="BH75" i="62"/>
  <c r="BH76" i="62"/>
  <c r="BH81" i="62"/>
  <c r="BD80" i="62"/>
  <c r="BG79" i="62"/>
  <c r="BE76" i="62"/>
  <c r="BC76" i="62"/>
  <c r="BG74" i="62"/>
  <c r="BF79" i="62"/>
  <c r="BE78" i="62"/>
  <c r="R22" i="18"/>
  <c r="T13" i="102" s="1"/>
  <c r="R22" i="73"/>
  <c r="R22" i="66"/>
  <c r="AF29" i="70"/>
  <c r="AG29" i="70"/>
  <c r="AE29" i="70"/>
  <c r="AE24" i="18"/>
  <c r="O29" i="17"/>
  <c r="L29" i="17"/>
  <c r="Q29" i="17"/>
  <c r="N29" i="17"/>
  <c r="T29" i="17"/>
  <c r="U29" i="17"/>
  <c r="S29" i="17"/>
  <c r="K29" i="17"/>
  <c r="W29" i="17"/>
  <c r="P29" i="17"/>
  <c r="J29" i="17"/>
  <c r="M29" i="17"/>
  <c r="R29" i="17"/>
  <c r="V29" i="17"/>
  <c r="AE29" i="67"/>
  <c r="AF29" i="67"/>
  <c r="AG29" i="67"/>
  <c r="AG30" i="73"/>
  <c r="AF30" i="73"/>
  <c r="AE30" i="73"/>
  <c r="AF27" i="73"/>
  <c r="AG27" i="73"/>
  <c r="AE27" i="73"/>
  <c r="AG28" i="67"/>
  <c r="AE28" i="67"/>
  <c r="AF28" i="67"/>
  <c r="AG24" i="68"/>
  <c r="AF24" i="68"/>
  <c r="AE24" i="68"/>
  <c r="AG28" i="69"/>
  <c r="AE28" i="69"/>
  <c r="AF28" i="69"/>
  <c r="W25" i="19"/>
  <c r="Y25" i="19"/>
  <c r="X25" i="19"/>
  <c r="AF29" i="71"/>
  <c r="AG29" i="71"/>
  <c r="AE29" i="71"/>
  <c r="AF24" i="72"/>
  <c r="AG24" i="72"/>
  <c r="AE24" i="72"/>
  <c r="L30" i="63"/>
  <c r="BQ84" i="62"/>
  <c r="BQ94" i="62"/>
  <c r="BQ91" i="62"/>
  <c r="BO100" i="62"/>
  <c r="BQ100" i="62"/>
  <c r="BT85" i="62"/>
  <c r="BQ95" i="62"/>
  <c r="BR92" i="62"/>
  <c r="BP100" i="62"/>
  <c r="BO86" i="62"/>
  <c r="BP83" i="62"/>
  <c r="BR96" i="62"/>
  <c r="BS93" i="62"/>
  <c r="BR88" i="62"/>
  <c r="BR100" i="62"/>
  <c r="BP76" i="62"/>
  <c r="BQ79" i="62"/>
  <c r="BR84" i="62"/>
  <c r="BS97" i="62"/>
  <c r="BT94" i="62"/>
  <c r="BT89" i="62"/>
  <c r="BP86" i="62"/>
  <c r="BP89" i="62"/>
  <c r="BT98" i="62"/>
  <c r="BT95" i="62"/>
  <c r="BP90" i="62"/>
  <c r="BS100" i="62"/>
  <c r="BQ83" i="62"/>
  <c r="BT99" i="62"/>
  <c r="BT82" i="62"/>
  <c r="BP101" i="62"/>
  <c r="BS91" i="62"/>
  <c r="BO73" i="62"/>
  <c r="BS84" i="62"/>
  <c r="BQ82" i="62"/>
  <c r="BT87" i="62"/>
  <c r="BS88" i="62"/>
  <c r="BP78" i="62"/>
  <c r="BT79" i="62"/>
  <c r="BQ89" i="62"/>
  <c r="BQ87" i="62"/>
  <c r="BR91" i="62"/>
  <c r="BQ90" i="62"/>
  <c r="BP73" i="62"/>
  <c r="BR83" i="62"/>
  <c r="BO91" i="62"/>
  <c r="BR86" i="62"/>
  <c r="BQ101" i="62"/>
  <c r="BO72" i="62"/>
  <c r="BT84" i="62"/>
  <c r="BP92" i="62"/>
  <c r="BS86" i="62"/>
  <c r="BT88" i="62"/>
  <c r="BQ73" i="62"/>
  <c r="BO82" i="62"/>
  <c r="BQ93" i="62"/>
  <c r="BO98" i="62"/>
  <c r="BT93" i="62"/>
  <c r="BP72" i="62"/>
  <c r="BS78" i="62"/>
  <c r="BO87" i="62"/>
  <c r="BR95" i="62"/>
  <c r="BT86" i="62"/>
  <c r="BR101" i="62"/>
  <c r="BO77" i="62"/>
  <c r="BR90" i="62"/>
  <c r="BT100" i="62"/>
  <c r="BS94" i="62"/>
  <c r="BR98" i="62"/>
  <c r="BP88" i="62"/>
  <c r="BQ96" i="62"/>
  <c r="BO96" i="62"/>
  <c r="BQ72" i="62"/>
  <c r="BR97" i="62"/>
  <c r="BQ97" i="62"/>
  <c r="BS98" i="62"/>
  <c r="BS99" i="62"/>
  <c r="BQ85" i="62"/>
  <c r="BS72" i="62"/>
  <c r="BP82" i="62"/>
  <c r="BP96" i="62"/>
  <c r="BP87" i="62"/>
  <c r="BR99" i="62"/>
  <c r="BT72" i="62"/>
  <c r="BP81" i="62"/>
  <c r="BO92" i="62"/>
  <c r="BS92" i="62"/>
  <c r="BP93" i="62"/>
  <c r="BT101" i="62"/>
  <c r="BQ81" i="62"/>
  <c r="BS96" i="62"/>
  <c r="BR89" i="62"/>
  <c r="BT97" i="62"/>
  <c r="BO95" i="62"/>
  <c r="BR82" i="62"/>
  <c r="BS89" i="62"/>
  <c r="BR87" i="62"/>
  <c r="BS101" i="62"/>
  <c r="BP91" i="62"/>
  <c r="BO88" i="62"/>
  <c r="BS73" i="62"/>
  <c r="BS85" i="62"/>
  <c r="BS90" i="62"/>
  <c r="BT73" i="62"/>
  <c r="BO93" i="62"/>
  <c r="BP94" i="62"/>
  <c r="BP77" i="62"/>
  <c r="BP95" i="62"/>
  <c r="BP74" i="62"/>
  <c r="BQ92" i="62"/>
  <c r="BR93" i="62"/>
  <c r="BQ74" i="62"/>
  <c r="BS95" i="62"/>
  <c r="BO75" i="62"/>
  <c r="BS87" i="62"/>
  <c r="BT92" i="62"/>
  <c r="BR85" i="62"/>
  <c r="BP84" i="62"/>
  <c r="BO83" i="62"/>
  <c r="BT96" i="62"/>
  <c r="BQ99" i="62"/>
  <c r="BS82" i="62"/>
  <c r="BO97" i="62"/>
  <c r="BO99" i="62"/>
  <c r="BO85" i="62"/>
  <c r="BP99" i="62"/>
  <c r="BP85" i="62"/>
  <c r="BQ88" i="62"/>
  <c r="BO84" i="62"/>
  <c r="BO94" i="62"/>
  <c r="BT83" i="62"/>
  <c r="BR73" i="62"/>
  <c r="BT80" i="62"/>
  <c r="BS75" i="62"/>
  <c r="BS83" i="62"/>
  <c r="BP97" i="62"/>
  <c r="BO81" i="62"/>
  <c r="BT77" i="62"/>
  <c r="BT91" i="62"/>
  <c r="BS81" i="62"/>
  <c r="BQ98" i="62"/>
  <c r="BR77" i="62"/>
  <c r="BR80" i="62"/>
  <c r="BT81" i="62"/>
  <c r="BP98" i="62"/>
  <c r="BO79" i="62"/>
  <c r="BR79" i="62"/>
  <c r="BS80" i="62"/>
  <c r="BR78" i="62"/>
  <c r="BT75" i="62"/>
  <c r="BO90" i="62"/>
  <c r="BP80" i="62"/>
  <c r="BO74" i="62"/>
  <c r="BT78" i="62"/>
  <c r="BO80" i="62"/>
  <c r="BQ75" i="62"/>
  <c r="BR74" i="62"/>
  <c r="BR75" i="62"/>
  <c r="BT76" i="62"/>
  <c r="BS79" i="62"/>
  <c r="BP79" i="62"/>
  <c r="BO89" i="62"/>
  <c r="BS76" i="62"/>
  <c r="BQ86" i="62"/>
  <c r="BR76" i="62"/>
  <c r="BQ77" i="62"/>
  <c r="BQ76" i="62"/>
  <c r="BO76" i="62"/>
  <c r="BT74" i="62"/>
  <c r="BR94" i="62"/>
  <c r="BS74" i="62"/>
  <c r="BO78" i="62"/>
  <c r="BR81" i="62"/>
  <c r="BQ80" i="62"/>
  <c r="BO101" i="62"/>
  <c r="BS77" i="62"/>
  <c r="BR72" i="62"/>
  <c r="BQ78" i="62"/>
  <c r="BP75" i="62"/>
  <c r="BT90" i="62"/>
  <c r="AF27" i="69"/>
  <c r="AG27" i="69"/>
  <c r="AE27" i="69"/>
  <c r="AS35" i="5"/>
  <c r="BV21" i="5"/>
  <c r="BL73" i="62"/>
  <c r="BJ72" i="62"/>
  <c r="BN76" i="62"/>
  <c r="BK78" i="62"/>
  <c r="BM73" i="62"/>
  <c r="BK72" i="62"/>
  <c r="BN73" i="62"/>
  <c r="BM72" i="62"/>
  <c r="BI81" i="62"/>
  <c r="BN72" i="62"/>
  <c r="BJ81" i="62"/>
  <c r="BI74" i="62"/>
  <c r="BK81" i="62"/>
  <c r="BJ80" i="62"/>
  <c r="BL75" i="62"/>
  <c r="BK80" i="62"/>
  <c r="BK76" i="62"/>
  <c r="BN82" i="62"/>
  <c r="BL96" i="62"/>
  <c r="BL89" i="62"/>
  <c r="BL99" i="62"/>
  <c r="BK91" i="62"/>
  <c r="BI86" i="62"/>
  <c r="BN97" i="62"/>
  <c r="BL90" i="62"/>
  <c r="BM92" i="62"/>
  <c r="BM98" i="62"/>
  <c r="BI73" i="62"/>
  <c r="BN81" i="62"/>
  <c r="BI84" i="62"/>
  <c r="BJ95" i="62"/>
  <c r="BL94" i="62"/>
  <c r="BJ96" i="62"/>
  <c r="BI85" i="62"/>
  <c r="BM91" i="62"/>
  <c r="BM96" i="62"/>
  <c r="BN95" i="62"/>
  <c r="BJ93" i="62"/>
  <c r="BJ73" i="62"/>
  <c r="BN92" i="62"/>
  <c r="BL100" i="62"/>
  <c r="BL101" i="62"/>
  <c r="BJ83" i="62"/>
  <c r="BJ84" i="62"/>
  <c r="BI89" i="62"/>
  <c r="BI83" i="62"/>
  <c r="BN87" i="62"/>
  <c r="BK73" i="62"/>
  <c r="BI82" i="62"/>
  <c r="BN91" i="62"/>
  <c r="BI90" i="62"/>
  <c r="BK83" i="62"/>
  <c r="BK93" i="62"/>
  <c r="BM83" i="62"/>
  <c r="BK84" i="62"/>
  <c r="BI94" i="62"/>
  <c r="BJ92" i="62"/>
  <c r="BJ97" i="62"/>
  <c r="BI88" i="62"/>
  <c r="BJ86" i="62"/>
  <c r="BK95" i="62"/>
  <c r="BM93" i="62"/>
  <c r="BI100" i="62"/>
  <c r="BI76" i="62"/>
  <c r="BM89" i="62"/>
  <c r="BL84" i="62"/>
  <c r="BN96" i="62"/>
  <c r="BL83" i="62"/>
  <c r="BL93" i="62"/>
  <c r="BJ82" i="62"/>
  <c r="BK86" i="62"/>
  <c r="BM100" i="62"/>
  <c r="BK92" i="62"/>
  <c r="BK97" i="62"/>
  <c r="BN74" i="62"/>
  <c r="BN79" i="62"/>
  <c r="BN83" i="62"/>
  <c r="BM84" i="62"/>
  <c r="BI101" i="62"/>
  <c r="BN93" i="62"/>
  <c r="BL97" i="62"/>
  <c r="BM77" i="62"/>
  <c r="BN99" i="62"/>
  <c r="BI96" i="62"/>
  <c r="BJ88" i="62"/>
  <c r="BJ90" i="62"/>
  <c r="BM94" i="62"/>
  <c r="BJ78" i="62"/>
  <c r="BN77" i="62"/>
  <c r="BK82" i="62"/>
  <c r="BL95" i="62"/>
  <c r="BI98" i="62"/>
  <c r="BI87" i="62"/>
  <c r="BN100" i="62"/>
  <c r="BJ85" i="62"/>
  <c r="BK88" i="62"/>
  <c r="BJ101" i="62"/>
  <c r="BM90" i="62"/>
  <c r="BL82" i="62"/>
  <c r="BK89" i="62"/>
  <c r="BI91" i="62"/>
  <c r="BJ87" i="62"/>
  <c r="BK90" i="62"/>
  <c r="BL98" i="62"/>
  <c r="BL88" i="62"/>
  <c r="BK94" i="62"/>
  <c r="BL91" i="62"/>
  <c r="BM88" i="62"/>
  <c r="BN88" i="62"/>
  <c r="BN101" i="62"/>
  <c r="BJ94" i="62"/>
  <c r="BM95" i="62"/>
  <c r="BI72" i="62"/>
  <c r="BK101" i="62"/>
  <c r="BI93" i="62"/>
  <c r="BM87" i="62"/>
  <c r="BL92" i="62"/>
  <c r="BN86" i="62"/>
  <c r="BJ91" i="62"/>
  <c r="BI97" i="62"/>
  <c r="BN89" i="62"/>
  <c r="BJ98" i="62"/>
  <c r="BK87" i="62"/>
  <c r="BK98" i="62"/>
  <c r="BK77" i="62"/>
  <c r="BN98" i="62"/>
  <c r="BL76" i="62"/>
  <c r="BI92" i="62"/>
  <c r="BN94" i="62"/>
  <c r="BM101" i="62"/>
  <c r="BK85" i="62"/>
  <c r="BN84" i="62"/>
  <c r="BN90" i="62"/>
  <c r="BL87" i="62"/>
  <c r="BM82" i="62"/>
  <c r="BL86" i="62"/>
  <c r="BM85" i="62"/>
  <c r="BI95" i="62"/>
  <c r="BI99" i="62"/>
  <c r="BL85" i="62"/>
  <c r="BM97" i="62"/>
  <c r="BM86" i="62"/>
  <c r="BK96" i="62"/>
  <c r="BK99" i="62"/>
  <c r="BM99" i="62"/>
  <c r="BJ100" i="62"/>
  <c r="BJ99" i="62"/>
  <c r="BM78" i="62"/>
  <c r="BN80" i="62"/>
  <c r="BJ79" i="62"/>
  <c r="BJ77" i="62"/>
  <c r="BL81" i="62"/>
  <c r="BK75" i="62"/>
  <c r="BM80" i="62"/>
  <c r="BJ75" i="62"/>
  <c r="BN75" i="62"/>
  <c r="BL79" i="62"/>
  <c r="BK100" i="62"/>
  <c r="BL77" i="62"/>
  <c r="BM75" i="62"/>
  <c r="BK74" i="62"/>
  <c r="BI78" i="62"/>
  <c r="BN85" i="62"/>
  <c r="BJ76" i="62"/>
  <c r="BN78" i="62"/>
  <c r="BJ89" i="62"/>
  <c r="BM74" i="62"/>
  <c r="BL74" i="62"/>
  <c r="BI75" i="62"/>
  <c r="BI79" i="62"/>
  <c r="BM81" i="62"/>
  <c r="BL72" i="62"/>
  <c r="BI80" i="62"/>
  <c r="BL80" i="62"/>
  <c r="BI77" i="62"/>
  <c r="BJ74" i="62"/>
  <c r="BL78" i="62"/>
  <c r="BM79" i="62"/>
  <c r="BK79" i="62"/>
  <c r="BM76" i="62"/>
  <c r="S25" i="17"/>
  <c r="V25" i="17"/>
  <c r="M25" i="17"/>
  <c r="T25" i="17"/>
  <c r="J25" i="17"/>
  <c r="L25" i="17"/>
  <c r="N25" i="17"/>
  <c r="Q25" i="17"/>
  <c r="K25" i="17"/>
  <c r="W25" i="17"/>
  <c r="P25" i="17"/>
  <c r="O25" i="17"/>
  <c r="U25" i="17"/>
  <c r="R25" i="17"/>
  <c r="AT102" i="62"/>
  <c r="AQ49" i="5"/>
  <c r="CB21" i="5"/>
  <c r="AE24" i="66"/>
  <c r="AF24" i="66"/>
  <c r="AG24" i="66"/>
  <c r="AG29" i="68"/>
  <c r="AF29" i="68"/>
  <c r="AE29" i="68"/>
  <c r="AF27" i="74"/>
  <c r="AE27" i="74"/>
  <c r="AG27" i="74"/>
  <c r="AE30" i="18"/>
  <c r="AF30" i="18"/>
  <c r="AG30" i="18"/>
  <c r="S30" i="17"/>
  <c r="M30" i="17"/>
  <c r="R30" i="17"/>
  <c r="L30" i="17"/>
  <c r="Q30" i="17"/>
  <c r="J30" i="17"/>
  <c r="N30" i="17"/>
  <c r="T30" i="17"/>
  <c r="V30" i="17"/>
  <c r="P30" i="17"/>
  <c r="W30" i="17"/>
  <c r="U30" i="17"/>
  <c r="K30" i="17"/>
  <c r="O30" i="17"/>
  <c r="AR102" i="62"/>
  <c r="AG27" i="71"/>
  <c r="AE27" i="71"/>
  <c r="AF27" i="71"/>
  <c r="R22" i="70"/>
  <c r="R22" i="71"/>
  <c r="AG29" i="66"/>
  <c r="AF29" i="66"/>
  <c r="AE29" i="66"/>
  <c r="AS102" i="62"/>
  <c r="AE28" i="74"/>
  <c r="AF28" i="74"/>
  <c r="AG28" i="74"/>
  <c r="AG29" i="69"/>
  <c r="AF29" i="69"/>
  <c r="AE29" i="69"/>
  <c r="AE27" i="67"/>
  <c r="AF27" i="67"/>
  <c r="AG27" i="67"/>
  <c r="AF30" i="69"/>
  <c r="AG30" i="69"/>
  <c r="AE30" i="69"/>
  <c r="AV102" i="62"/>
  <c r="AE27" i="18"/>
  <c r="AF27" i="18"/>
  <c r="AG27" i="18"/>
  <c r="R19" i="19"/>
  <c r="AQ102" i="62"/>
  <c r="AE30" i="68"/>
  <c r="AG30" i="68"/>
  <c r="AF30" i="68"/>
  <c r="AF30" i="70"/>
  <c r="AG30" i="70"/>
  <c r="AE30" i="70"/>
  <c r="AG29" i="74"/>
  <c r="AF29" i="74"/>
  <c r="AE29" i="74"/>
  <c r="AU102" i="62"/>
  <c r="AG24" i="71"/>
  <c r="AF24" i="71"/>
  <c r="AE24" i="71"/>
  <c r="BI28" i="5"/>
  <c r="K77" i="7"/>
  <c r="AR54" i="5"/>
  <c r="AR61" i="5" s="1"/>
  <c r="AR63" i="5" s="1"/>
  <c r="AR66" i="5" s="1"/>
  <c r="AR73" i="5" s="1"/>
  <c r="AR75" i="5" s="1"/>
  <c r="AU54" i="5"/>
  <c r="AU61" i="5" s="1"/>
  <c r="AU63" i="5" s="1"/>
  <c r="AU66" i="5" s="1"/>
  <c r="AU73" i="5" s="1"/>
  <c r="AU75" i="5" s="1"/>
  <c r="AE28" i="68"/>
  <c r="AF28" i="68"/>
  <c r="AG28" i="68"/>
  <c r="R22" i="72"/>
  <c r="AE29" i="18"/>
  <c r="AF29" i="18"/>
  <c r="AG29" i="18"/>
  <c r="AG29" i="73"/>
  <c r="AF29" i="73"/>
  <c r="AE29" i="73"/>
  <c r="R22" i="74"/>
  <c r="R22" i="69"/>
  <c r="Z16" i="15"/>
  <c r="Y16" i="15"/>
  <c r="AL16" i="15"/>
  <c r="AF16" i="16" s="1"/>
  <c r="X16" i="15"/>
  <c r="Z11" i="15"/>
  <c r="X11" i="15"/>
  <c r="AL11" i="15"/>
  <c r="AF11" i="16" s="1"/>
  <c r="Y11" i="15"/>
  <c r="Z12" i="15"/>
  <c r="AL12" i="15"/>
  <c r="AF12" i="16" s="1"/>
  <c r="X12" i="15"/>
  <c r="Y12" i="15"/>
  <c r="Q26" i="72"/>
  <c r="Q23" i="19"/>
  <c r="Q26" i="74"/>
  <c r="Q26" i="66"/>
  <c r="Q26" i="68"/>
  <c r="V11" i="61"/>
  <c r="S17" i="102"/>
  <c r="Q26" i="69"/>
  <c r="Q26" i="70"/>
  <c r="Q26" i="73"/>
  <c r="Q26" i="71"/>
  <c r="Q26" i="67"/>
  <c r="Q30" i="73"/>
  <c r="S21" i="102"/>
  <c r="Q30" i="68"/>
  <c r="Q30" i="69"/>
  <c r="Q27" i="19"/>
  <c r="Q30" i="70"/>
  <c r="Q30" i="67"/>
  <c r="Q30" i="72"/>
  <c r="Q30" i="74"/>
  <c r="Q30" i="71"/>
  <c r="Q30" i="66"/>
  <c r="V15" i="61"/>
  <c r="Q31" i="70"/>
  <c r="Q31" i="74"/>
  <c r="Q31" i="73"/>
  <c r="Q31" i="67"/>
  <c r="Q31" i="71"/>
  <c r="Q31" i="72"/>
  <c r="Q28" i="19"/>
  <c r="V16" i="61"/>
  <c r="Q31" i="68"/>
  <c r="Q31" i="66"/>
  <c r="Q31" i="69"/>
  <c r="Z10" i="15"/>
  <c r="AL10" i="15"/>
  <c r="AF10" i="16" s="1"/>
  <c r="Y10" i="15"/>
  <c r="X10" i="15"/>
  <c r="Q25" i="66"/>
  <c r="Q25" i="73"/>
  <c r="Q22" i="19"/>
  <c r="Q25" i="71"/>
  <c r="Q25" i="72"/>
  <c r="Q25" i="70"/>
  <c r="Q25" i="67"/>
  <c r="Q25" i="68"/>
  <c r="Q25" i="74"/>
  <c r="V10" i="61"/>
  <c r="Q25" i="69"/>
  <c r="Q27" i="68"/>
  <c r="Q27" i="74"/>
  <c r="S18" i="102"/>
  <c r="Q27" i="72"/>
  <c r="Q24" i="19"/>
  <c r="Q27" i="69"/>
  <c r="Q27" i="70"/>
  <c r="Q27" i="71"/>
  <c r="V12" i="61"/>
  <c r="Q27" i="66"/>
  <c r="Q27" i="73"/>
  <c r="Q27" i="67"/>
  <c r="Y15" i="15"/>
  <c r="AL15" i="15"/>
  <c r="AF15" i="16" s="1"/>
  <c r="X15" i="15"/>
  <c r="Z15" i="15"/>
  <c r="R27" i="67"/>
  <c r="R27" i="70"/>
  <c r="R27" i="68"/>
  <c r="R27" i="18"/>
  <c r="T18" i="102" s="1"/>
  <c r="R27" i="69"/>
  <c r="R27" i="72"/>
  <c r="R27" i="74"/>
  <c r="R27" i="71"/>
  <c r="R27" i="73"/>
  <c r="R24" i="19"/>
  <c r="R27" i="66"/>
  <c r="CD21" i="5" l="1"/>
  <c r="CD22" i="5" s="1"/>
  <c r="AU35" i="5"/>
  <c r="H78" i="7" s="1"/>
  <c r="H24" i="95"/>
  <c r="R24" i="90"/>
  <c r="H24" i="69"/>
  <c r="H24" i="67"/>
  <c r="R24" i="84"/>
  <c r="R24" i="72"/>
  <c r="R24" i="68"/>
  <c r="H24" i="70"/>
  <c r="H24" i="92"/>
  <c r="H24" i="100"/>
  <c r="H24" i="90"/>
  <c r="R24" i="81"/>
  <c r="H24" i="88"/>
  <c r="H24" i="71"/>
  <c r="H24" i="85"/>
  <c r="R24" i="88"/>
  <c r="R24" i="66"/>
  <c r="H24" i="18"/>
  <c r="R24" i="86"/>
  <c r="H24" i="91"/>
  <c r="R24" i="99"/>
  <c r="R24" i="92"/>
  <c r="R24" i="70"/>
  <c r="H24" i="68"/>
  <c r="R24" i="87"/>
  <c r="H24" i="97"/>
  <c r="R24" i="95"/>
  <c r="R24" i="83"/>
  <c r="R24" i="67"/>
  <c r="R24" i="97"/>
  <c r="R24" i="69"/>
  <c r="H24" i="87"/>
  <c r="H24" i="99"/>
  <c r="R24" i="96"/>
  <c r="R24" i="85"/>
  <c r="R21" i="19"/>
  <c r="R24" i="73"/>
  <c r="H24" i="84"/>
  <c r="H24" i="82"/>
  <c r="H24" i="74"/>
  <c r="R24" i="18"/>
  <c r="T15" i="102" s="1"/>
  <c r="H24" i="89"/>
  <c r="H24" i="86"/>
  <c r="R24" i="91"/>
  <c r="R24" i="71"/>
  <c r="H24" i="94"/>
  <c r="R24" i="94"/>
  <c r="R24" i="100"/>
  <c r="H24" i="96"/>
  <c r="H24" i="83"/>
  <c r="R24" i="98"/>
  <c r="R24" i="89"/>
  <c r="H24" i="72"/>
  <c r="R24" i="93"/>
  <c r="H24" i="98"/>
  <c r="H24" i="81"/>
  <c r="R24" i="74"/>
  <c r="H24" i="73"/>
  <c r="H24" i="93"/>
  <c r="H24" i="66"/>
  <c r="R24" i="82"/>
  <c r="H26" i="74"/>
  <c r="H26" i="99"/>
  <c r="H26" i="81"/>
  <c r="R26" i="72"/>
  <c r="H26" i="71"/>
  <c r="H26" i="98"/>
  <c r="R26" i="67"/>
  <c r="R26" i="97"/>
  <c r="R26" i="66"/>
  <c r="H26" i="95"/>
  <c r="R26" i="96"/>
  <c r="R26" i="84"/>
  <c r="H26" i="96"/>
  <c r="H26" i="70"/>
  <c r="H26" i="72"/>
  <c r="H26" i="94"/>
  <c r="H26" i="18"/>
  <c r="H26" i="83"/>
  <c r="R26" i="92"/>
  <c r="H26" i="100"/>
  <c r="R26" i="70"/>
  <c r="H26" i="92"/>
  <c r="R26" i="100"/>
  <c r="R26" i="71"/>
  <c r="H26" i="68"/>
  <c r="H26" i="66"/>
  <c r="R26" i="18"/>
  <c r="T17" i="102" s="1"/>
  <c r="H26" i="69"/>
  <c r="R26" i="81"/>
  <c r="H26" i="89"/>
  <c r="H26" i="85"/>
  <c r="R26" i="99"/>
  <c r="H26" i="87"/>
  <c r="H26" i="97"/>
  <c r="R26" i="69"/>
  <c r="R26" i="91"/>
  <c r="R26" i="68"/>
  <c r="H26" i="86"/>
  <c r="H26" i="73"/>
  <c r="R26" i="82"/>
  <c r="H26" i="91"/>
  <c r="H26" i="67"/>
  <c r="R26" i="85"/>
  <c r="H26" i="82"/>
  <c r="R26" i="94"/>
  <c r="R26" i="89"/>
  <c r="H26" i="88"/>
  <c r="R26" i="90"/>
  <c r="R26" i="93"/>
  <c r="R26" i="73"/>
  <c r="H26" i="84"/>
  <c r="H26" i="90"/>
  <c r="R26" i="88"/>
  <c r="R26" i="74"/>
  <c r="R26" i="98"/>
  <c r="R26" i="87"/>
  <c r="R26" i="83"/>
  <c r="H26" i="93"/>
  <c r="R26" i="95"/>
  <c r="R26" i="86"/>
  <c r="R23" i="19"/>
  <c r="R29" i="70"/>
  <c r="R29" i="92"/>
  <c r="R29" i="96"/>
  <c r="R29" i="18"/>
  <c r="T20" i="102" s="1"/>
  <c r="R26" i="19"/>
  <c r="R29" i="97"/>
  <c r="R29" i="73"/>
  <c r="R29" i="94"/>
  <c r="R29" i="83"/>
  <c r="R29" i="67"/>
  <c r="R29" i="93"/>
  <c r="R29" i="86"/>
  <c r="R29" i="84"/>
  <c r="R29" i="82"/>
  <c r="R29" i="81"/>
  <c r="R29" i="71"/>
  <c r="R29" i="95"/>
  <c r="R29" i="91"/>
  <c r="R29" i="69"/>
  <c r="R29" i="66"/>
  <c r="R29" i="90"/>
  <c r="R29" i="98"/>
  <c r="R29" i="85"/>
  <c r="R29" i="72"/>
  <c r="R29" i="87"/>
  <c r="R29" i="68"/>
  <c r="R29" i="100"/>
  <c r="R29" i="89"/>
  <c r="R29" i="74"/>
  <c r="R29" i="99"/>
  <c r="R29" i="88"/>
  <c r="H25" i="93"/>
  <c r="H25" i="91"/>
  <c r="R25" i="96"/>
  <c r="R25" i="89"/>
  <c r="H25" i="82"/>
  <c r="H25" i="95"/>
  <c r="R25" i="98"/>
  <c r="R25" i="86"/>
  <c r="H25" i="99"/>
  <c r="H25" i="86"/>
  <c r="H25" i="98"/>
  <c r="R25" i="83"/>
  <c r="H25" i="94"/>
  <c r="H25" i="69"/>
  <c r="R25" i="93"/>
  <c r="R25" i="88"/>
  <c r="R25" i="70"/>
  <c r="H25" i="88"/>
  <c r="H25" i="66"/>
  <c r="R25" i="87"/>
  <c r="R25" i="94"/>
  <c r="R25" i="99"/>
  <c r="R25" i="84"/>
  <c r="H25" i="83"/>
  <c r="H25" i="96"/>
  <c r="R25" i="97"/>
  <c r="R25" i="85"/>
  <c r="R22" i="19"/>
  <c r="H25" i="68"/>
  <c r="H25" i="81"/>
  <c r="R25" i="90"/>
  <c r="R25" i="68"/>
  <c r="R25" i="18"/>
  <c r="T16" i="102" s="1"/>
  <c r="H25" i="67"/>
  <c r="H25" i="97"/>
  <c r="R25" i="92"/>
  <c r="R25" i="67"/>
  <c r="H25" i="84"/>
  <c r="R25" i="81"/>
  <c r="H25" i="89"/>
  <c r="R25" i="66"/>
  <c r="R25" i="71"/>
  <c r="H25" i="73"/>
  <c r="H25" i="72"/>
  <c r="R25" i="73"/>
  <c r="H25" i="100"/>
  <c r="H25" i="85"/>
  <c r="H25" i="90"/>
  <c r="R25" i="69"/>
  <c r="H25" i="71"/>
  <c r="R25" i="91"/>
  <c r="H25" i="92"/>
  <c r="R25" i="95"/>
  <c r="R25" i="82"/>
  <c r="H25" i="74"/>
  <c r="R25" i="72"/>
  <c r="H25" i="70"/>
  <c r="R25" i="74"/>
  <c r="H25" i="87"/>
  <c r="R25" i="100"/>
  <c r="H25" i="18"/>
  <c r="AC139" i="62"/>
  <c r="G140" i="62" s="1"/>
  <c r="G141" i="62" s="1"/>
  <c r="E5" i="17" s="1"/>
  <c r="G5" i="17" s="1"/>
  <c r="R21" i="18" s="1"/>
  <c r="T12" i="102" s="1"/>
  <c r="F140" i="62"/>
  <c r="F141" i="62" s="1"/>
  <c r="E4" i="17" s="1"/>
  <c r="Q22" i="81"/>
  <c r="Q22" i="89"/>
  <c r="Q21" i="86"/>
  <c r="Q22" i="95"/>
  <c r="Q21" i="99"/>
  <c r="Q21" i="94"/>
  <c r="Q22" i="91"/>
  <c r="Q22" i="100"/>
  <c r="Q21" i="72"/>
  <c r="Q22" i="82"/>
  <c r="Q22" i="70"/>
  <c r="Q21" i="70"/>
  <c r="V7" i="61"/>
  <c r="Q22" i="69"/>
  <c r="BN29" i="5"/>
  <c r="T78" i="7" s="1"/>
  <c r="Q22" i="68"/>
  <c r="Q22" i="67"/>
  <c r="Q19" i="19"/>
  <c r="Q22" i="74"/>
  <c r="Q22" i="73"/>
  <c r="BH29" i="5"/>
  <c r="BI29" i="5" s="1"/>
  <c r="Q22" i="66"/>
  <c r="Q21" i="83"/>
  <c r="AS54" i="5"/>
  <c r="AS61" i="5" s="1"/>
  <c r="AS63" i="5" s="1"/>
  <c r="AS66" i="5" s="1"/>
  <c r="AS73" i="5" s="1"/>
  <c r="AS75" i="5" s="1"/>
  <c r="Q21" i="92"/>
  <c r="DE23" i="5"/>
  <c r="DD23" i="5" s="1"/>
  <c r="Q22" i="98"/>
  <c r="BF30" i="5"/>
  <c r="E7" i="7" s="1"/>
  <c r="AF19" i="7" s="1"/>
  <c r="Q22" i="85"/>
  <c r="CN22" i="5"/>
  <c r="H24" i="15" s="1"/>
  <c r="Q22" i="88"/>
  <c r="Q22" i="96"/>
  <c r="Q22" i="99"/>
  <c r="Q22" i="90"/>
  <c r="Q21" i="74"/>
  <c r="Q22" i="71"/>
  <c r="Q22" i="93"/>
  <c r="Q22" i="84"/>
  <c r="Q22" i="92"/>
  <c r="Q21" i="71"/>
  <c r="Q21" i="66"/>
  <c r="Q21" i="85"/>
  <c r="Q21" i="90"/>
  <c r="Q21" i="87"/>
  <c r="Q21" i="81"/>
  <c r="Q21" i="88"/>
  <c r="Q22" i="86"/>
  <c r="Q21" i="98"/>
  <c r="Q21" i="84"/>
  <c r="Q22" i="87"/>
  <c r="Q21" i="91"/>
  <c r="Q21" i="67"/>
  <c r="Q21" i="68"/>
  <c r="Q21" i="82"/>
  <c r="Q22" i="94"/>
  <c r="Q22" i="72"/>
  <c r="Q21" i="96"/>
  <c r="Q22" i="83"/>
  <c r="Q18" i="19"/>
  <c r="Q21" i="95"/>
  <c r="Q22" i="97"/>
  <c r="Q21" i="73"/>
  <c r="Q21" i="69"/>
  <c r="Q21" i="93"/>
  <c r="Q21" i="100"/>
  <c r="Q21" i="89"/>
  <c r="Q21" i="97"/>
  <c r="V6" i="61"/>
  <c r="L78" i="7"/>
  <c r="BE30" i="5"/>
  <c r="E6" i="7" s="1"/>
  <c r="AF18" i="7" s="1"/>
  <c r="CS22" i="5"/>
  <c r="L30" i="4" s="1"/>
  <c r="CI22" i="5"/>
  <c r="G24" i="15" s="1"/>
  <c r="Q23" i="66"/>
  <c r="CX22" i="5"/>
  <c r="M30" i="4" s="1"/>
  <c r="BM29" i="5"/>
  <c r="Q23" i="99"/>
  <c r="Q23" i="83"/>
  <c r="Q23" i="72"/>
  <c r="BL30" i="5"/>
  <c r="F7" i="7" s="1"/>
  <c r="AY19" i="7" s="1"/>
  <c r="AV35" i="5"/>
  <c r="I78" i="7" s="1"/>
  <c r="Q23" i="68"/>
  <c r="Q23" i="67"/>
  <c r="Q23" i="87"/>
  <c r="AL5" i="15"/>
  <c r="AF5" i="16" s="1"/>
  <c r="Q23" i="89"/>
  <c r="Q23" i="70"/>
  <c r="Q23" i="88"/>
  <c r="Q23" i="95"/>
  <c r="Q23" i="69"/>
  <c r="Q23" i="82"/>
  <c r="Q23" i="97"/>
  <c r="Q23" i="96"/>
  <c r="Q23" i="90"/>
  <c r="Q23" i="73"/>
  <c r="Q23" i="92"/>
  <c r="Q23" i="84"/>
  <c r="Q23" i="100"/>
  <c r="Q23" i="93"/>
  <c r="Q23" i="85"/>
  <c r="Q23" i="71"/>
  <c r="Q23" i="91"/>
  <c r="V8" i="61"/>
  <c r="Q23" i="81"/>
  <c r="Q23" i="86"/>
  <c r="Q23" i="74"/>
  <c r="Q23" i="98"/>
  <c r="Q20" i="19"/>
  <c r="Q23" i="94"/>
  <c r="BG30" i="5"/>
  <c r="E8" i="7" s="1"/>
  <c r="AX20" i="7" s="1"/>
  <c r="P78" i="7"/>
  <c r="AW36" i="5"/>
  <c r="D9" i="7" s="1"/>
  <c r="AU36" i="5"/>
  <c r="D7" i="7" s="1"/>
  <c r="AO19" i="7" s="1"/>
  <c r="AT49" i="5"/>
  <c r="AT54" i="5" s="1"/>
  <c r="AT61" i="5" s="1"/>
  <c r="AT63" i="5" s="1"/>
  <c r="AT66" i="5" s="1"/>
  <c r="AT73" i="5" s="1"/>
  <c r="AT75" i="5" s="1"/>
  <c r="BK30" i="5"/>
  <c r="F6" i="7" s="1"/>
  <c r="AG18" i="7" s="1"/>
  <c r="BD30" i="5"/>
  <c r="AX30" i="5"/>
  <c r="AT36" i="5"/>
  <c r="G79" i="7" s="1"/>
  <c r="DG24" i="5"/>
  <c r="DG23" i="5"/>
  <c r="U14" i="84"/>
  <c r="BV63" i="101" s="1"/>
  <c r="BX63" i="101" s="1"/>
  <c r="AQ43" i="5"/>
  <c r="AQ62" i="5" s="1"/>
  <c r="J24" i="6"/>
  <c r="AX43" i="5" s="1"/>
  <c r="AO70" i="62"/>
  <c r="R30" i="100"/>
  <c r="R30" i="93"/>
  <c r="BX43" i="101"/>
  <c r="BY43" i="101"/>
  <c r="R30" i="84"/>
  <c r="R30" i="18"/>
  <c r="T21" i="102" s="1"/>
  <c r="R30" i="88"/>
  <c r="R30" i="91"/>
  <c r="R30" i="74"/>
  <c r="R30" i="85"/>
  <c r="R30" i="81"/>
  <c r="R30" i="86"/>
  <c r="R30" i="82"/>
  <c r="R30" i="90"/>
  <c r="R27" i="19"/>
  <c r="R30" i="89"/>
  <c r="R30" i="73"/>
  <c r="R30" i="92"/>
  <c r="R30" i="71"/>
  <c r="R30" i="67"/>
  <c r="R30" i="69"/>
  <c r="R30" i="83"/>
  <c r="R30" i="87"/>
  <c r="R30" i="68"/>
  <c r="R30" i="98"/>
  <c r="R30" i="96"/>
  <c r="R30" i="72"/>
  <c r="R30" i="99"/>
  <c r="R30" i="70"/>
  <c r="R30" i="66"/>
  <c r="R30" i="97"/>
  <c r="R30" i="94"/>
  <c r="BX85" i="101"/>
  <c r="U14" i="67"/>
  <c r="BV41" i="101" s="1"/>
  <c r="V14" i="67"/>
  <c r="BW41" i="101" s="1"/>
  <c r="BY91" i="101"/>
  <c r="DC14" i="66"/>
  <c r="U14" i="66" s="1"/>
  <c r="BV39" i="101" s="1"/>
  <c r="DD14" i="66"/>
  <c r="BY55" i="101"/>
  <c r="BX55" i="101"/>
  <c r="BX77" i="101"/>
  <c r="DC14" i="69"/>
  <c r="DD14" i="69"/>
  <c r="BY79" i="101"/>
  <c r="DC14" i="72"/>
  <c r="DD14" i="72"/>
  <c r="BY89" i="101"/>
  <c r="V14" i="70"/>
  <c r="BW47" i="101" s="1"/>
  <c r="U14" i="70"/>
  <c r="BV47" i="101" s="1"/>
  <c r="R31" i="82"/>
  <c r="R31" i="88"/>
  <c r="H23" i="92"/>
  <c r="H23" i="81"/>
  <c r="H23" i="70"/>
  <c r="H23" i="93"/>
  <c r="H23" i="99"/>
  <c r="H23" i="83"/>
  <c r="H23" i="72"/>
  <c r="H23" i="94"/>
  <c r="H23" i="66"/>
  <c r="H23" i="98"/>
  <c r="H23" i="87"/>
  <c r="H23" i="82"/>
  <c r="H23" i="71"/>
  <c r="H23" i="84"/>
  <c r="H23" i="69"/>
  <c r="H23" i="88"/>
  <c r="H23" i="100"/>
  <c r="H23" i="95"/>
  <c r="H23" i="89"/>
  <c r="H23" i="67"/>
  <c r="H23" i="68"/>
  <c r="H23" i="74"/>
  <c r="H23" i="96"/>
  <c r="H23" i="85"/>
  <c r="H23" i="91"/>
  <c r="H23" i="86"/>
  <c r="H23" i="90"/>
  <c r="H23" i="97"/>
  <c r="H23" i="73"/>
  <c r="R31" i="90"/>
  <c r="R31" i="86"/>
  <c r="R31" i="94"/>
  <c r="R31" i="96"/>
  <c r="R31" i="66"/>
  <c r="R31" i="69"/>
  <c r="R31" i="73"/>
  <c r="R31" i="71"/>
  <c r="R31" i="81"/>
  <c r="R28" i="19"/>
  <c r="R31" i="85"/>
  <c r="R31" i="84"/>
  <c r="R31" i="74"/>
  <c r="R31" i="18"/>
  <c r="T22" i="102" s="1"/>
  <c r="R31" i="87"/>
  <c r="R31" i="83"/>
  <c r="R31" i="99"/>
  <c r="R23" i="96"/>
  <c r="H23" i="18"/>
  <c r="R31" i="95"/>
  <c r="R31" i="93"/>
  <c r="D21" i="99"/>
  <c r="D21" i="18"/>
  <c r="D23" i="89"/>
  <c r="D23" i="18"/>
  <c r="D25" i="99"/>
  <c r="D25" i="18"/>
  <c r="D20" i="100"/>
  <c r="D20" i="18"/>
  <c r="D24" i="82"/>
  <c r="D24" i="18"/>
  <c r="BY5" i="101"/>
  <c r="BX5" i="101"/>
  <c r="R31" i="67"/>
  <c r="R31" i="91"/>
  <c r="R31" i="68"/>
  <c r="R31" i="89"/>
  <c r="R31" i="92"/>
  <c r="R31" i="72"/>
  <c r="R31" i="70"/>
  <c r="R31" i="97"/>
  <c r="R31" i="100"/>
  <c r="V14" i="88"/>
  <c r="BW71" i="101" s="1"/>
  <c r="U14" i="88"/>
  <c r="BV71" i="101" s="1"/>
  <c r="V14" i="89"/>
  <c r="BW73" i="101" s="1"/>
  <c r="U14" i="89"/>
  <c r="BV73" i="101" s="1"/>
  <c r="V14" i="100"/>
  <c r="BW95" i="101" s="1"/>
  <c r="U14" i="100"/>
  <c r="BV95" i="101" s="1"/>
  <c r="V14" i="99"/>
  <c r="BW93" i="101" s="1"/>
  <c r="U14" i="99"/>
  <c r="BV93" i="101" s="1"/>
  <c r="V14" i="96"/>
  <c r="BW87" i="101" s="1"/>
  <c r="U14" i="96"/>
  <c r="BV87" i="101" s="1"/>
  <c r="V14" i="86"/>
  <c r="BW67" i="101" s="1"/>
  <c r="U14" i="86"/>
  <c r="BV67" i="101" s="1"/>
  <c r="U14" i="93"/>
  <c r="BV81" i="101" s="1"/>
  <c r="V14" i="93"/>
  <c r="BW81" i="101" s="1"/>
  <c r="U14" i="90"/>
  <c r="BV75" i="101" s="1"/>
  <c r="V14" i="90"/>
  <c r="BW75" i="101" s="1"/>
  <c r="D25" i="74"/>
  <c r="R23" i="71"/>
  <c r="R23" i="100"/>
  <c r="R23" i="82"/>
  <c r="R23" i="69"/>
  <c r="R23" i="86"/>
  <c r="R23" i="84"/>
  <c r="R23" i="89"/>
  <c r="R23" i="18"/>
  <c r="T14" i="102" s="1"/>
  <c r="R23" i="90"/>
  <c r="R23" i="67"/>
  <c r="R23" i="88"/>
  <c r="R23" i="70"/>
  <c r="R23" i="73"/>
  <c r="R23" i="68"/>
  <c r="R23" i="92"/>
  <c r="R23" i="97"/>
  <c r="R23" i="74"/>
  <c r="R23" i="87"/>
  <c r="R20" i="19"/>
  <c r="R23" i="81"/>
  <c r="R23" i="94"/>
  <c r="R23" i="66"/>
  <c r="R23" i="83"/>
  <c r="R23" i="91"/>
  <c r="R23" i="93"/>
  <c r="R23" i="98"/>
  <c r="R23" i="85"/>
  <c r="R23" i="99"/>
  <c r="R23" i="72"/>
  <c r="R23" i="95"/>
  <c r="D20" i="66"/>
  <c r="D20" i="99"/>
  <c r="D20" i="85"/>
  <c r="D20" i="96"/>
  <c r="D25" i="98"/>
  <c r="D25" i="85"/>
  <c r="D25" i="86"/>
  <c r="D20" i="84"/>
  <c r="D20" i="91"/>
  <c r="DU13" i="18"/>
  <c r="DA13" i="18" s="1"/>
  <c r="W13" i="18" s="1"/>
  <c r="D20" i="83"/>
  <c r="D20" i="82"/>
  <c r="D20" i="86"/>
  <c r="D20" i="94"/>
  <c r="D20" i="68"/>
  <c r="D20" i="74"/>
  <c r="D20" i="87"/>
  <c r="D20" i="70"/>
  <c r="D25" i="87"/>
  <c r="D25" i="96"/>
  <c r="D20" i="71"/>
  <c r="D25" i="71"/>
  <c r="D20" i="72"/>
  <c r="D25" i="100"/>
  <c r="D20" i="81"/>
  <c r="D20" i="67"/>
  <c r="D20" i="92"/>
  <c r="D20" i="95"/>
  <c r="D20" i="73"/>
  <c r="D20" i="69"/>
  <c r="D20" i="90"/>
  <c r="D20" i="98"/>
  <c r="D20" i="89"/>
  <c r="D20" i="93"/>
  <c r="D20" i="88"/>
  <c r="D20" i="97"/>
  <c r="D25" i="72"/>
  <c r="D25" i="97"/>
  <c r="DU14" i="18"/>
  <c r="DA14" i="18" s="1"/>
  <c r="DB14" i="18" s="1"/>
  <c r="W14" i="18" s="1"/>
  <c r="D25" i="69"/>
  <c r="D25" i="70"/>
  <c r="D25" i="67"/>
  <c r="D25" i="91"/>
  <c r="D25" i="90"/>
  <c r="D25" i="88"/>
  <c r="D25" i="92"/>
  <c r="D25" i="84"/>
  <c r="D25" i="82"/>
  <c r="D25" i="81"/>
  <c r="D25" i="89"/>
  <c r="D25" i="93"/>
  <c r="D25" i="73"/>
  <c r="D25" i="68"/>
  <c r="D25" i="66"/>
  <c r="D25" i="95"/>
  <c r="D23" i="74"/>
  <c r="D24" i="73"/>
  <c r="D23" i="67"/>
  <c r="D23" i="69"/>
  <c r="D23" i="93"/>
  <c r="D23" i="100"/>
  <c r="D24" i="90"/>
  <c r="D24" i="97"/>
  <c r="D21" i="67"/>
  <c r="D24" i="71"/>
  <c r="D24" i="68"/>
  <c r="D24" i="74"/>
  <c r="D24" i="72"/>
  <c r="D23" i="83"/>
  <c r="D23" i="91"/>
  <c r="D23" i="96"/>
  <c r="D23" i="97"/>
  <c r="D23" i="90"/>
  <c r="D23" i="99"/>
  <c r="D23" i="84"/>
  <c r="D23" i="98"/>
  <c r="D23" i="73"/>
  <c r="D23" i="94"/>
  <c r="D23" i="70"/>
  <c r="D23" i="92"/>
  <c r="D23" i="81"/>
  <c r="D24" i="66"/>
  <c r="D23" i="86"/>
  <c r="D23" i="85"/>
  <c r="D23" i="68"/>
  <c r="D24" i="95"/>
  <c r="D23" i="71"/>
  <c r="D21" i="93"/>
  <c r="D24" i="94"/>
  <c r="D24" i="67"/>
  <c r="D24" i="69"/>
  <c r="D24" i="92"/>
  <c r="D21" i="84"/>
  <c r="D21" i="94"/>
  <c r="D24" i="100"/>
  <c r="D21" i="68"/>
  <c r="D24" i="83"/>
  <c r="D21" i="70"/>
  <c r="D24" i="81"/>
  <c r="D24" i="91"/>
  <c r="D24" i="89"/>
  <c r="D24" i="84"/>
  <c r="D24" i="88"/>
  <c r="D24" i="86"/>
  <c r="D21" i="96"/>
  <c r="D21" i="88"/>
  <c r="D21" i="95"/>
  <c r="D21" i="97"/>
  <c r="D21" i="100"/>
  <c r="D21" i="98"/>
  <c r="D21" i="89"/>
  <c r="D21" i="90"/>
  <c r="D21" i="72"/>
  <c r="D21" i="83"/>
  <c r="D21" i="81"/>
  <c r="D21" i="82"/>
  <c r="D21" i="74"/>
  <c r="D21" i="87"/>
  <c r="D21" i="71"/>
  <c r="D21" i="92"/>
  <c r="D21" i="86"/>
  <c r="D21" i="85"/>
  <c r="D21" i="69"/>
  <c r="D21" i="66"/>
  <c r="D21" i="73"/>
  <c r="D21" i="91"/>
  <c r="D24" i="70"/>
  <c r="D24" i="85"/>
  <c r="D24" i="96"/>
  <c r="D24" i="87"/>
  <c r="D24" i="99"/>
  <c r="D24" i="93"/>
  <c r="D24" i="98"/>
  <c r="D23" i="88"/>
  <c r="D23" i="82"/>
  <c r="D23" i="95"/>
  <c r="D23" i="66"/>
  <c r="D25" i="94"/>
  <c r="D23" i="72"/>
  <c r="D23" i="87"/>
  <c r="D25" i="83"/>
  <c r="BK102" i="62"/>
  <c r="AX102" i="62"/>
  <c r="AH102" i="62"/>
  <c r="BO102" i="62"/>
  <c r="BS102" i="62"/>
  <c r="I30" i="17"/>
  <c r="D30" i="17" s="1"/>
  <c r="AI102" i="62"/>
  <c r="AW102" i="62"/>
  <c r="BG102" i="62"/>
  <c r="BP102" i="62"/>
  <c r="BL102" i="62"/>
  <c r="BH102" i="62"/>
  <c r="BJ102" i="62"/>
  <c r="AG102" i="62"/>
  <c r="BT102" i="62"/>
  <c r="BV22" i="5"/>
  <c r="CA22" i="5" s="1"/>
  <c r="CA21" i="5"/>
  <c r="AF102" i="62"/>
  <c r="F78" i="7"/>
  <c r="AS36" i="5"/>
  <c r="BB102" i="62"/>
  <c r="BC102" i="62"/>
  <c r="AE102" i="62"/>
  <c r="BF102" i="62"/>
  <c r="I31" i="17"/>
  <c r="D31" i="17" s="1"/>
  <c r="I28" i="17"/>
  <c r="D28" i="17" s="1"/>
  <c r="BR102" i="62"/>
  <c r="AZ102" i="62"/>
  <c r="BA102" i="62"/>
  <c r="AJ102" i="62"/>
  <c r="BM102" i="62"/>
  <c r="AY102" i="62"/>
  <c r="BQ102" i="62"/>
  <c r="BE102" i="62"/>
  <c r="AQ54" i="5"/>
  <c r="BI102" i="62"/>
  <c r="I29" i="17"/>
  <c r="D29" i="17" s="1"/>
  <c r="CB22" i="5"/>
  <c r="CG22" i="5" s="1"/>
  <c r="K30" i="4" s="1"/>
  <c r="CG21" i="5"/>
  <c r="J30" i="4" s="1"/>
  <c r="BD102" i="62"/>
  <c r="AU70" i="62"/>
  <c r="BN102" i="62"/>
  <c r="F5" i="7"/>
  <c r="P79" i="7"/>
  <c r="I25" i="17"/>
  <c r="D25" i="17" s="1"/>
  <c r="R21" i="82" l="1"/>
  <c r="H21" i="67"/>
  <c r="R21" i="84"/>
  <c r="H21" i="85"/>
  <c r="H21" i="95"/>
  <c r="R21" i="83"/>
  <c r="H21" i="71"/>
  <c r="R21" i="87"/>
  <c r="H21" i="68"/>
  <c r="R21" i="90"/>
  <c r="H21" i="87"/>
  <c r="R21" i="73"/>
  <c r="H21" i="74"/>
  <c r="R21" i="96"/>
  <c r="H21" i="91"/>
  <c r="R21" i="91"/>
  <c r="H21" i="18"/>
  <c r="R21" i="100"/>
  <c r="H21" i="84"/>
  <c r="R21" i="70"/>
  <c r="H21" i="99"/>
  <c r="R21" i="71"/>
  <c r="H21" i="82"/>
  <c r="R21" i="74"/>
  <c r="H21" i="70"/>
  <c r="R21" i="99"/>
  <c r="H21" i="66"/>
  <c r="R21" i="95"/>
  <c r="H21" i="98"/>
  <c r="R21" i="66"/>
  <c r="H21" i="81"/>
  <c r="R21" i="93"/>
  <c r="H21" i="72"/>
  <c r="R21" i="72"/>
  <c r="H21" i="89"/>
  <c r="R21" i="85"/>
  <c r="H21" i="83"/>
  <c r="H21" i="88"/>
  <c r="R21" i="68"/>
  <c r="R21" i="69"/>
  <c r="H21" i="96"/>
  <c r="R21" i="86"/>
  <c r="R21" i="67"/>
  <c r="H21" i="94"/>
  <c r="R21" i="98"/>
  <c r="H21" i="69"/>
  <c r="R21" i="81"/>
  <c r="H21" i="86"/>
  <c r="R21" i="89"/>
  <c r="H21" i="97"/>
  <c r="R18" i="19"/>
  <c r="R21" i="97"/>
  <c r="H21" i="92"/>
  <c r="R21" i="92"/>
  <c r="H21" i="100"/>
  <c r="H21" i="73"/>
  <c r="R21" i="88"/>
  <c r="H21" i="90"/>
  <c r="H21" i="93"/>
  <c r="R21" i="94"/>
  <c r="G4" i="17"/>
  <c r="BO29" i="5"/>
  <c r="L79" i="7"/>
  <c r="AX49" i="5"/>
  <c r="AX54" i="5" s="1"/>
  <c r="BH30" i="5"/>
  <c r="E9" i="7" s="1"/>
  <c r="AX21" i="7" s="1"/>
  <c r="O78" i="7"/>
  <c r="AR19" i="7"/>
  <c r="AX18" i="7"/>
  <c r="M79" i="7"/>
  <c r="BN30" i="5"/>
  <c r="T79" i="7" s="1"/>
  <c r="AX19" i="7"/>
  <c r="AR18" i="7"/>
  <c r="AL19" i="7"/>
  <c r="DD22" i="5"/>
  <c r="V13" i="4" s="1"/>
  <c r="AL18" i="7"/>
  <c r="BY63" i="101"/>
  <c r="R79" i="7"/>
  <c r="AC19" i="7"/>
  <c r="AD19" i="7" s="1"/>
  <c r="AE19" i="7" s="1"/>
  <c r="AU19" i="7"/>
  <c r="AV19" i="7" s="1"/>
  <c r="AW19" i="7" s="1"/>
  <c r="N79" i="7"/>
  <c r="AM19" i="7"/>
  <c r="AG19" i="7"/>
  <c r="AV36" i="5"/>
  <c r="D8" i="7" s="1"/>
  <c r="S78" i="7"/>
  <c r="BM30" i="5"/>
  <c r="J79" i="7"/>
  <c r="AF20" i="7"/>
  <c r="AL20" i="7"/>
  <c r="AR20" i="7"/>
  <c r="AS19" i="7"/>
  <c r="AI19" i="7"/>
  <c r="AJ19" i="7" s="1"/>
  <c r="AK19" i="7" s="1"/>
  <c r="AX35" i="5"/>
  <c r="H79" i="7"/>
  <c r="AS18" i="7"/>
  <c r="Q79" i="7"/>
  <c r="AY18" i="7"/>
  <c r="K79" i="7"/>
  <c r="E5" i="7"/>
  <c r="AF17" i="7" s="1"/>
  <c r="AM18" i="7"/>
  <c r="D6" i="7"/>
  <c r="AC18" i="7" s="1"/>
  <c r="AX62" i="5"/>
  <c r="AQ65" i="5"/>
  <c r="AX65" i="5" s="1"/>
  <c r="V14" i="66"/>
  <c r="BW39" i="101" s="1"/>
  <c r="BX41" i="101"/>
  <c r="BY41" i="101"/>
  <c r="BY39" i="101"/>
  <c r="BX39" i="101"/>
  <c r="BY47" i="101"/>
  <c r="BX47" i="101"/>
  <c r="V14" i="72"/>
  <c r="BW51" i="101" s="1"/>
  <c r="U14" i="72"/>
  <c r="BV51" i="101" s="1"/>
  <c r="V14" i="69"/>
  <c r="BW45" i="101" s="1"/>
  <c r="U14" i="69"/>
  <c r="BV45" i="101" s="1"/>
  <c r="BX95" i="101"/>
  <c r="BY95" i="101"/>
  <c r="BX93" i="101"/>
  <c r="BY93" i="101"/>
  <c r="BY87" i="101"/>
  <c r="BX87" i="101"/>
  <c r="BY81" i="101"/>
  <c r="BX81" i="101"/>
  <c r="BX75" i="101"/>
  <c r="BY75" i="101"/>
  <c r="BY73" i="101"/>
  <c r="BX73" i="101"/>
  <c r="BX71" i="101"/>
  <c r="BY71" i="101"/>
  <c r="BY67" i="101"/>
  <c r="BX67" i="101"/>
  <c r="DC13" i="18"/>
  <c r="U13" i="18" s="1"/>
  <c r="BV4" i="101" s="1"/>
  <c r="DD13" i="18"/>
  <c r="DD14" i="18"/>
  <c r="AG17" i="7"/>
  <c r="AM17" i="7"/>
  <c r="AS17" i="7"/>
  <c r="AY17" i="7"/>
  <c r="BM70" i="62"/>
  <c r="F24" i="15"/>
  <c r="CG23" i="5"/>
  <c r="D5" i="7"/>
  <c r="F79" i="7"/>
  <c r="AP19" i="7"/>
  <c r="AQ19" i="7" s="1"/>
  <c r="AQ61" i="5"/>
  <c r="BA54" i="5"/>
  <c r="BG70" i="62"/>
  <c r="AI21" i="7"/>
  <c r="AU21" i="7"/>
  <c r="AC21" i="7"/>
  <c r="AC57" i="7"/>
  <c r="D18" i="7" s="1"/>
  <c r="I18" i="7" s="1"/>
  <c r="AO21" i="7"/>
  <c r="AI70" i="62"/>
  <c r="BS70" i="62"/>
  <c r="BA70" i="62"/>
  <c r="F9" i="7" l="1"/>
  <c r="AF21" i="7"/>
  <c r="AR21" i="7"/>
  <c r="BI30" i="5"/>
  <c r="AL21" i="7"/>
  <c r="AD57" i="7"/>
  <c r="E18" i="7" s="1"/>
  <c r="L18" i="7" s="1"/>
  <c r="BG47" i="5" s="1"/>
  <c r="BJ47" i="5" s="1"/>
  <c r="L28" i="4" s="1"/>
  <c r="O79" i="7"/>
  <c r="AS21" i="7"/>
  <c r="H20" i="67"/>
  <c r="H20" i="74"/>
  <c r="H20" i="82"/>
  <c r="R20" i="70"/>
  <c r="H20" i="98"/>
  <c r="H20" i="89"/>
  <c r="H20" i="71"/>
  <c r="H20" i="18"/>
  <c r="R17" i="19"/>
  <c r="H20" i="69"/>
  <c r="R20" i="92"/>
  <c r="H20" i="95"/>
  <c r="R20" i="71"/>
  <c r="H20" i="93"/>
  <c r="R20" i="84"/>
  <c r="H20" i="72"/>
  <c r="H20" i="84"/>
  <c r="R20" i="94"/>
  <c r="H20" i="88"/>
  <c r="R20" i="99"/>
  <c r="R20" i="98"/>
  <c r="H20" i="70"/>
  <c r="H20" i="87"/>
  <c r="R20" i="91"/>
  <c r="R20" i="89"/>
  <c r="H20" i="83"/>
  <c r="R20" i="67"/>
  <c r="R20" i="74"/>
  <c r="R20" i="72"/>
  <c r="R20" i="87"/>
  <c r="R20" i="82"/>
  <c r="H20" i="66"/>
  <c r="R20" i="100"/>
  <c r="R20" i="88"/>
  <c r="R20" i="69"/>
  <c r="R20" i="18"/>
  <c r="T11" i="102" s="1"/>
  <c r="H20" i="85"/>
  <c r="H20" i="96"/>
  <c r="H20" i="100"/>
  <c r="H20" i="73"/>
  <c r="R20" i="93"/>
  <c r="H20" i="81"/>
  <c r="R20" i="73"/>
  <c r="R20" i="97"/>
  <c r="H20" i="97"/>
  <c r="H20" i="68"/>
  <c r="R20" i="68"/>
  <c r="H20" i="90"/>
  <c r="R20" i="86"/>
  <c r="H20" i="86"/>
  <c r="R20" i="81"/>
  <c r="H20" i="99"/>
  <c r="R20" i="85"/>
  <c r="R20" i="96"/>
  <c r="R20" i="66"/>
  <c r="H20" i="94"/>
  <c r="R20" i="90"/>
  <c r="R20" i="83"/>
  <c r="H20" i="92"/>
  <c r="R20" i="95"/>
  <c r="H20" i="91"/>
  <c r="AM21" i="7"/>
  <c r="I163" i="5"/>
  <c r="O163" i="5" s="1"/>
  <c r="I79" i="7"/>
  <c r="AE57" i="7"/>
  <c r="F18" i="7" s="1"/>
  <c r="M18" i="7" s="1"/>
  <c r="BH47" i="5" s="1"/>
  <c r="BK47" i="5" s="1"/>
  <c r="M28" i="4" s="1"/>
  <c r="AX36" i="5"/>
  <c r="AF23" i="7"/>
  <c r="E14" i="7" s="1"/>
  <c r="L14" i="7" s="1"/>
  <c r="I159" i="5" s="1"/>
  <c r="AR17" i="7"/>
  <c r="AR23" i="7" s="1"/>
  <c r="E16" i="7" s="1"/>
  <c r="AX17" i="7"/>
  <c r="AX23" i="7" s="1"/>
  <c r="E17" i="7" s="1"/>
  <c r="L17" i="7" s="1"/>
  <c r="I162" i="5" s="1"/>
  <c r="AL17" i="7"/>
  <c r="AL23" i="7" s="1"/>
  <c r="E15" i="7" s="1"/>
  <c r="L15" i="7" s="1"/>
  <c r="BG44" i="5" s="1"/>
  <c r="BJ44" i="5" s="1"/>
  <c r="L25" i="4" s="1"/>
  <c r="F8" i="7"/>
  <c r="S79" i="7"/>
  <c r="BO30" i="5"/>
  <c r="AI18" i="7"/>
  <c r="AJ18" i="7" s="1"/>
  <c r="AK18" i="7" s="1"/>
  <c r="AO18" i="7"/>
  <c r="AP18" i="7" s="1"/>
  <c r="AQ18" i="7" s="1"/>
  <c r="AU18" i="7"/>
  <c r="AV18" i="7" s="1"/>
  <c r="AW18" i="7" s="1"/>
  <c r="AU20" i="7"/>
  <c r="AV20" i="7" s="1"/>
  <c r="AW20" i="7" s="1"/>
  <c r="AO20" i="7"/>
  <c r="AP20" i="7" s="1"/>
  <c r="AQ20" i="7" s="1"/>
  <c r="AI20" i="7"/>
  <c r="AJ20" i="7" s="1"/>
  <c r="AK20" i="7" s="1"/>
  <c r="AC20" i="7"/>
  <c r="AD20" i="7" s="1"/>
  <c r="AE20" i="7" s="1"/>
  <c r="BX51" i="101"/>
  <c r="BY51" i="101"/>
  <c r="BY45" i="101"/>
  <c r="BX45" i="101"/>
  <c r="V13" i="18"/>
  <c r="BW4" i="101" s="1"/>
  <c r="BY4" i="101" s="1"/>
  <c r="DC14" i="18"/>
  <c r="AO17" i="7"/>
  <c r="AC17" i="7"/>
  <c r="AU17" i="7"/>
  <c r="AI17" i="7"/>
  <c r="AJ21" i="7"/>
  <c r="AK21" i="7" s="1"/>
  <c r="AA161" i="5"/>
  <c r="J18" i="7"/>
  <c r="F163" i="5"/>
  <c r="X161" i="5" s="1"/>
  <c r="E7" i="15" s="1"/>
  <c r="BF47" i="5"/>
  <c r="BI47" i="5" s="1"/>
  <c r="I28" i="4" s="1"/>
  <c r="AP21" i="7"/>
  <c r="AQ21" i="7" s="1"/>
  <c r="AD21" i="7"/>
  <c r="AE21" i="7" s="1"/>
  <c r="AV21" i="7"/>
  <c r="AW21" i="7" s="1"/>
  <c r="AD18" i="7"/>
  <c r="AE18" i="7" s="1"/>
  <c r="AQ63" i="5"/>
  <c r="AX61" i="5"/>
  <c r="AB161" i="5"/>
  <c r="BX4" i="101" l="1"/>
  <c r="J163" i="5"/>
  <c r="P163" i="5" s="1"/>
  <c r="AY21" i="7"/>
  <c r="AG21" i="7"/>
  <c r="BG43" i="5"/>
  <c r="BJ43" i="5" s="1"/>
  <c r="BG46" i="5"/>
  <c r="BJ46" i="5" s="1"/>
  <c r="L27" i="4" s="1"/>
  <c r="I160" i="5"/>
  <c r="AG20" i="7"/>
  <c r="AG23" i="7" s="1"/>
  <c r="F14" i="7" s="1"/>
  <c r="M14" i="7" s="1"/>
  <c r="AY20" i="7"/>
  <c r="AY23" i="7" s="1"/>
  <c r="F17" i="7" s="1"/>
  <c r="M17" i="7" s="1"/>
  <c r="AS20" i="7"/>
  <c r="AS23" i="7" s="1"/>
  <c r="F16" i="7" s="1"/>
  <c r="AM20" i="7"/>
  <c r="AM23" i="7" s="1"/>
  <c r="F15" i="7" s="1"/>
  <c r="M15" i="7" s="1"/>
  <c r="BX34" i="101"/>
  <c r="O162" i="5"/>
  <c r="AA162" i="5"/>
  <c r="AB162" i="5"/>
  <c r="U14" i="18"/>
  <c r="BV37" i="101" s="1"/>
  <c r="V14" i="18"/>
  <c r="BW37" i="101" s="1"/>
  <c r="O159" i="5"/>
  <c r="AA159" i="5"/>
  <c r="H7" i="15"/>
  <c r="Y7" i="15" s="1"/>
  <c r="AG161" i="5"/>
  <c r="AH161" i="5"/>
  <c r="I7" i="15"/>
  <c r="Z7" i="15" s="1"/>
  <c r="K18" i="7"/>
  <c r="BL47" i="5"/>
  <c r="BN47" i="5" s="1"/>
  <c r="J28" i="4" s="1"/>
  <c r="G163" i="5"/>
  <c r="Y161" i="5" s="1"/>
  <c r="F7" i="15" s="1"/>
  <c r="AV17" i="7"/>
  <c r="AU23" i="7"/>
  <c r="L24" i="4"/>
  <c r="AQ66" i="5"/>
  <c r="AX63" i="5"/>
  <c r="AI23" i="7"/>
  <c r="AN17" i="7" s="1"/>
  <c r="AJ17" i="7"/>
  <c r="AD17" i="7"/>
  <c r="AC23" i="7"/>
  <c r="AH17" i="7" s="1"/>
  <c r="AP17" i="7"/>
  <c r="AO23" i="7"/>
  <c r="AT17" i="7" s="1"/>
  <c r="AB160" i="5"/>
  <c r="O160" i="5"/>
  <c r="AA160" i="5"/>
  <c r="BJ49" i="5" l="1"/>
  <c r="BI31" i="5" s="1"/>
  <c r="BI32" i="5" s="1"/>
  <c r="BI33" i="5" s="1"/>
  <c r="BH44" i="5"/>
  <c r="BK44" i="5" s="1"/>
  <c r="M25" i="4" s="1"/>
  <c r="J160" i="5"/>
  <c r="P160" i="5" s="1"/>
  <c r="J162" i="5"/>
  <c r="P162" i="5" s="1"/>
  <c r="BH46" i="5"/>
  <c r="BK46" i="5" s="1"/>
  <c r="M27" i="4" s="1"/>
  <c r="J159" i="5"/>
  <c r="BH43" i="5"/>
  <c r="BK43" i="5" s="1"/>
  <c r="I8" i="15"/>
  <c r="Z8" i="15" s="1"/>
  <c r="AH162" i="5"/>
  <c r="AG162" i="5"/>
  <c r="H8" i="15"/>
  <c r="Y8" i="15" s="1"/>
  <c r="BY37" i="101"/>
  <c r="BX37" i="101"/>
  <c r="AL24" i="7"/>
  <c r="AN24" i="7"/>
  <c r="AE17" i="7"/>
  <c r="AE23" i="7" s="1"/>
  <c r="K14" i="7" s="1"/>
  <c r="AD23" i="7"/>
  <c r="J14" i="7" s="1"/>
  <c r="AQ73" i="5"/>
  <c r="AQ75" i="5" s="1"/>
  <c r="AX75" i="5" s="1"/>
  <c r="AX66" i="5"/>
  <c r="D15" i="7"/>
  <c r="I15" i="7" s="1"/>
  <c r="AN22" i="7"/>
  <c r="AN20" i="7"/>
  <c r="AN19" i="7"/>
  <c r="AN18" i="7"/>
  <c r="AN21" i="7"/>
  <c r="AG160" i="5"/>
  <c r="H6" i="15"/>
  <c r="Y6" i="15" s="1"/>
  <c r="AJ23" i="7"/>
  <c r="J15" i="7" s="1"/>
  <c r="AK17" i="7"/>
  <c r="AK23" i="7" s="1"/>
  <c r="K15" i="7" s="1"/>
  <c r="BM47" i="5"/>
  <c r="BO47" i="5" s="1"/>
  <c r="K28" i="4" s="1"/>
  <c r="H163" i="5"/>
  <c r="AH160" i="5"/>
  <c r="I6" i="15"/>
  <c r="Z6" i="15" s="1"/>
  <c r="AT24" i="7"/>
  <c r="AT30" i="7" s="1"/>
  <c r="N16" i="7" s="1"/>
  <c r="K161" i="5" s="1"/>
  <c r="AT23" i="7"/>
  <c r="AR24" i="7"/>
  <c r="AR30" i="7" s="1"/>
  <c r="Q16" i="7" s="1"/>
  <c r="AT22" i="7"/>
  <c r="D16" i="7"/>
  <c r="AT20" i="7"/>
  <c r="AT19" i="7"/>
  <c r="AT18" i="7"/>
  <c r="AT21" i="7"/>
  <c r="D17" i="7"/>
  <c r="I17" i="7" s="1"/>
  <c r="AZ22" i="7"/>
  <c r="AZ20" i="7"/>
  <c r="AZ19" i="7"/>
  <c r="AZ21" i="7"/>
  <c r="AZ18" i="7"/>
  <c r="AZ17" i="7"/>
  <c r="AW17" i="7"/>
  <c r="AW23" i="7" s="1"/>
  <c r="K17" i="7" s="1"/>
  <c r="AV23" i="7"/>
  <c r="J17" i="7" s="1"/>
  <c r="AG159" i="5"/>
  <c r="H5" i="15"/>
  <c r="Y5" i="15" s="1"/>
  <c r="AQ17" i="7"/>
  <c r="AQ23" i="7" s="1"/>
  <c r="AP23" i="7"/>
  <c r="O203" i="5"/>
  <c r="AH24" i="7"/>
  <c r="AF24" i="7"/>
  <c r="AH22" i="7"/>
  <c r="D14" i="7"/>
  <c r="I14" i="7" s="1"/>
  <c r="AH19" i="7"/>
  <c r="AH20" i="7"/>
  <c r="AH21" i="7"/>
  <c r="AH18" i="7"/>
  <c r="P159" i="5" l="1"/>
  <c r="P203" i="5" s="1"/>
  <c r="AB159" i="5"/>
  <c r="M24" i="4"/>
  <c r="BK49" i="5"/>
  <c r="BO31" i="5" s="1"/>
  <c r="BO32" i="5" s="1"/>
  <c r="BO33" i="5" s="1"/>
  <c r="F162" i="5"/>
  <c r="X162" i="5" s="1"/>
  <c r="E8" i="15" s="1"/>
  <c r="BF46" i="5"/>
  <c r="BI46" i="5" s="1"/>
  <c r="I27" i="4" s="1"/>
  <c r="BM46" i="5"/>
  <c r="BO46" i="5" s="1"/>
  <c r="K27" i="4" s="1"/>
  <c r="H162" i="5"/>
  <c r="Y18" i="15"/>
  <c r="G162" i="5"/>
  <c r="Y162" i="5" s="1"/>
  <c r="F8" i="15" s="1"/>
  <c r="BL46" i="5"/>
  <c r="BN46" i="5" s="1"/>
  <c r="J27" i="4" s="1"/>
  <c r="AG172" i="5"/>
  <c r="AG174" i="5" s="1"/>
  <c r="BX97" i="101"/>
  <c r="R39" i="101" s="1"/>
  <c r="AX24" i="7"/>
  <c r="AZ24" i="7"/>
  <c r="AZ23" i="7"/>
  <c r="AZ28" i="7"/>
  <c r="AX28" i="7"/>
  <c r="AN27" i="7"/>
  <c r="AL27" i="7"/>
  <c r="G23" i="15"/>
  <c r="K29" i="15"/>
  <c r="N163" i="5"/>
  <c r="Z161" i="5"/>
  <c r="G160" i="5"/>
  <c r="Y160" i="5" s="1"/>
  <c r="F6" i="15" s="1"/>
  <c r="BL44" i="5"/>
  <c r="BN44" i="5" s="1"/>
  <c r="J25" i="4" s="1"/>
  <c r="AF25" i="7"/>
  <c r="AH25" i="7"/>
  <c r="AH28" i="7"/>
  <c r="AF28" i="7"/>
  <c r="AT28" i="7"/>
  <c r="AR28" i="7"/>
  <c r="AF27" i="7"/>
  <c r="AH27" i="7"/>
  <c r="AH26" i="7"/>
  <c r="AF26" i="7"/>
  <c r="BM44" i="5"/>
  <c r="BO44" i="5" s="1"/>
  <c r="K25" i="4" s="1"/>
  <c r="H160" i="5"/>
  <c r="AX25" i="7"/>
  <c r="AZ25" i="7"/>
  <c r="AZ26" i="7"/>
  <c r="AX26" i="7"/>
  <c r="AN26" i="7"/>
  <c r="AL26" i="7"/>
  <c r="AL29" i="7"/>
  <c r="AN29" i="7"/>
  <c r="G159" i="5"/>
  <c r="Y159" i="5" s="1"/>
  <c r="F5" i="15" s="1"/>
  <c r="BL43" i="5"/>
  <c r="BN43" i="5" s="1"/>
  <c r="AF29" i="7"/>
  <c r="AH29" i="7"/>
  <c r="AH23" i="7"/>
  <c r="AZ29" i="7"/>
  <c r="AX29" i="7"/>
  <c r="AL25" i="7"/>
  <c r="AN25" i="7"/>
  <c r="F159" i="5"/>
  <c r="X159" i="5" s="1"/>
  <c r="E5" i="15" s="1"/>
  <c r="BF43" i="5"/>
  <c r="BI43" i="5" s="1"/>
  <c r="AR27" i="7"/>
  <c r="AT27" i="7"/>
  <c r="AX27" i="7"/>
  <c r="AZ27" i="7"/>
  <c r="AN28" i="7"/>
  <c r="AL28" i="7"/>
  <c r="F160" i="5"/>
  <c r="X160" i="5" s="1"/>
  <c r="E6" i="15" s="1"/>
  <c r="BF44" i="5"/>
  <c r="BI44" i="5" s="1"/>
  <c r="I25" i="4" s="1"/>
  <c r="AR25" i="7"/>
  <c r="AT25" i="7"/>
  <c r="AT26" i="7"/>
  <c r="AR26" i="7"/>
  <c r="BM43" i="5"/>
  <c r="BO43" i="5" s="1"/>
  <c r="H159" i="5"/>
  <c r="AR29" i="7"/>
  <c r="AT29" i="7"/>
  <c r="AN23" i="7"/>
  <c r="AG173" i="5" l="1"/>
  <c r="K30" i="15"/>
  <c r="I5" i="15"/>
  <c r="Z5" i="15" s="1"/>
  <c r="Z18" i="15" s="1"/>
  <c r="AH159" i="5"/>
  <c r="AH172" i="5" s="1"/>
  <c r="M30" i="15" s="1"/>
  <c r="H23" i="15"/>
  <c r="M29" i="15"/>
  <c r="AG176" i="5"/>
  <c r="AN30" i="7"/>
  <c r="N15" i="7" s="1"/>
  <c r="K160" i="5" s="1"/>
  <c r="AC160" i="5" s="1"/>
  <c r="J6" i="15" s="1"/>
  <c r="AL30" i="7"/>
  <c r="Q15" i="7" s="1"/>
  <c r="AH30" i="7"/>
  <c r="N14" i="7" s="1"/>
  <c r="K159" i="5" s="1"/>
  <c r="AC159" i="5" s="1"/>
  <c r="J5" i="15" s="1"/>
  <c r="N162" i="5"/>
  <c r="Z162" i="5"/>
  <c r="AF30" i="7"/>
  <c r="Q14" i="7" s="1"/>
  <c r="AZ30" i="7"/>
  <c r="N17" i="7" s="1"/>
  <c r="K162" i="5" s="1"/>
  <c r="AC162" i="5" s="1"/>
  <c r="J8" i="15" s="1"/>
  <c r="AX30" i="7"/>
  <c r="Q17" i="7" s="1"/>
  <c r="BO49" i="5"/>
  <c r="AX77" i="5" s="1"/>
  <c r="AX78" i="5" s="1"/>
  <c r="K24" i="4"/>
  <c r="N159" i="5"/>
  <c r="Z159" i="5"/>
  <c r="BI49" i="5"/>
  <c r="I24" i="4"/>
  <c r="BN49" i="5"/>
  <c r="AX68" i="5" s="1"/>
  <c r="AX69" i="5" s="1"/>
  <c r="S15" i="4" s="1"/>
  <c r="U15" i="4" s="1"/>
  <c r="J24" i="4"/>
  <c r="AF161" i="5"/>
  <c r="G7" i="15"/>
  <c r="N160" i="5"/>
  <c r="Z160" i="5"/>
  <c r="AH176" i="5" l="1"/>
  <c r="AH173" i="5"/>
  <c r="AH174" i="5"/>
  <c r="P22" i="18"/>
  <c r="AG22" i="18" s="1"/>
  <c r="P22" i="83"/>
  <c r="P22" i="84"/>
  <c r="P22" i="98"/>
  <c r="P22" i="91"/>
  <c r="P22" i="94"/>
  <c r="P22" i="88"/>
  <c r="P22" i="81"/>
  <c r="P22" i="86"/>
  <c r="P22" i="99"/>
  <c r="P22" i="89"/>
  <c r="P22" i="100"/>
  <c r="P22" i="97"/>
  <c r="P22" i="87"/>
  <c r="P22" i="96"/>
  <c r="P22" i="92"/>
  <c r="P22" i="90"/>
  <c r="P22" i="95"/>
  <c r="P22" i="82"/>
  <c r="P22" i="93"/>
  <c r="P22" i="85"/>
  <c r="AF162" i="5"/>
  <c r="G8" i="15"/>
  <c r="AF160" i="5"/>
  <c r="G6" i="15"/>
  <c r="C23" i="17"/>
  <c r="P22" i="74"/>
  <c r="P22" i="72"/>
  <c r="P22" i="70"/>
  <c r="P22" i="66"/>
  <c r="P22" i="68"/>
  <c r="P22" i="69"/>
  <c r="P19" i="19"/>
  <c r="S70" i="62"/>
  <c r="P22" i="73"/>
  <c r="P22" i="71"/>
  <c r="P22" i="67"/>
  <c r="X7" i="15"/>
  <c r="M4" i="8"/>
  <c r="AN21" i="5"/>
  <c r="V15" i="4" s="1"/>
  <c r="AN20" i="5"/>
  <c r="AX29" i="5"/>
  <c r="AX32" i="5" s="1"/>
  <c r="AX33" i="5" s="1"/>
  <c r="AX55" i="5"/>
  <c r="AX56" i="5" s="1"/>
  <c r="S14" i="4" s="1"/>
  <c r="AF159" i="5"/>
  <c r="G5" i="15"/>
  <c r="N203" i="5"/>
  <c r="AX79" i="5"/>
  <c r="P20" i="18" l="1"/>
  <c r="P20" i="99"/>
  <c r="P20" i="96"/>
  <c r="P20" i="82"/>
  <c r="P20" i="88"/>
  <c r="P20" i="97"/>
  <c r="P20" i="84"/>
  <c r="P20" i="91"/>
  <c r="P20" i="95"/>
  <c r="P20" i="87"/>
  <c r="P20" i="92"/>
  <c r="P20" i="89"/>
  <c r="P20" i="83"/>
  <c r="P20" i="93"/>
  <c r="P20" i="94"/>
  <c r="P20" i="90"/>
  <c r="P20" i="86"/>
  <c r="P20" i="100"/>
  <c r="P20" i="85"/>
  <c r="P20" i="98"/>
  <c r="P20" i="81"/>
  <c r="AF172" i="5"/>
  <c r="AF176" i="5" s="1"/>
  <c r="AG22" i="90"/>
  <c r="AE22" i="90"/>
  <c r="AF22" i="90"/>
  <c r="AG22" i="92"/>
  <c r="AE22" i="92"/>
  <c r="AF22" i="92"/>
  <c r="AG22" i="87"/>
  <c r="AE22" i="87"/>
  <c r="AF22" i="87"/>
  <c r="AG22" i="99"/>
  <c r="AE22" i="99"/>
  <c r="AF22" i="99"/>
  <c r="AG22" i="81"/>
  <c r="AF22" i="81"/>
  <c r="AE22" i="81"/>
  <c r="AG22" i="88"/>
  <c r="AE22" i="88"/>
  <c r="AF22" i="88"/>
  <c r="AG22" i="94"/>
  <c r="AE22" i="94"/>
  <c r="AF22" i="94"/>
  <c r="P23" i="72"/>
  <c r="P23" i="18"/>
  <c r="P23" i="90"/>
  <c r="P23" i="81"/>
  <c r="P23" i="94"/>
  <c r="P23" i="96"/>
  <c r="P23" i="82"/>
  <c r="P23" i="83"/>
  <c r="P23" i="98"/>
  <c r="P23" i="91"/>
  <c r="P23" i="99"/>
  <c r="P23" i="93"/>
  <c r="P23" i="85"/>
  <c r="P23" i="88"/>
  <c r="P23" i="86"/>
  <c r="P23" i="95"/>
  <c r="P23" i="92"/>
  <c r="P23" i="97"/>
  <c r="P23" i="84"/>
  <c r="P23" i="87"/>
  <c r="P23" i="89"/>
  <c r="P23" i="100"/>
  <c r="C24" i="17"/>
  <c r="P23" i="73"/>
  <c r="P23" i="68"/>
  <c r="P23" i="66"/>
  <c r="P23" i="67"/>
  <c r="P23" i="70"/>
  <c r="P23" i="69"/>
  <c r="P23" i="74"/>
  <c r="P20" i="19"/>
  <c r="P23" i="71"/>
  <c r="Y70" i="62"/>
  <c r="X8" i="15"/>
  <c r="AG22" i="82"/>
  <c r="AE22" i="82"/>
  <c r="AF22" i="82"/>
  <c r="AG22" i="95"/>
  <c r="AE22" i="95"/>
  <c r="AF22" i="95"/>
  <c r="AG22" i="97"/>
  <c r="AF22" i="97"/>
  <c r="AE22" i="97"/>
  <c r="AG22" i="89"/>
  <c r="AF22" i="89"/>
  <c r="AE22" i="89"/>
  <c r="AG22" i="86"/>
  <c r="AF22" i="86"/>
  <c r="AE22" i="86"/>
  <c r="AG22" i="91"/>
  <c r="AF22" i="91"/>
  <c r="AE22" i="91"/>
  <c r="AG22" i="83"/>
  <c r="AE22" i="83"/>
  <c r="AF22" i="83"/>
  <c r="AG22" i="85"/>
  <c r="AE22" i="85"/>
  <c r="AF22" i="85"/>
  <c r="AG22" i="93"/>
  <c r="AE22" i="93"/>
  <c r="AF22" i="93"/>
  <c r="AG22" i="96"/>
  <c r="AE22" i="96"/>
  <c r="AF22" i="96"/>
  <c r="AG22" i="100"/>
  <c r="AE22" i="100"/>
  <c r="AF22" i="100"/>
  <c r="AG22" i="98"/>
  <c r="AF22" i="98"/>
  <c r="AE22" i="98"/>
  <c r="AG22" i="84"/>
  <c r="AF22" i="84"/>
  <c r="AE22" i="84"/>
  <c r="P21" i="18"/>
  <c r="AF21" i="18" s="1"/>
  <c r="P21" i="88"/>
  <c r="P21" i="95"/>
  <c r="P21" i="89"/>
  <c r="P21" i="98"/>
  <c r="P21" i="91"/>
  <c r="P21" i="94"/>
  <c r="P21" i="99"/>
  <c r="P21" i="92"/>
  <c r="P21" i="93"/>
  <c r="P21" i="85"/>
  <c r="P21" i="81"/>
  <c r="P21" i="86"/>
  <c r="P21" i="100"/>
  <c r="P21" i="97"/>
  <c r="P21" i="83"/>
  <c r="P21" i="90"/>
  <c r="P21" i="84"/>
  <c r="P21" i="87"/>
  <c r="P21" i="96"/>
  <c r="P21" i="82"/>
  <c r="P17" i="19"/>
  <c r="P20" i="67"/>
  <c r="P20" i="70"/>
  <c r="P20" i="66"/>
  <c r="AE20" i="18"/>
  <c r="P20" i="71"/>
  <c r="P20" i="73"/>
  <c r="P20" i="68"/>
  <c r="P20" i="74"/>
  <c r="G70" i="62"/>
  <c r="P20" i="72"/>
  <c r="P20" i="69"/>
  <c r="C21" i="17"/>
  <c r="J21" i="17" s="1"/>
  <c r="X5" i="15"/>
  <c r="U14" i="4"/>
  <c r="P5" i="7"/>
  <c r="AG22" i="67"/>
  <c r="AF22" i="67"/>
  <c r="AE22" i="67"/>
  <c r="AG22" i="71"/>
  <c r="AE22" i="71"/>
  <c r="AF22" i="71"/>
  <c r="AF22" i="73"/>
  <c r="AG22" i="73"/>
  <c r="AE22" i="73"/>
  <c r="W72" i="62"/>
  <c r="T74" i="62"/>
  <c r="S75" i="62"/>
  <c r="X72" i="62"/>
  <c r="U74" i="62"/>
  <c r="S77" i="62"/>
  <c r="V75" i="62"/>
  <c r="T77" i="62"/>
  <c r="S73" i="62"/>
  <c r="X74" i="62"/>
  <c r="W75" i="62"/>
  <c r="T76" i="62"/>
  <c r="T73" i="62"/>
  <c r="U73" i="62"/>
  <c r="T72" i="62"/>
  <c r="V78" i="62"/>
  <c r="T78" i="62"/>
  <c r="W78" i="62"/>
  <c r="S72" i="62"/>
  <c r="U79" i="62"/>
  <c r="U72" i="62"/>
  <c r="S96" i="62"/>
  <c r="X101" i="62"/>
  <c r="X94" i="62"/>
  <c r="T94" i="62"/>
  <c r="V92" i="62"/>
  <c r="S78" i="62"/>
  <c r="U93" i="62"/>
  <c r="U101" i="62"/>
  <c r="V85" i="62"/>
  <c r="V83" i="62"/>
  <c r="S84" i="62"/>
  <c r="X96" i="62"/>
  <c r="V86" i="62"/>
  <c r="U84" i="62"/>
  <c r="W87" i="62"/>
  <c r="V101" i="62"/>
  <c r="W99" i="62"/>
  <c r="U95" i="62"/>
  <c r="V97" i="62"/>
  <c r="W94" i="62"/>
  <c r="W98" i="62"/>
  <c r="X83" i="62"/>
  <c r="T84" i="62"/>
  <c r="V96" i="62"/>
  <c r="W83" i="62"/>
  <c r="T87" i="62"/>
  <c r="W88" i="62"/>
  <c r="S92" i="62"/>
  <c r="U88" i="62"/>
  <c r="S88" i="62"/>
  <c r="U97" i="62"/>
  <c r="V73" i="62"/>
  <c r="T98" i="62"/>
  <c r="V84" i="62"/>
  <c r="U82" i="62"/>
  <c r="S89" i="62"/>
  <c r="X86" i="62"/>
  <c r="X92" i="62"/>
  <c r="X85" i="62"/>
  <c r="S91" i="62"/>
  <c r="U89" i="62"/>
  <c r="T82" i="62"/>
  <c r="T89" i="62"/>
  <c r="S83" i="62"/>
  <c r="U86" i="62"/>
  <c r="T90" i="62"/>
  <c r="X100" i="62"/>
  <c r="U83" i="62"/>
  <c r="X88" i="62"/>
  <c r="W93" i="62"/>
  <c r="W95" i="62"/>
  <c r="W91" i="62"/>
  <c r="S82" i="62"/>
  <c r="S97" i="62"/>
  <c r="U98" i="62"/>
  <c r="T96" i="62"/>
  <c r="X89" i="62"/>
  <c r="U99" i="62"/>
  <c r="X97" i="62"/>
  <c r="T81" i="62"/>
  <c r="X79" i="62"/>
  <c r="S93" i="62"/>
  <c r="X91" i="62"/>
  <c r="T97" i="62"/>
  <c r="T85" i="62"/>
  <c r="W101" i="62"/>
  <c r="W73" i="62"/>
  <c r="U81" i="62"/>
  <c r="T93" i="62"/>
  <c r="U100" i="62"/>
  <c r="S100" i="62"/>
  <c r="W100" i="62"/>
  <c r="X93" i="62"/>
  <c r="V95" i="62"/>
  <c r="X87" i="62"/>
  <c r="X84" i="62"/>
  <c r="V87" i="62"/>
  <c r="S94" i="62"/>
  <c r="U87" i="62"/>
  <c r="T92" i="62"/>
  <c r="U92" i="62"/>
  <c r="U90" i="62"/>
  <c r="T101" i="62"/>
  <c r="T88" i="62"/>
  <c r="W90" i="62"/>
  <c r="S85" i="62"/>
  <c r="V94" i="62"/>
  <c r="V99" i="62"/>
  <c r="W92" i="62"/>
  <c r="V89" i="62"/>
  <c r="W89" i="62"/>
  <c r="X98" i="62"/>
  <c r="W84" i="62"/>
  <c r="V98" i="62"/>
  <c r="U94" i="62"/>
  <c r="X73" i="62"/>
  <c r="T99" i="62"/>
  <c r="V88" i="62"/>
  <c r="X99" i="62"/>
  <c r="V81" i="62"/>
  <c r="U96" i="62"/>
  <c r="W97" i="62"/>
  <c r="S95" i="62"/>
  <c r="X82" i="62"/>
  <c r="V90" i="62"/>
  <c r="T100" i="62"/>
  <c r="W86" i="62"/>
  <c r="S87" i="62"/>
  <c r="T91" i="62"/>
  <c r="U91" i="62"/>
  <c r="V100" i="62"/>
  <c r="T83" i="62"/>
  <c r="T86" i="62"/>
  <c r="V82" i="62"/>
  <c r="V93" i="62"/>
  <c r="W85" i="62"/>
  <c r="X95" i="62"/>
  <c r="T95" i="62"/>
  <c r="S101" i="62"/>
  <c r="U85" i="62"/>
  <c r="V91" i="62"/>
  <c r="S90" i="62"/>
  <c r="S86" i="62"/>
  <c r="T79" i="62"/>
  <c r="V76" i="62"/>
  <c r="V77" i="62"/>
  <c r="U75" i="62"/>
  <c r="T80" i="62"/>
  <c r="X80" i="62"/>
  <c r="X81" i="62"/>
  <c r="W79" i="62"/>
  <c r="S99" i="62"/>
  <c r="U80" i="62"/>
  <c r="S98" i="62"/>
  <c r="W74" i="62"/>
  <c r="S81" i="62"/>
  <c r="U78" i="62"/>
  <c r="X77" i="62"/>
  <c r="W76" i="62"/>
  <c r="W80" i="62"/>
  <c r="U76" i="62"/>
  <c r="V72" i="62"/>
  <c r="W77" i="62"/>
  <c r="X75" i="62"/>
  <c r="S80" i="62"/>
  <c r="T75" i="62"/>
  <c r="S79" i="62"/>
  <c r="X76" i="62"/>
  <c r="U77" i="62"/>
  <c r="W81" i="62"/>
  <c r="X78" i="62"/>
  <c r="V80" i="62"/>
  <c r="W82" i="62"/>
  <c r="S76" i="62"/>
  <c r="W96" i="62"/>
  <c r="V79" i="62"/>
  <c r="S74" i="62"/>
  <c r="V74" i="62"/>
  <c r="X90" i="62"/>
  <c r="X19" i="19"/>
  <c r="W19" i="19"/>
  <c r="Y19" i="19"/>
  <c r="AG22" i="69"/>
  <c r="AF22" i="69"/>
  <c r="AE22" i="69"/>
  <c r="AG22" i="68"/>
  <c r="AF22" i="68"/>
  <c r="AE22" i="68"/>
  <c r="AG22" i="66"/>
  <c r="AF22" i="66"/>
  <c r="AE22" i="66"/>
  <c r="AF22" i="70"/>
  <c r="AG22" i="70"/>
  <c r="AE22" i="70"/>
  <c r="AG22" i="72"/>
  <c r="AF22" i="72"/>
  <c r="AE22" i="72"/>
  <c r="AE22" i="18"/>
  <c r="AF22" i="18"/>
  <c r="AG22" i="74"/>
  <c r="AF22" i="74"/>
  <c r="AE22" i="74"/>
  <c r="S23" i="17"/>
  <c r="J23" i="17"/>
  <c r="V23" i="17"/>
  <c r="K23" i="17"/>
  <c r="W23" i="17"/>
  <c r="Q23" i="17"/>
  <c r="R23" i="17"/>
  <c r="P23" i="17"/>
  <c r="L23" i="17"/>
  <c r="N23" i="17"/>
  <c r="O23" i="17"/>
  <c r="U23" i="17"/>
  <c r="M23" i="17"/>
  <c r="T23" i="17"/>
  <c r="C22" i="17"/>
  <c r="P21" i="70"/>
  <c r="P21" i="72"/>
  <c r="P21" i="71"/>
  <c r="P21" i="69"/>
  <c r="M70" i="62"/>
  <c r="P21" i="73"/>
  <c r="P21" i="66"/>
  <c r="P18" i="19"/>
  <c r="P21" i="68"/>
  <c r="P21" i="67"/>
  <c r="P21" i="74"/>
  <c r="X6" i="15"/>
  <c r="F23" i="15"/>
  <c r="I29" i="15"/>
  <c r="AG23" i="94" l="1"/>
  <c r="AE23" i="94"/>
  <c r="AF23" i="94"/>
  <c r="AF23" i="66"/>
  <c r="AE23" i="66"/>
  <c r="AG23" i="66"/>
  <c r="AG23" i="72"/>
  <c r="AF23" i="72"/>
  <c r="AE23" i="72"/>
  <c r="AG20" i="85"/>
  <c r="AF20" i="85"/>
  <c r="AE20" i="85"/>
  <c r="AG20" i="86"/>
  <c r="AF20" i="86"/>
  <c r="AE20" i="86"/>
  <c r="AG21" i="87"/>
  <c r="AE21" i="87"/>
  <c r="AF21" i="87"/>
  <c r="AG21" i="84"/>
  <c r="AE21" i="84"/>
  <c r="AF21" i="84"/>
  <c r="AG23" i="92"/>
  <c r="AF23" i="92"/>
  <c r="AE23" i="92"/>
  <c r="AF174" i="5"/>
  <c r="AG21" i="100"/>
  <c r="AE21" i="100"/>
  <c r="AF21" i="100"/>
  <c r="I30" i="15"/>
  <c r="AG21" i="86"/>
  <c r="AF21" i="86"/>
  <c r="AE21" i="86"/>
  <c r="AG23" i="88"/>
  <c r="AE23" i="88"/>
  <c r="AF23" i="88"/>
  <c r="AG20" i="95"/>
  <c r="AF20" i="95"/>
  <c r="AE20" i="95"/>
  <c r="AF173" i="5"/>
  <c r="AI173" i="5" s="1"/>
  <c r="C19" i="15" s="1"/>
  <c r="AG21" i="81"/>
  <c r="AE21" i="81"/>
  <c r="AF21" i="81"/>
  <c r="AG23" i="85"/>
  <c r="AF23" i="85"/>
  <c r="AE23" i="85"/>
  <c r="AG20" i="91"/>
  <c r="AF20" i="91"/>
  <c r="AE20" i="91"/>
  <c r="AG21" i="85"/>
  <c r="AE21" i="85"/>
  <c r="AF21" i="85"/>
  <c r="AG23" i="93"/>
  <c r="AE23" i="93"/>
  <c r="AF23" i="93"/>
  <c r="AG20" i="84"/>
  <c r="AF20" i="84"/>
  <c r="AE20" i="84"/>
  <c r="AG20" i="98"/>
  <c r="AF20" i="98"/>
  <c r="AE20" i="98"/>
  <c r="AG20" i="87"/>
  <c r="AE20" i="87"/>
  <c r="AF20" i="87"/>
  <c r="AG23" i="98"/>
  <c r="AF23" i="98"/>
  <c r="AE23" i="98"/>
  <c r="AG20" i="82"/>
  <c r="AF20" i="82"/>
  <c r="AE20" i="82"/>
  <c r="AG21" i="95"/>
  <c r="AF21" i="95"/>
  <c r="AE21" i="95"/>
  <c r="AG21" i="88"/>
  <c r="AE21" i="88"/>
  <c r="AF21" i="88"/>
  <c r="AF23" i="67"/>
  <c r="AG23" i="67"/>
  <c r="AE23" i="67"/>
  <c r="AE23" i="18"/>
  <c r="AF23" i="18"/>
  <c r="AG23" i="18"/>
  <c r="AG23" i="73"/>
  <c r="AE23" i="73"/>
  <c r="AF23" i="73"/>
  <c r="AG23" i="89"/>
  <c r="AF23" i="89"/>
  <c r="AE23" i="89"/>
  <c r="AG20" i="94"/>
  <c r="AE20" i="94"/>
  <c r="AF20" i="94"/>
  <c r="AG23" i="84"/>
  <c r="AF23" i="84"/>
  <c r="AE23" i="84"/>
  <c r="AG20" i="83"/>
  <c r="AF20" i="83"/>
  <c r="AE20" i="83"/>
  <c r="AG21" i="83"/>
  <c r="AE21" i="83"/>
  <c r="AF21" i="83"/>
  <c r="AG20" i="92"/>
  <c r="AF20" i="92"/>
  <c r="AE20" i="92"/>
  <c r="AG21" i="92"/>
  <c r="AF21" i="92"/>
  <c r="AE21" i="92"/>
  <c r="AG21" i="99"/>
  <c r="AF21" i="99"/>
  <c r="AE21" i="99"/>
  <c r="AG21" i="94"/>
  <c r="AF21" i="94"/>
  <c r="AE21" i="94"/>
  <c r="AF23" i="71"/>
  <c r="AG23" i="71"/>
  <c r="AE23" i="71"/>
  <c r="AG23" i="83"/>
  <c r="AF23" i="83"/>
  <c r="AE23" i="83"/>
  <c r="AG20" i="96"/>
  <c r="AF20" i="96"/>
  <c r="AE20" i="96"/>
  <c r="AG21" i="89"/>
  <c r="AE21" i="89"/>
  <c r="AF21" i="89"/>
  <c r="AG23" i="81"/>
  <c r="AF23" i="81"/>
  <c r="AE23" i="81"/>
  <c r="AG20" i="81"/>
  <c r="AE20" i="81"/>
  <c r="AF20" i="81"/>
  <c r="V24" i="17"/>
  <c r="O24" i="17"/>
  <c r="W24" i="17"/>
  <c r="Q24" i="17"/>
  <c r="U24" i="17"/>
  <c r="M24" i="17"/>
  <c r="L24" i="17"/>
  <c r="S24" i="17"/>
  <c r="K24" i="17"/>
  <c r="T24" i="17"/>
  <c r="N24" i="17"/>
  <c r="P24" i="17"/>
  <c r="R24" i="17"/>
  <c r="J24" i="17"/>
  <c r="AG21" i="96"/>
  <c r="AF21" i="96"/>
  <c r="AE21" i="96"/>
  <c r="AG20" i="93"/>
  <c r="AE20" i="93"/>
  <c r="AF20" i="93"/>
  <c r="AG23" i="95"/>
  <c r="AE23" i="95"/>
  <c r="AF23" i="95"/>
  <c r="AG21" i="93"/>
  <c r="AE21" i="93"/>
  <c r="AF21" i="93"/>
  <c r="AG23" i="99"/>
  <c r="AF23" i="99"/>
  <c r="AE23" i="99"/>
  <c r="AG20" i="88"/>
  <c r="AE20" i="88"/>
  <c r="AF20" i="88"/>
  <c r="AG21" i="91"/>
  <c r="AE21" i="91"/>
  <c r="AF21" i="91"/>
  <c r="Y20" i="19"/>
  <c r="X20" i="19"/>
  <c r="W20" i="19"/>
  <c r="AG23" i="82"/>
  <c r="AE23" i="82"/>
  <c r="AF23" i="82"/>
  <c r="AG20" i="99"/>
  <c r="AF20" i="99"/>
  <c r="AE20" i="99"/>
  <c r="AF23" i="69"/>
  <c r="AE23" i="69"/>
  <c r="AG23" i="69"/>
  <c r="AG23" i="70"/>
  <c r="AE23" i="70"/>
  <c r="AF23" i="70"/>
  <c r="AG23" i="90"/>
  <c r="AE23" i="90"/>
  <c r="AF23" i="90"/>
  <c r="AG23" i="68"/>
  <c r="AF23" i="68"/>
  <c r="AE23" i="68"/>
  <c r="AG20" i="100"/>
  <c r="AF20" i="100"/>
  <c r="AE20" i="100"/>
  <c r="AG21" i="82"/>
  <c r="AE21" i="82"/>
  <c r="AF21" i="82"/>
  <c r="AG23" i="100"/>
  <c r="AF23" i="100"/>
  <c r="AE23" i="100"/>
  <c r="AG20" i="90"/>
  <c r="AF20" i="90"/>
  <c r="AE20" i="90"/>
  <c r="AF175" i="5"/>
  <c r="AG23" i="87"/>
  <c r="AE23" i="87"/>
  <c r="AF23" i="87"/>
  <c r="AG21" i="90"/>
  <c r="AE21" i="90"/>
  <c r="AF21" i="90"/>
  <c r="AG23" i="97"/>
  <c r="AF23" i="97"/>
  <c r="AE23" i="97"/>
  <c r="AG20" i="89"/>
  <c r="AF20" i="89"/>
  <c r="AE20" i="89"/>
  <c r="AG21" i="97"/>
  <c r="AF21" i="97"/>
  <c r="AE21" i="97"/>
  <c r="AG23" i="86"/>
  <c r="AF23" i="86"/>
  <c r="AE23" i="86"/>
  <c r="AG20" i="97"/>
  <c r="AE20" i="97"/>
  <c r="AF20" i="97"/>
  <c r="AG23" i="91"/>
  <c r="AE23" i="91"/>
  <c r="AF23" i="91"/>
  <c r="AA78" i="62"/>
  <c r="AB91" i="62"/>
  <c r="Z81" i="62"/>
  <c r="AD93" i="62"/>
  <c r="Z92" i="62"/>
  <c r="AC84" i="62"/>
  <c r="AC88" i="62"/>
  <c r="AC94" i="62"/>
  <c r="AB84" i="62"/>
  <c r="AB96" i="62"/>
  <c r="Z85" i="62"/>
  <c r="AA95" i="62"/>
  <c r="AC96" i="62"/>
  <c r="AA76" i="62"/>
  <c r="AA74" i="62"/>
  <c r="Y96" i="62"/>
  <c r="AB79" i="62"/>
  <c r="Y91" i="62"/>
  <c r="Z100" i="62"/>
  <c r="Y94" i="62"/>
  <c r="AA93" i="62"/>
  <c r="Y87" i="62"/>
  <c r="AB101" i="62"/>
  <c r="AA73" i="62"/>
  <c r="AA98" i="62"/>
  <c r="AC82" i="62"/>
  <c r="AD97" i="62"/>
  <c r="Z89" i="62"/>
  <c r="AB73" i="62"/>
  <c r="AD75" i="62"/>
  <c r="AD82" i="62"/>
  <c r="Z98" i="62"/>
  <c r="AA81" i="62"/>
  <c r="Y81" i="62"/>
  <c r="AB72" i="62"/>
  <c r="Z86" i="62"/>
  <c r="Z75" i="62"/>
  <c r="AD91" i="62"/>
  <c r="AB90" i="62"/>
  <c r="AA92" i="62"/>
  <c r="AD72" i="62"/>
  <c r="Z80" i="62"/>
  <c r="Y101" i="62"/>
  <c r="AD80" i="62"/>
  <c r="AB89" i="62"/>
  <c r="Y88" i="62"/>
  <c r="AA79" i="62"/>
  <c r="Z78" i="62"/>
  <c r="AD90" i="62"/>
  <c r="Y100" i="62"/>
  <c r="AA75" i="62"/>
  <c r="Y78" i="62"/>
  <c r="AA84" i="62"/>
  <c r="Z83" i="62"/>
  <c r="AC83" i="62"/>
  <c r="AD94" i="62"/>
  <c r="AD77" i="62"/>
  <c r="Y85" i="62"/>
  <c r="AA90" i="62"/>
  <c r="AB87" i="62"/>
  <c r="AA88" i="62"/>
  <c r="AD89" i="62"/>
  <c r="AD81" i="62"/>
  <c r="AA97" i="62"/>
  <c r="AC89" i="62"/>
  <c r="Y77" i="62"/>
  <c r="AC81" i="62"/>
  <c r="AC92" i="62"/>
  <c r="AC72" i="62"/>
  <c r="AA96" i="62"/>
  <c r="AA86" i="62"/>
  <c r="AD78" i="62"/>
  <c r="Y79" i="62"/>
  <c r="AC97" i="62"/>
  <c r="AA80" i="62"/>
  <c r="Z90" i="62"/>
  <c r="Z74" i="62"/>
  <c r="Y80" i="62"/>
  <c r="Z84" i="62"/>
  <c r="AB93" i="62"/>
  <c r="AA85" i="62"/>
  <c r="AC80" i="62"/>
  <c r="AD84" i="62"/>
  <c r="AB75" i="62"/>
  <c r="AD95" i="62"/>
  <c r="Y74" i="62"/>
  <c r="AA77" i="62"/>
  <c r="Y76" i="62"/>
  <c r="AD92" i="62"/>
  <c r="AD79" i="62"/>
  <c r="AB97" i="62"/>
  <c r="AA100" i="62"/>
  <c r="Z94" i="62"/>
  <c r="AC85" i="62"/>
  <c r="AC86" i="62"/>
  <c r="Z76" i="62"/>
  <c r="Y83" i="62"/>
  <c r="AD96" i="62"/>
  <c r="AA89" i="62"/>
  <c r="AD76" i="62"/>
  <c r="Y86" i="62"/>
  <c r="Z95" i="62"/>
  <c r="AC98" i="62"/>
  <c r="Y92" i="62"/>
  <c r="Y75" i="62"/>
  <c r="AD99" i="62"/>
  <c r="AD101" i="62"/>
  <c r="AB85" i="62"/>
  <c r="AB76" i="62"/>
  <c r="Z97" i="62"/>
  <c r="AA99" i="62"/>
  <c r="Z72" i="62"/>
  <c r="AB92" i="62"/>
  <c r="Z73" i="62"/>
  <c r="AB100" i="62"/>
  <c r="AC101" i="62"/>
  <c r="AC95" i="62"/>
  <c r="AB95" i="62"/>
  <c r="AD87" i="62"/>
  <c r="Y95" i="62"/>
  <c r="AB83" i="62"/>
  <c r="AC79" i="62"/>
  <c r="AA87" i="62"/>
  <c r="Y97" i="62"/>
  <c r="Y98" i="62"/>
  <c r="Y84" i="62"/>
  <c r="Y82" i="62"/>
  <c r="Y73" i="62"/>
  <c r="Y99" i="62"/>
  <c r="AC73" i="62"/>
  <c r="AB81" i="62"/>
  <c r="AC74" i="62"/>
  <c r="AB77" i="62"/>
  <c r="AB80" i="62"/>
  <c r="Z99" i="62"/>
  <c r="AD100" i="62"/>
  <c r="AD85" i="62"/>
  <c r="AC99" i="62"/>
  <c r="AD74" i="62"/>
  <c r="AD98" i="62"/>
  <c r="AB74" i="62"/>
  <c r="Y72" i="62"/>
  <c r="AC90" i="62"/>
  <c r="AA91" i="62"/>
  <c r="Z77" i="62"/>
  <c r="Y90" i="62"/>
  <c r="AC77" i="62"/>
  <c r="AD88" i="62"/>
  <c r="AB82" i="62"/>
  <c r="Y93" i="62"/>
  <c r="AD73" i="62"/>
  <c r="Z88" i="62"/>
  <c r="Z91" i="62"/>
  <c r="AA94" i="62"/>
  <c r="AC93" i="62"/>
  <c r="AC87" i="62"/>
  <c r="Z93" i="62"/>
  <c r="AB98" i="62"/>
  <c r="AC76" i="62"/>
  <c r="AC91" i="62"/>
  <c r="Z79" i="62"/>
  <c r="AC100" i="62"/>
  <c r="AB99" i="62"/>
  <c r="AA82" i="62"/>
  <c r="AC75" i="62"/>
  <c r="Y89" i="62"/>
  <c r="AA101" i="62"/>
  <c r="AA83" i="62"/>
  <c r="AB78" i="62"/>
  <c r="Z96" i="62"/>
  <c r="Z101" i="62"/>
  <c r="AD83" i="62"/>
  <c r="AB86" i="62"/>
  <c r="AB94" i="62"/>
  <c r="AD86" i="62"/>
  <c r="Z87" i="62"/>
  <c r="AB88" i="62"/>
  <c r="AA72" i="62"/>
  <c r="Z82" i="62"/>
  <c r="AC78" i="62"/>
  <c r="AG21" i="98"/>
  <c r="AE21" i="98"/>
  <c r="AF21" i="98"/>
  <c r="AE23" i="74"/>
  <c r="AF23" i="74"/>
  <c r="AG23" i="74"/>
  <c r="AG23" i="96"/>
  <c r="AE23" i="96"/>
  <c r="AF23" i="96"/>
  <c r="S102" i="62"/>
  <c r="I23" i="17"/>
  <c r="D23" i="17" s="1"/>
  <c r="AG21" i="66"/>
  <c r="AE21" i="66"/>
  <c r="AF21" i="66"/>
  <c r="X18" i="15"/>
  <c r="I31" i="15" s="1"/>
  <c r="AG21" i="67"/>
  <c r="AF21" i="67"/>
  <c r="AE21" i="67"/>
  <c r="AF20" i="68"/>
  <c r="AG20" i="68"/>
  <c r="AE20" i="68"/>
  <c r="P7" i="7"/>
  <c r="V14" i="4"/>
  <c r="AG21" i="73"/>
  <c r="AE21" i="73"/>
  <c r="AF21" i="73"/>
  <c r="AG20" i="74"/>
  <c r="AF20" i="74"/>
  <c r="AE20" i="74"/>
  <c r="AF20" i="73"/>
  <c r="AE20" i="73"/>
  <c r="AG20" i="73"/>
  <c r="S21" i="17"/>
  <c r="K21" i="17"/>
  <c r="L21" i="17"/>
  <c r="O21" i="17"/>
  <c r="P21" i="17"/>
  <c r="W21" i="17"/>
  <c r="V21" i="17"/>
  <c r="T21" i="17"/>
  <c r="N21" i="17"/>
  <c r="U21" i="17"/>
  <c r="R21" i="17"/>
  <c r="M21" i="17"/>
  <c r="Q21" i="17"/>
  <c r="AF21" i="72"/>
  <c r="AG21" i="72"/>
  <c r="AE21" i="72"/>
  <c r="J78" i="62"/>
  <c r="K72" i="62"/>
  <c r="K78" i="62"/>
  <c r="L79" i="62"/>
  <c r="L72" i="62"/>
  <c r="G73" i="62"/>
  <c r="H73" i="62"/>
  <c r="H74" i="62"/>
  <c r="G75" i="62"/>
  <c r="I73" i="62"/>
  <c r="G77" i="62"/>
  <c r="I74" i="62"/>
  <c r="G72" i="62"/>
  <c r="G78" i="62"/>
  <c r="H81" i="62"/>
  <c r="J77" i="62"/>
  <c r="L73" i="62"/>
  <c r="I81" i="62"/>
  <c r="K75" i="62"/>
  <c r="J81" i="62"/>
  <c r="H78" i="62"/>
  <c r="I72" i="62"/>
  <c r="I87" i="62"/>
  <c r="H93" i="62"/>
  <c r="L91" i="62"/>
  <c r="I96" i="62"/>
  <c r="G84" i="62"/>
  <c r="I93" i="62"/>
  <c r="I95" i="62"/>
  <c r="I97" i="62"/>
  <c r="G96" i="62"/>
  <c r="H90" i="62"/>
  <c r="J97" i="62"/>
  <c r="L94" i="62"/>
  <c r="J84" i="62"/>
  <c r="L93" i="62"/>
  <c r="G99" i="62"/>
  <c r="H76" i="62"/>
  <c r="J76" i="62"/>
  <c r="I100" i="62"/>
  <c r="J93" i="62"/>
  <c r="L92" i="62"/>
  <c r="K82" i="62"/>
  <c r="H96" i="62"/>
  <c r="G82" i="62"/>
  <c r="L86" i="62"/>
  <c r="J83" i="62"/>
  <c r="H91" i="62"/>
  <c r="J101" i="62"/>
  <c r="I101" i="62"/>
  <c r="H89" i="62"/>
  <c r="H98" i="62"/>
  <c r="I88" i="62"/>
  <c r="K84" i="62"/>
  <c r="J100" i="62"/>
  <c r="H88" i="62"/>
  <c r="G91" i="62"/>
  <c r="L97" i="62"/>
  <c r="G88" i="62"/>
  <c r="J95" i="62"/>
  <c r="H94" i="62"/>
  <c r="L100" i="62"/>
  <c r="K93" i="62"/>
  <c r="L87" i="62"/>
  <c r="K89" i="62"/>
  <c r="G85" i="62"/>
  <c r="L89" i="62"/>
  <c r="K99" i="62"/>
  <c r="L74" i="62"/>
  <c r="G86" i="62"/>
  <c r="K91" i="62"/>
  <c r="K101" i="62"/>
  <c r="G89" i="62"/>
  <c r="I82" i="62"/>
  <c r="H101" i="62"/>
  <c r="G101" i="62"/>
  <c r="L88" i="62"/>
  <c r="L83" i="62"/>
  <c r="H82" i="62"/>
  <c r="L101" i="62"/>
  <c r="G100" i="62"/>
  <c r="K95" i="62"/>
  <c r="L84" i="62"/>
  <c r="H87" i="62"/>
  <c r="L98" i="62"/>
  <c r="I79" i="62"/>
  <c r="K90" i="62"/>
  <c r="K96" i="62"/>
  <c r="J89" i="62"/>
  <c r="K97" i="62"/>
  <c r="L85" i="62"/>
  <c r="J73" i="62"/>
  <c r="H99" i="62"/>
  <c r="J86" i="62"/>
  <c r="J90" i="62"/>
  <c r="H92" i="62"/>
  <c r="K88" i="62"/>
  <c r="J91" i="62"/>
  <c r="I84" i="62"/>
  <c r="K92" i="62"/>
  <c r="K100" i="62"/>
  <c r="K86" i="62"/>
  <c r="K85" i="62"/>
  <c r="J85" i="62"/>
  <c r="K98" i="62"/>
  <c r="J87" i="62"/>
  <c r="G92" i="62"/>
  <c r="H83" i="62"/>
  <c r="K83" i="62"/>
  <c r="H85" i="62"/>
  <c r="L90" i="62"/>
  <c r="H84" i="62"/>
  <c r="G87" i="62"/>
  <c r="H100" i="62"/>
  <c r="J82" i="62"/>
  <c r="H72" i="62"/>
  <c r="J88" i="62"/>
  <c r="L82" i="62"/>
  <c r="I92" i="62"/>
  <c r="H86" i="62"/>
  <c r="H97" i="62"/>
  <c r="L95" i="62"/>
  <c r="K87" i="62"/>
  <c r="I98" i="62"/>
  <c r="I83" i="62"/>
  <c r="K73" i="62"/>
  <c r="G98" i="62"/>
  <c r="G97" i="62"/>
  <c r="G94" i="62"/>
  <c r="K94" i="62"/>
  <c r="J96" i="62"/>
  <c r="I89" i="62"/>
  <c r="I99" i="62"/>
  <c r="G93" i="62"/>
  <c r="I86" i="62"/>
  <c r="G95" i="62"/>
  <c r="I91" i="62"/>
  <c r="I94" i="62"/>
  <c r="G90" i="62"/>
  <c r="I85" i="62"/>
  <c r="G83" i="62"/>
  <c r="J92" i="62"/>
  <c r="L99" i="62"/>
  <c r="J94" i="62"/>
  <c r="H95" i="62"/>
  <c r="I90" i="62"/>
  <c r="L96" i="62"/>
  <c r="L75" i="62"/>
  <c r="J98" i="62"/>
  <c r="K76" i="62"/>
  <c r="H79" i="62"/>
  <c r="H80" i="62"/>
  <c r="K77" i="62"/>
  <c r="J80" i="62"/>
  <c r="J72" i="62"/>
  <c r="K79" i="62"/>
  <c r="K74" i="62"/>
  <c r="L77" i="62"/>
  <c r="K80" i="62"/>
  <c r="I78" i="62"/>
  <c r="J99" i="62"/>
  <c r="G80" i="62"/>
  <c r="L81" i="62"/>
  <c r="J75" i="62"/>
  <c r="L78" i="62"/>
  <c r="G81" i="62"/>
  <c r="I80" i="62"/>
  <c r="H77" i="62"/>
  <c r="G76" i="62"/>
  <c r="K81" i="62"/>
  <c r="I77" i="62"/>
  <c r="J79" i="62"/>
  <c r="I75" i="62"/>
  <c r="H75" i="62"/>
  <c r="G74" i="62"/>
  <c r="J74" i="62"/>
  <c r="I76" i="62"/>
  <c r="G79" i="62"/>
  <c r="L76" i="62"/>
  <c r="L80" i="62"/>
  <c r="W102" i="62"/>
  <c r="AE20" i="71"/>
  <c r="AG20" i="71"/>
  <c r="AF20" i="71"/>
  <c r="V102" i="62"/>
  <c r="AF21" i="69"/>
  <c r="AG21" i="69"/>
  <c r="AE21" i="69"/>
  <c r="AG21" i="71"/>
  <c r="AE21" i="71"/>
  <c r="AF21" i="71"/>
  <c r="AF20" i="18"/>
  <c r="AG20" i="18"/>
  <c r="AE21" i="74"/>
  <c r="AF21" i="74"/>
  <c r="AG21" i="74"/>
  <c r="AG21" i="70"/>
  <c r="AE21" i="70"/>
  <c r="AF21" i="70"/>
  <c r="AE20" i="66"/>
  <c r="AG20" i="66"/>
  <c r="AF20" i="66"/>
  <c r="AE177" i="5"/>
  <c r="AF177" i="5"/>
  <c r="X18" i="19"/>
  <c r="Y18" i="19"/>
  <c r="W18" i="19"/>
  <c r="AE21" i="18"/>
  <c r="AG21" i="18"/>
  <c r="S22" i="17"/>
  <c r="O22" i="17"/>
  <c r="N22" i="17"/>
  <c r="T22" i="17"/>
  <c r="U22" i="17"/>
  <c r="L22" i="17"/>
  <c r="R22" i="17"/>
  <c r="W22" i="17"/>
  <c r="J22" i="17"/>
  <c r="Q22" i="17"/>
  <c r="P22" i="17"/>
  <c r="K22" i="17"/>
  <c r="M22" i="17"/>
  <c r="V22" i="17"/>
  <c r="AG20" i="70"/>
  <c r="AF20" i="70"/>
  <c r="AE20" i="70"/>
  <c r="AG21" i="68"/>
  <c r="AF21" i="68"/>
  <c r="AE21" i="68"/>
  <c r="P73" i="62"/>
  <c r="P76" i="62"/>
  <c r="P80" i="62"/>
  <c r="R77" i="62"/>
  <c r="Q73" i="62"/>
  <c r="Q76" i="62"/>
  <c r="Q80" i="62"/>
  <c r="M81" i="62"/>
  <c r="R73" i="62"/>
  <c r="R76" i="62"/>
  <c r="N81" i="62"/>
  <c r="M72" i="62"/>
  <c r="N78" i="62"/>
  <c r="O81" i="62"/>
  <c r="N72" i="62"/>
  <c r="O78" i="62"/>
  <c r="O72" i="62"/>
  <c r="R79" i="62"/>
  <c r="Q78" i="62"/>
  <c r="R81" i="62"/>
  <c r="M76" i="62"/>
  <c r="M73" i="62"/>
  <c r="Q72" i="62"/>
  <c r="O76" i="62"/>
  <c r="N73" i="62"/>
  <c r="R72" i="62"/>
  <c r="R74" i="62"/>
  <c r="O77" i="62"/>
  <c r="O73" i="62"/>
  <c r="Q77" i="62"/>
  <c r="P87" i="62"/>
  <c r="M88" i="62"/>
  <c r="O82" i="62"/>
  <c r="M84" i="62"/>
  <c r="M85" i="62"/>
  <c r="N80" i="62"/>
  <c r="R96" i="62"/>
  <c r="Q96" i="62"/>
  <c r="M94" i="62"/>
  <c r="P98" i="62"/>
  <c r="M89" i="62"/>
  <c r="P75" i="62"/>
  <c r="O80" i="62"/>
  <c r="N93" i="62"/>
  <c r="N92" i="62"/>
  <c r="O101" i="62"/>
  <c r="P90" i="62"/>
  <c r="P96" i="62"/>
  <c r="R75" i="62"/>
  <c r="O84" i="62"/>
  <c r="P88" i="62"/>
  <c r="M82" i="62"/>
  <c r="N91" i="62"/>
  <c r="P85" i="62"/>
  <c r="R94" i="62"/>
  <c r="M97" i="62"/>
  <c r="R85" i="62"/>
  <c r="M96" i="62"/>
  <c r="P83" i="62"/>
  <c r="R88" i="62"/>
  <c r="R87" i="62"/>
  <c r="P84" i="62"/>
  <c r="Q99" i="62"/>
  <c r="O92" i="62"/>
  <c r="P91" i="62"/>
  <c r="O87" i="62"/>
  <c r="N94" i="62"/>
  <c r="R91" i="62"/>
  <c r="Q85" i="62"/>
  <c r="R99" i="62"/>
  <c r="R98" i="62"/>
  <c r="O96" i="62"/>
  <c r="O99" i="62"/>
  <c r="N88" i="62"/>
  <c r="O97" i="62"/>
  <c r="R93" i="62"/>
  <c r="O85" i="62"/>
  <c r="N100" i="62"/>
  <c r="Q97" i="62"/>
  <c r="Q82" i="62"/>
  <c r="O88" i="62"/>
  <c r="N89" i="62"/>
  <c r="Q87" i="62"/>
  <c r="P92" i="62"/>
  <c r="Q84" i="62"/>
  <c r="R84" i="62"/>
  <c r="Q90" i="62"/>
  <c r="P100" i="62"/>
  <c r="M92" i="62"/>
  <c r="M101" i="62"/>
  <c r="Q100" i="62"/>
  <c r="R86" i="62"/>
  <c r="N86" i="62"/>
  <c r="M90" i="62"/>
  <c r="R95" i="62"/>
  <c r="M83" i="62"/>
  <c r="Q88" i="62"/>
  <c r="R89" i="62"/>
  <c r="O83" i="62"/>
  <c r="O91" i="62"/>
  <c r="M86" i="62"/>
  <c r="R90" i="62"/>
  <c r="Q91" i="62"/>
  <c r="Q101" i="62"/>
  <c r="M100" i="62"/>
  <c r="R82" i="62"/>
  <c r="O86" i="62"/>
  <c r="P99" i="62"/>
  <c r="O95" i="62"/>
  <c r="Q94" i="62"/>
  <c r="N97" i="62"/>
  <c r="Q83" i="62"/>
  <c r="Q86" i="62"/>
  <c r="P94" i="62"/>
  <c r="M99" i="62"/>
  <c r="N96" i="62"/>
  <c r="O90" i="62"/>
  <c r="Q89" i="62"/>
  <c r="Q98" i="62"/>
  <c r="O89" i="62"/>
  <c r="O98" i="62"/>
  <c r="N85" i="62"/>
  <c r="P93" i="62"/>
  <c r="M93" i="62"/>
  <c r="N83" i="62"/>
  <c r="M91" i="62"/>
  <c r="P89" i="62"/>
  <c r="N82" i="62"/>
  <c r="R100" i="62"/>
  <c r="N99" i="62"/>
  <c r="N87" i="62"/>
  <c r="Q92" i="62"/>
  <c r="N98" i="62"/>
  <c r="O93" i="62"/>
  <c r="N90" i="62"/>
  <c r="R101" i="62"/>
  <c r="M98" i="62"/>
  <c r="P97" i="62"/>
  <c r="P82" i="62"/>
  <c r="M87" i="62"/>
  <c r="P86" i="62"/>
  <c r="R97" i="62"/>
  <c r="N95" i="62"/>
  <c r="O100" i="62"/>
  <c r="M95" i="62"/>
  <c r="R92" i="62"/>
  <c r="N101" i="62"/>
  <c r="Q95" i="62"/>
  <c r="P95" i="62"/>
  <c r="Q93" i="62"/>
  <c r="N84" i="62"/>
  <c r="R83" i="62"/>
  <c r="P101" i="62"/>
  <c r="N77" i="62"/>
  <c r="R78" i="62"/>
  <c r="P74" i="62"/>
  <c r="P79" i="62"/>
  <c r="M80" i="62"/>
  <c r="Q81" i="62"/>
  <c r="P77" i="62"/>
  <c r="M79" i="62"/>
  <c r="M74" i="62"/>
  <c r="N76" i="62"/>
  <c r="Q79" i="62"/>
  <c r="O79" i="62"/>
  <c r="N75" i="62"/>
  <c r="O74" i="62"/>
  <c r="M78" i="62"/>
  <c r="Q75" i="62"/>
  <c r="Q74" i="62"/>
  <c r="R80" i="62"/>
  <c r="N79" i="62"/>
  <c r="N74" i="62"/>
  <c r="O75" i="62"/>
  <c r="P81" i="62"/>
  <c r="O94" i="62"/>
  <c r="M77" i="62"/>
  <c r="M75" i="62"/>
  <c r="P78" i="62"/>
  <c r="P72" i="62"/>
  <c r="AF20" i="72"/>
  <c r="AG20" i="72"/>
  <c r="AE20" i="72"/>
  <c r="X102" i="62"/>
  <c r="U102" i="62"/>
  <c r="AE20" i="67"/>
  <c r="AG20" i="67"/>
  <c r="AF20" i="67"/>
  <c r="AF20" i="69"/>
  <c r="AG20" i="69"/>
  <c r="AE20" i="69"/>
  <c r="T102" i="62"/>
  <c r="W17" i="19"/>
  <c r="Y17" i="19"/>
  <c r="X17" i="19"/>
  <c r="AF32" i="93" l="1"/>
  <c r="AE32" i="86"/>
  <c r="R13" i="86" s="1"/>
  <c r="S13" i="86" s="1"/>
  <c r="AG32" i="100"/>
  <c r="AG32" i="96"/>
  <c r="AE32" i="88"/>
  <c r="R13" i="88" s="1"/>
  <c r="S13" i="88" s="1"/>
  <c r="AG32" i="88"/>
  <c r="AF32" i="100"/>
  <c r="AE32" i="100"/>
  <c r="R13" i="100" s="1"/>
  <c r="S13" i="100" s="1"/>
  <c r="AF32" i="88"/>
  <c r="AF32" i="96"/>
  <c r="I24" i="17"/>
  <c r="D24" i="17" s="1"/>
  <c r="AF32" i="83"/>
  <c r="AF32" i="91"/>
  <c r="AG32" i="83"/>
  <c r="AG32" i="91"/>
  <c r="AE32" i="97"/>
  <c r="R13" i="97" s="1"/>
  <c r="S13" i="97" s="1"/>
  <c r="AE32" i="95"/>
  <c r="R13" i="95" s="1"/>
  <c r="S13" i="95" s="1"/>
  <c r="AG32" i="94"/>
  <c r="AG32" i="89"/>
  <c r="V34" i="17"/>
  <c r="G17" i="61" s="1"/>
  <c r="AF32" i="87"/>
  <c r="AF32" i="81"/>
  <c r="AG32" i="82"/>
  <c r="R15" i="82" s="1"/>
  <c r="S15" i="82" s="1"/>
  <c r="AE32" i="89"/>
  <c r="R13" i="89" s="1"/>
  <c r="S13" i="89" s="1"/>
  <c r="AF32" i="94"/>
  <c r="M34" i="17"/>
  <c r="G8" i="61" s="1"/>
  <c r="H8" i="61" s="1"/>
  <c r="I8" i="61" s="1"/>
  <c r="AB102" i="62"/>
  <c r="AF32" i="89"/>
  <c r="AE32" i="94"/>
  <c r="R13" i="94" s="1"/>
  <c r="S13" i="94" s="1"/>
  <c r="AF32" i="98"/>
  <c r="AG32" i="95"/>
  <c r="AE32" i="85"/>
  <c r="R13" i="85" s="1"/>
  <c r="S13" i="85" s="1"/>
  <c r="AG32" i="98"/>
  <c r="AF32" i="85"/>
  <c r="AE32" i="84"/>
  <c r="R13" i="84" s="1"/>
  <c r="S13" i="84" s="1"/>
  <c r="AG32" i="85"/>
  <c r="AE32" i="82"/>
  <c r="R13" i="82" s="1"/>
  <c r="AE32" i="81"/>
  <c r="R13" i="81" s="1"/>
  <c r="S13" i="81" s="1"/>
  <c r="AF32" i="84"/>
  <c r="Y29" i="19"/>
  <c r="AE32" i="98"/>
  <c r="R13" i="98" s="1"/>
  <c r="S13" i="98" s="1"/>
  <c r="AG32" i="81"/>
  <c r="AG32" i="84"/>
  <c r="AA102" i="62"/>
  <c r="AE32" i="87"/>
  <c r="R13" i="87" s="1"/>
  <c r="S13" i="87" s="1"/>
  <c r="AF32" i="86"/>
  <c r="W29" i="19"/>
  <c r="AE32" i="92"/>
  <c r="R13" i="92" s="1"/>
  <c r="S13" i="92" s="1"/>
  <c r="AG32" i="87"/>
  <c r="AF32" i="95"/>
  <c r="AE32" i="99"/>
  <c r="R13" i="99" s="1"/>
  <c r="S13" i="99" s="1"/>
  <c r="AF32" i="92"/>
  <c r="O29" i="15"/>
  <c r="Y102" i="62"/>
  <c r="AF32" i="90"/>
  <c r="AF32" i="99"/>
  <c r="AE32" i="93"/>
  <c r="R13" i="93" s="1"/>
  <c r="S13" i="93" s="1"/>
  <c r="AG32" i="92"/>
  <c r="Z102" i="62"/>
  <c r="AF32" i="82"/>
  <c r="R14" i="82" s="1"/>
  <c r="AG32" i="86"/>
  <c r="P34" i="17"/>
  <c r="G11" i="61" s="1"/>
  <c r="H11" i="61" s="1"/>
  <c r="I11" i="61" s="1"/>
  <c r="AE32" i="90"/>
  <c r="R13" i="90" s="1"/>
  <c r="S13" i="90" s="1"/>
  <c r="AC102" i="62"/>
  <c r="AF32" i="97"/>
  <c r="AG32" i="90"/>
  <c r="AG32" i="99"/>
  <c r="AG32" i="93"/>
  <c r="AD102" i="62"/>
  <c r="X29" i="19"/>
  <c r="AE32" i="73"/>
  <c r="R13" i="73" s="1"/>
  <c r="S13" i="73" s="1"/>
  <c r="AG32" i="97"/>
  <c r="AE32" i="96"/>
  <c r="R13" i="96" s="1"/>
  <c r="S13" i="96" s="1"/>
  <c r="AE32" i="83"/>
  <c r="R13" i="83" s="1"/>
  <c r="S13" i="83" s="1"/>
  <c r="AE32" i="91"/>
  <c r="R13" i="91" s="1"/>
  <c r="S13" i="91" s="1"/>
  <c r="AF32" i="70"/>
  <c r="AF32" i="72"/>
  <c r="AG32" i="73"/>
  <c r="R15" i="73" s="1"/>
  <c r="S15" i="73" s="1"/>
  <c r="AG32" i="70"/>
  <c r="AF32" i="18"/>
  <c r="R14" i="18" s="1"/>
  <c r="AG32" i="18"/>
  <c r="R15" i="18" s="1"/>
  <c r="AG32" i="66"/>
  <c r="R15" i="66" s="1"/>
  <c r="AG32" i="67"/>
  <c r="R15" i="67" s="1"/>
  <c r="S15" i="67" s="1"/>
  <c r="AF32" i="67"/>
  <c r="R14" i="67" s="1"/>
  <c r="S14" i="67" s="1"/>
  <c r="AF32" i="66"/>
  <c r="R14" i="66" s="1"/>
  <c r="AE32" i="70"/>
  <c r="R13" i="70" s="1"/>
  <c r="S13" i="70" s="1"/>
  <c r="AE32" i="18"/>
  <c r="R13" i="18" s="1"/>
  <c r="T4" i="102" s="1"/>
  <c r="F90" i="62"/>
  <c r="L23" i="16" s="1"/>
  <c r="R6" i="89" s="1"/>
  <c r="AE32" i="66"/>
  <c r="R13" i="66" s="1"/>
  <c r="T7" i="102" s="1"/>
  <c r="AF32" i="73"/>
  <c r="R14" i="73" s="1"/>
  <c r="S14" i="73" s="1"/>
  <c r="F101" i="62"/>
  <c r="L34" i="16" s="1"/>
  <c r="R6" i="100" s="1"/>
  <c r="W70" i="62"/>
  <c r="AE32" i="68"/>
  <c r="R13" i="68" s="1"/>
  <c r="S13" i="68" s="1"/>
  <c r="P102" i="62"/>
  <c r="R102" i="62"/>
  <c r="AE32" i="74"/>
  <c r="R13" i="74" s="1"/>
  <c r="S13" i="74" s="1"/>
  <c r="F82" i="62"/>
  <c r="Q34" i="17"/>
  <c r="G12" i="61" s="1"/>
  <c r="H12" i="61" s="1"/>
  <c r="I12" i="61" s="1"/>
  <c r="R34" i="17"/>
  <c r="G13" i="61" s="1"/>
  <c r="H13" i="61" s="1"/>
  <c r="I13" i="61" s="1"/>
  <c r="I22" i="17"/>
  <c r="D22" i="17" s="1"/>
  <c r="F85" i="62"/>
  <c r="L18" i="16" s="1"/>
  <c r="R6" i="84" s="1"/>
  <c r="I21" i="17"/>
  <c r="D21" i="17" s="1"/>
  <c r="J34" i="17"/>
  <c r="G5" i="61" s="1"/>
  <c r="F84" i="62"/>
  <c r="L17" i="16" s="1"/>
  <c r="R6" i="83" s="1"/>
  <c r="F81" i="62"/>
  <c r="L14" i="16" s="1"/>
  <c r="F87" i="62"/>
  <c r="L20" i="16" s="1"/>
  <c r="R6" i="86" s="1"/>
  <c r="U34" i="17"/>
  <c r="G16" i="61" s="1"/>
  <c r="F89" i="62"/>
  <c r="L22" i="16" s="1"/>
  <c r="R6" i="88" s="1"/>
  <c r="Q102" i="62"/>
  <c r="AF32" i="71"/>
  <c r="R14" i="71" s="1"/>
  <c r="S14" i="71" s="1"/>
  <c r="F95" i="62"/>
  <c r="L28" i="16" s="1"/>
  <c r="R6" i="94" s="1"/>
  <c r="N34" i="17"/>
  <c r="G9" i="61" s="1"/>
  <c r="H9" i="61" s="1"/>
  <c r="I9" i="61" s="1"/>
  <c r="AG32" i="68"/>
  <c r="R15" i="68" s="1"/>
  <c r="S15" i="68" s="1"/>
  <c r="N102" i="62"/>
  <c r="AG32" i="71"/>
  <c r="R15" i="71" s="1"/>
  <c r="S15" i="71" s="1"/>
  <c r="T34" i="17"/>
  <c r="G15" i="61" s="1"/>
  <c r="AF32" i="68"/>
  <c r="R14" i="68" s="1"/>
  <c r="S14" i="68" s="1"/>
  <c r="F73" i="62"/>
  <c r="L6" i="16" s="1"/>
  <c r="AE32" i="71"/>
  <c r="R13" i="71" s="1"/>
  <c r="S13" i="71" s="1"/>
  <c r="F93" i="62"/>
  <c r="L26" i="16" s="1"/>
  <c r="R6" i="92" s="1"/>
  <c r="F78" i="62"/>
  <c r="L11" i="16" s="1"/>
  <c r="AE32" i="67"/>
  <c r="R13" i="67" s="1"/>
  <c r="S13" i="67" s="1"/>
  <c r="AG32" i="69"/>
  <c r="F99" i="62"/>
  <c r="L32" i="16" s="1"/>
  <c r="R6" i="98" s="1"/>
  <c r="F72" i="62"/>
  <c r="L5" i="16" s="1"/>
  <c r="G102" i="62"/>
  <c r="W34" i="17"/>
  <c r="G18" i="61" s="1"/>
  <c r="F76" i="62"/>
  <c r="L9" i="16" s="1"/>
  <c r="F83" i="62"/>
  <c r="L16" i="16" s="1"/>
  <c r="R6" i="82" s="1"/>
  <c r="K102" i="62"/>
  <c r="F98" i="62"/>
  <c r="L31" i="16" s="1"/>
  <c r="R6" i="97" s="1"/>
  <c r="AG32" i="74"/>
  <c r="AE32" i="69"/>
  <c r="R13" i="69" s="1"/>
  <c r="S13" i="69" s="1"/>
  <c r="AF32" i="69"/>
  <c r="J102" i="62"/>
  <c r="F92" i="62"/>
  <c r="L25" i="16" s="1"/>
  <c r="R6" i="91" s="1"/>
  <c r="F88" i="62"/>
  <c r="L21" i="16" s="1"/>
  <c r="R6" i="87" s="1"/>
  <c r="F77" i="62"/>
  <c r="L10" i="16" s="1"/>
  <c r="O34" i="17"/>
  <c r="G10" i="61" s="1"/>
  <c r="H10" i="61" s="1"/>
  <c r="I10" i="61" s="1"/>
  <c r="T21" i="15"/>
  <c r="U21" i="15"/>
  <c r="V21" i="15" s="1"/>
  <c r="O102" i="62"/>
  <c r="F79" i="62"/>
  <c r="L12" i="16" s="1"/>
  <c r="L34" i="17"/>
  <c r="G7" i="61" s="1"/>
  <c r="H7" i="61" s="1"/>
  <c r="I7" i="61" s="1"/>
  <c r="AF32" i="74"/>
  <c r="F94" i="62"/>
  <c r="L27" i="16" s="1"/>
  <c r="R6" i="93" s="1"/>
  <c r="F100" i="62"/>
  <c r="L33" i="16" s="1"/>
  <c r="R6" i="99" s="1"/>
  <c r="F91" i="62"/>
  <c r="L24" i="16" s="1"/>
  <c r="R6" i="90" s="1"/>
  <c r="F75" i="62"/>
  <c r="L8" i="16" s="1"/>
  <c r="K34" i="17"/>
  <c r="G6" i="61" s="1"/>
  <c r="H6" i="61" s="1"/>
  <c r="I6" i="61" s="1"/>
  <c r="I102" i="62"/>
  <c r="F86" i="62"/>
  <c r="L19" i="16" s="1"/>
  <c r="R6" i="85" s="1"/>
  <c r="H102" i="62"/>
  <c r="F97" i="62"/>
  <c r="L30" i="16" s="1"/>
  <c r="R6" i="96" s="1"/>
  <c r="S34" i="17"/>
  <c r="L102" i="62"/>
  <c r="M102" i="62"/>
  <c r="AE32" i="72"/>
  <c r="R13" i="72" s="1"/>
  <c r="S13" i="72" s="1"/>
  <c r="AG32" i="72"/>
  <c r="F80" i="62"/>
  <c r="L13" i="16" s="1"/>
  <c r="F74" i="62"/>
  <c r="L7" i="16" s="1"/>
  <c r="F96" i="62"/>
  <c r="L29" i="16" s="1"/>
  <c r="R6" i="95" s="1"/>
  <c r="L15" i="16" l="1"/>
  <c r="H5" i="61"/>
  <c r="I5" i="61" s="1"/>
  <c r="O31" i="15"/>
  <c r="AF17" i="16" s="1"/>
  <c r="AC70" i="62"/>
  <c r="K23" i="16"/>
  <c r="K34" i="16"/>
  <c r="M34" i="16"/>
  <c r="S6" i="100" s="1"/>
  <c r="M23" i="16"/>
  <c r="S6" i="89" s="1"/>
  <c r="S15" i="18"/>
  <c r="T6" i="102"/>
  <c r="S14" i="18"/>
  <c r="T5" i="102"/>
  <c r="S15" i="66"/>
  <c r="U9" i="102" s="1"/>
  <c r="T9" i="102"/>
  <c r="S14" i="66"/>
  <c r="U8" i="102" s="1"/>
  <c r="T8" i="102"/>
  <c r="S13" i="66"/>
  <c r="U7" i="102" s="1"/>
  <c r="S13" i="18"/>
  <c r="K25" i="16"/>
  <c r="M25" i="16"/>
  <c r="S6" i="91" s="1"/>
  <c r="M28" i="16"/>
  <c r="S6" i="94" s="1"/>
  <c r="K28" i="16"/>
  <c r="M16" i="16"/>
  <c r="S6" i="82" s="1"/>
  <c r="K16" i="16"/>
  <c r="BP16" i="16" s="1"/>
  <c r="M21" i="16"/>
  <c r="S6" i="87" s="1"/>
  <c r="K21" i="16"/>
  <c r="Q70" i="62"/>
  <c r="M14" i="16"/>
  <c r="K14" i="16"/>
  <c r="BO14" i="16" s="1"/>
  <c r="R6" i="74"/>
  <c r="M7" i="16"/>
  <c r="K7" i="16"/>
  <c r="BP7" i="16" s="1"/>
  <c r="R6" i="67"/>
  <c r="M8" i="16"/>
  <c r="K8" i="16"/>
  <c r="BP8" i="16" s="1"/>
  <c r="R6" i="68"/>
  <c r="M18" i="16"/>
  <c r="S6" i="84" s="1"/>
  <c r="K18" i="16"/>
  <c r="R6" i="73"/>
  <c r="M13" i="16"/>
  <c r="K13" i="16"/>
  <c r="BM13" i="16" s="1"/>
  <c r="H15" i="61"/>
  <c r="I15" i="61" s="1"/>
  <c r="H17" i="61"/>
  <c r="I17" i="61" s="1"/>
  <c r="H18" i="61"/>
  <c r="I18" i="61" s="1"/>
  <c r="H16" i="61"/>
  <c r="I16" i="61" s="1"/>
  <c r="G14" i="61"/>
  <c r="H14" i="61" s="1"/>
  <c r="I14" i="61" s="1"/>
  <c r="K30" i="16"/>
  <c r="M30" i="16"/>
  <c r="S6" i="96" s="1"/>
  <c r="R6" i="69"/>
  <c r="M9" i="16"/>
  <c r="K9" i="16"/>
  <c r="BO9" i="16" s="1"/>
  <c r="K5" i="16"/>
  <c r="M5" i="16"/>
  <c r="R6" i="18"/>
  <c r="M26" i="16"/>
  <c r="S6" i="92" s="1"/>
  <c r="K26" i="16"/>
  <c r="M20" i="16"/>
  <c r="S6" i="86" s="1"/>
  <c r="K20" i="16"/>
  <c r="K70" i="62"/>
  <c r="K32" i="16"/>
  <c r="M32" i="16"/>
  <c r="S6" i="98" s="1"/>
  <c r="V17" i="61"/>
  <c r="M22" i="16"/>
  <c r="K22" i="16"/>
  <c r="K19" i="16"/>
  <c r="M19" i="16"/>
  <c r="S6" i="85" s="1"/>
  <c r="M33" i="16"/>
  <c r="S6" i="99" s="1"/>
  <c r="K33" i="16"/>
  <c r="M11" i="16"/>
  <c r="K11" i="16"/>
  <c r="BP11" i="16" s="1"/>
  <c r="R6" i="71"/>
  <c r="M31" i="16"/>
  <c r="S6" i="97" s="1"/>
  <c r="K31" i="16"/>
  <c r="M17" i="16"/>
  <c r="S6" i="83" s="1"/>
  <c r="K17" i="16"/>
  <c r="M24" i="16"/>
  <c r="S6" i="90" s="1"/>
  <c r="K24" i="16"/>
  <c r="M27" i="16"/>
  <c r="S6" i="93" s="1"/>
  <c r="K27" i="16"/>
  <c r="R6" i="72"/>
  <c r="M12" i="16"/>
  <c r="K12" i="16"/>
  <c r="K6" i="16"/>
  <c r="R6" i="19"/>
  <c r="R6" i="66"/>
  <c r="M6" i="16"/>
  <c r="M29" i="16"/>
  <c r="S6" i="95" s="1"/>
  <c r="K29" i="16"/>
  <c r="K10" i="16"/>
  <c r="R6" i="70"/>
  <c r="M10" i="16"/>
  <c r="K15" i="16" l="1"/>
  <c r="M15" i="16"/>
  <c r="S6" i="81" s="1"/>
  <c r="R6" i="81"/>
  <c r="BO12" i="16"/>
  <c r="BT12" i="16"/>
  <c r="BO11" i="16"/>
  <c r="BQ11" i="16"/>
  <c r="BQ35" i="16" s="1"/>
  <c r="G11" i="63" s="1"/>
  <c r="H11" i="63" s="1"/>
  <c r="I11" i="63" s="1"/>
  <c r="J11" i="63" s="1"/>
  <c r="BT6" i="16"/>
  <c r="BT35" i="16" s="1"/>
  <c r="G14" i="63" s="1"/>
  <c r="H14" i="63" s="1"/>
  <c r="I14" i="63" s="1"/>
  <c r="J14" i="63" s="1"/>
  <c r="BN6" i="16"/>
  <c r="BN35" i="16" s="1"/>
  <c r="G19" i="61"/>
  <c r="F22" i="63" s="1"/>
  <c r="I20" i="63" s="1"/>
  <c r="U62" i="102"/>
  <c r="U26" i="102"/>
  <c r="U17" i="102"/>
  <c r="U47" i="102"/>
  <c r="U68" i="102"/>
  <c r="U32" i="102"/>
  <c r="U53" i="102"/>
  <c r="U38" i="102"/>
  <c r="U65" i="102"/>
  <c r="U11" i="102"/>
  <c r="U71" i="102"/>
  <c r="U35" i="102"/>
  <c r="U56" i="102"/>
  <c r="U77" i="102"/>
  <c r="U41" i="102"/>
  <c r="U83" i="102"/>
  <c r="U5" i="102"/>
  <c r="U74" i="102"/>
  <c r="U23" i="102"/>
  <c r="U44" i="102"/>
  <c r="U29" i="102"/>
  <c r="U89" i="102"/>
  <c r="U14" i="102"/>
  <c r="U59" i="102"/>
  <c r="U80" i="102"/>
  <c r="U86" i="102"/>
  <c r="U50" i="102"/>
  <c r="U20" i="102"/>
  <c r="U92" i="102"/>
  <c r="U93" i="102"/>
  <c r="U57" i="102"/>
  <c r="U42" i="102"/>
  <c r="U63" i="102"/>
  <c r="U27" i="102"/>
  <c r="U84" i="102"/>
  <c r="U48" i="102"/>
  <c r="U54" i="102"/>
  <c r="U39" i="102"/>
  <c r="U81" i="102"/>
  <c r="U51" i="102"/>
  <c r="U12" i="102"/>
  <c r="U72" i="102"/>
  <c r="U36" i="102"/>
  <c r="U78" i="102"/>
  <c r="U6" i="102"/>
  <c r="U33" i="102"/>
  <c r="U90" i="102"/>
  <c r="U75" i="102"/>
  <c r="U45" i="102"/>
  <c r="U87" i="102"/>
  <c r="U18" i="102"/>
  <c r="U69" i="102"/>
  <c r="U15" i="102"/>
  <c r="U60" i="102"/>
  <c r="U24" i="102"/>
  <c r="U66" i="102"/>
  <c r="U30" i="102"/>
  <c r="U21" i="102"/>
  <c r="U16" i="102"/>
  <c r="U13" i="102"/>
  <c r="U19" i="102"/>
  <c r="U79" i="102"/>
  <c r="U73" i="102"/>
  <c r="U55" i="102"/>
  <c r="U10" i="102"/>
  <c r="U85" i="102"/>
  <c r="U61" i="102"/>
  <c r="U49" i="102"/>
  <c r="U43" i="102"/>
  <c r="U37" i="102"/>
  <c r="U31" i="102"/>
  <c r="U25" i="102"/>
  <c r="U4" i="102"/>
  <c r="U88" i="102"/>
  <c r="U82" i="102"/>
  <c r="U76" i="102"/>
  <c r="U70" i="102"/>
  <c r="U64" i="102"/>
  <c r="U58" i="102"/>
  <c r="U52" i="102"/>
  <c r="U46" i="102"/>
  <c r="U40" i="102"/>
  <c r="U34" i="102"/>
  <c r="U28" i="102"/>
  <c r="U22" i="102"/>
  <c r="U67" i="102"/>
  <c r="U91" i="102"/>
  <c r="S6" i="88"/>
  <c r="M3" i="88"/>
  <c r="BM10" i="16"/>
  <c r="BP10" i="16"/>
  <c r="S6" i="73"/>
  <c r="S6" i="67"/>
  <c r="S6" i="66"/>
  <c r="S6" i="72"/>
  <c r="S6" i="68"/>
  <c r="S6" i="74"/>
  <c r="S6" i="69"/>
  <c r="S6" i="71"/>
  <c r="S6" i="70"/>
  <c r="S6" i="18"/>
  <c r="BM5" i="16"/>
  <c r="BO5" i="16"/>
  <c r="BP5" i="16"/>
  <c r="BR5" i="16"/>
  <c r="BR35" i="16" s="1"/>
  <c r="G12" i="63" s="1"/>
  <c r="H12" i="63" s="1"/>
  <c r="I12" i="63" s="1"/>
  <c r="J12" i="63" s="1"/>
  <c r="BO35" i="16" l="1"/>
  <c r="BN36" i="16"/>
  <c r="G9" i="63" s="1"/>
  <c r="H9" i="63" s="1"/>
  <c r="I9" i="63" s="1"/>
  <c r="J9" i="63" s="1"/>
  <c r="BP35" i="16"/>
  <c r="G10" i="63" s="1"/>
  <c r="H10" i="63" s="1"/>
  <c r="I10" i="63" s="1"/>
  <c r="J10" i="63" s="1"/>
  <c r="BM35" i="16"/>
  <c r="G8" i="63" s="1"/>
  <c r="H8" i="63" s="1"/>
  <c r="I8" i="63" s="1"/>
  <c r="J8" i="63" s="1"/>
  <c r="Q21" i="63"/>
  <c r="O20" i="63" s="1"/>
  <c r="J21" i="63"/>
  <c r="BC65" i="16"/>
  <c r="AR54" i="16" s="1"/>
  <c r="D22" i="18" s="1"/>
  <c r="BL37" i="16" l="1"/>
  <c r="N21" i="63"/>
  <c r="D22" i="86"/>
  <c r="D22" i="70"/>
  <c r="D22" i="84"/>
  <c r="D22" i="81"/>
  <c r="D22" i="89"/>
  <c r="D22" i="83"/>
  <c r="D22" i="97"/>
  <c r="D22" i="96"/>
  <c r="D22" i="93"/>
  <c r="D22" i="95"/>
  <c r="D22" i="69"/>
  <c r="D22" i="94"/>
  <c r="D22" i="71"/>
  <c r="D22" i="87"/>
  <c r="D22" i="72"/>
  <c r="D22" i="100"/>
  <c r="D22" i="99"/>
  <c r="D22" i="73"/>
  <c r="D22" i="66"/>
  <c r="D22" i="92"/>
  <c r="D22" i="88"/>
  <c r="D22" i="82"/>
  <c r="D22" i="90"/>
  <c r="D22" i="85"/>
  <c r="D22" i="91"/>
  <c r="D22" i="67"/>
  <c r="D22" i="74"/>
  <c r="D22" i="98"/>
  <c r="D22" i="68"/>
</calcChain>
</file>

<file path=xl/comments1.xml><?xml version="1.0" encoding="utf-8"?>
<comments xmlns="http://schemas.openxmlformats.org/spreadsheetml/2006/main">
  <authors>
    <author/>
  </authors>
  <commentList>
    <comment ref="C14" authorId="0" shapeId="0">
      <text>
        <r>
          <rPr>
            <sz val="10"/>
            <rFont val="Arial"/>
            <family val="2"/>
          </rPr>
          <t>Geben Sie dem Dünger in dieser Lagerstätte einen Namen!</t>
        </r>
      </text>
    </comment>
    <comment ref="G14" authorId="0" shapeId="0">
      <text>
        <r>
          <rPr>
            <sz val="10"/>
            <rFont val="Arial"/>
            <family val="2"/>
          </rPr>
          <t>Schätzen Sie den Jahresanfall ab und tragen ihn hier ein.</t>
        </r>
      </text>
    </comment>
  </commentList>
</comments>
</file>

<file path=xl/comments2.xml><?xml version="1.0" encoding="utf-8"?>
<comments xmlns="http://schemas.openxmlformats.org/spreadsheetml/2006/main">
  <authors>
    <author/>
  </authors>
  <commentList>
    <comment ref="C5" authorId="0" shapeId="0">
      <text>
        <r>
          <rPr>
            <sz val="10"/>
            <rFont val="Arial"/>
            <family val="2"/>
          </rPr>
          <t>Hier müssen die aktive Dünger aus der rechten Tabelle (=rot hervorgehoben) übertragen werden. Nur die hier angelegten Dünger können später am Schlag ausgewählt werden</t>
        </r>
      </text>
    </comment>
  </commentList>
</comments>
</file>

<file path=xl/comments3.xml><?xml version="1.0" encoding="utf-8"?>
<comments xmlns="http://schemas.openxmlformats.org/spreadsheetml/2006/main">
  <authors>
    <author/>
  </authors>
  <commentList>
    <comment ref="D5" authorId="0" shapeId="0">
      <text>
        <r>
          <rPr>
            <sz val="10"/>
            <rFont val="Arial"/>
            <family val="2"/>
          </rPr>
          <t>Wählen Sie eine Ertragslage aus!</t>
        </r>
      </text>
    </comment>
  </commentList>
</comments>
</file>

<file path=xl/comments4.xml><?xml version="1.0" encoding="utf-8"?>
<comments xmlns="http://schemas.openxmlformats.org/spreadsheetml/2006/main">
  <authors>
    <author/>
  </authors>
  <commentList>
    <comment ref="E5" authorId="0" shapeId="0">
      <text>
        <r>
          <rPr>
            <sz val="10"/>
            <rFont val="Arial"/>
            <family val="2"/>
          </rPr>
          <t>Hier können nur die Kulturen von der N-Bedarfsliste ausgewählt werden.</t>
        </r>
      </text>
    </comment>
  </commentList>
</comments>
</file>

<file path=xl/sharedStrings.xml><?xml version="1.0" encoding="utf-8"?>
<sst xmlns="http://schemas.openxmlformats.org/spreadsheetml/2006/main" count="10775" uniqueCount="1464">
  <si>
    <t>◄</t>
  </si>
  <si>
    <t xml:space="preserve">  ►</t>
  </si>
  <si>
    <t>Stickstoff</t>
  </si>
  <si>
    <t>Ausgabe N_Bedarf</t>
  </si>
  <si>
    <t>Ausgabe P_Bedarf</t>
  </si>
  <si>
    <t>niedrig</t>
  </si>
  <si>
    <t>mittel</t>
  </si>
  <si>
    <t>hoch 1</t>
  </si>
  <si>
    <t>hoch 2</t>
  </si>
  <si>
    <t>hoch 3</t>
  </si>
  <si>
    <t>ha</t>
  </si>
  <si>
    <t>kg</t>
  </si>
  <si>
    <t>kg P/ha</t>
  </si>
  <si>
    <t>Ackerbohne, Körnererbse</t>
  </si>
  <si>
    <t>Klee, Luzerne einjährig bei Umbruch</t>
  </si>
  <si>
    <t>Blühflächen, Stilllegung, Boden-gesundung einjährig bei Umbruch</t>
  </si>
  <si>
    <t>Wintergerste</t>
  </si>
  <si>
    <t>Wechselwiese, Kleegras bei Umbruch</t>
  </si>
  <si>
    <t>Sommerfuttergerste</t>
  </si>
  <si>
    <t>Klee, mehrjährige  Leguminosen bei Umbruch</t>
  </si>
  <si>
    <t>Körnermais</t>
  </si>
  <si>
    <t>JA</t>
  </si>
  <si>
    <t>Liste_ja</t>
  </si>
  <si>
    <t>Liste_
Ertrag</t>
  </si>
  <si>
    <t>Liste_
Grünland</t>
  </si>
  <si>
    <t>P-Saldo</t>
  </si>
  <si>
    <t>ja</t>
  </si>
  <si>
    <t>nein</t>
  </si>
  <si>
    <t>Kümmel</t>
  </si>
  <si>
    <t>hoch</t>
  </si>
  <si>
    <t>Mohn</t>
  </si>
  <si>
    <t>Ölkürbis</t>
  </si>
  <si>
    <t>diverse Grünbrachen zB Biodiv.</t>
  </si>
  <si>
    <t>Erdbeeren</t>
  </si>
  <si>
    <t>-</t>
  </si>
  <si>
    <t>Grünland (Überschrift)</t>
  </si>
  <si>
    <t>P im Grünland und Feldfutter</t>
  </si>
  <si>
    <t>Körnererbsen</t>
  </si>
  <si>
    <t>Körnerhirse/-sorghum</t>
  </si>
  <si>
    <t>Silohirse/sorghum (FM)</t>
  </si>
  <si>
    <t>Sojabohnen</t>
  </si>
  <si>
    <t>Sonnenblumen</t>
  </si>
  <si>
    <t>Sämereienvermehrung mit Rotklee</t>
  </si>
  <si>
    <t>Programmbeschreibung</t>
  </si>
  <si>
    <t>Nutzungshinweise:</t>
  </si>
  <si>
    <t>Änderungen</t>
  </si>
  <si>
    <t>Versionshinweise</t>
  </si>
  <si>
    <t>Es wird von den Landwirtschaftskammern, dem Ersteller und dem Agrarnet keinerlei Haftung  bezüglich Softwareproblemen, Berechnungsfehler usw. und eventuellen Sanktionen durch die AMA wegen fehlerhafter Berechnungen übernommen.</t>
  </si>
  <si>
    <t>veröffentlicht</t>
  </si>
  <si>
    <t>Häufige Fragen!</t>
  </si>
  <si>
    <t xml:space="preserve">Trotz sorgfältiger Prüfung aller Tabellen und Rechnungsschritte sind Fehler nicht ausgeschlossen, das Ergebnis ist ohne Gewähr, es wird keinerlei Haftung übernommen und es lässt sich durch diese Berechnungen kein Anspruch auf Einhaltung der ÖPUL-Richtlinien ableiten. </t>
  </si>
  <si>
    <t>Blattschutz</t>
  </si>
  <si>
    <t>Pass- oder Kennwort?</t>
  </si>
  <si>
    <t>Fragen und Anregungen an:</t>
  </si>
  <si>
    <t>johannes.recheis-kienesberger@lk-ooe.at</t>
  </si>
  <si>
    <t>Drucken</t>
  </si>
  <si>
    <t xml:space="preserve">Steiermark:  heinrich.holzner@lk-stmk.at </t>
  </si>
  <si>
    <t>NÖ: josef.springer@lk-noe.at</t>
  </si>
  <si>
    <t>Es sind auf allen Tabellenblättern Druckbereiche festgelegt. Diese können über die Befehle "Druckbereich festlegen oder aufheben" verändert werden. Diese Befehle sind im Menü Seitenlayout bzw.  im alten Excel im Menü Datei / Druckbereich zu finden.</t>
  </si>
  <si>
    <t>Hinweise zur Orientierung</t>
  </si>
  <si>
    <t>Stellen Sie auf den Blättern über das Menü Ansicht &gt; Zoom jenen Zoomfaktor ein, der Ihnen ein gutes Arbeiten erlaubt.</t>
  </si>
  <si>
    <t>Daten ins nächste Jahr übertragen?</t>
  </si>
  <si>
    <t>Mit dieser Exceldatei können die Daten nicht in ein neues Aufzeichnungsjahr übernommen werden. Es muss jedes Jahr eine neue Excel-Datei angelegt werden. Es ist ratsam, eine neue aktualisierte Datei aus dem Internet herunterzuladen. Man kann Tierlisten und Flächenlisten aus der alten Datei durch Kopieren und Einfügen in die neue Datei übertragen.</t>
  </si>
  <si>
    <t>in den blauen Zellen sind Berechnungsergebnisse</t>
  </si>
  <si>
    <t>Fehlermeldungen</t>
  </si>
  <si>
    <t>Fehlerbehebung</t>
  </si>
  <si>
    <t>Wichtige Zellen wurden gelöscht oder verschoben, das Programm kann den Bezug zu diesen Zellen nicht mehr herstellen und daher nicht mehr berechnen.</t>
  </si>
  <si>
    <t>#NV bedeutet "Nicht vorhanden", das heißt es fehlen Angaben, oder sind wieder gelöscht oder verändert  worden und sind jetzt nicht mehr vorhanden!</t>
  </si>
  <si>
    <t>►</t>
  </si>
  <si>
    <t>Erntejahr</t>
  </si>
  <si>
    <t>Gesamte LN laut MFA-Flächennutzung:</t>
  </si>
  <si>
    <t>NEIN</t>
  </si>
  <si>
    <t>Summe aller Ackerflächen</t>
  </si>
  <si>
    <t>Summe des Dauergrün- und Dauerweidelandes</t>
  </si>
  <si>
    <t>Summe aller Dauer- und Spezialkulturen, wie Obst, Hopfen, Wein, Reb- und Baumschulen und Energieholzflächen</t>
  </si>
  <si>
    <t>Andere gedüngte Flächen, die nicht ÖPUL-LN sind  (wie zB. Energieholzflächen oder Christbaumkulturen)</t>
  </si>
  <si>
    <t xml:space="preserve">Summe landwirtschaftliche Nutzfläche in ha    </t>
  </si>
  <si>
    <t xml:space="preserve"> Nährstoffanfall ab Lager aus der Tierhaltung   </t>
  </si>
  <si>
    <t>Durchschnittstierliste</t>
  </si>
  <si>
    <r>
      <t>Ø</t>
    </r>
    <r>
      <rPr>
        <sz val="9"/>
        <rFont val="Arial"/>
        <family val="2"/>
      </rPr>
      <t xml:space="preserve"> 
</t>
    </r>
    <r>
      <rPr>
        <b/>
        <sz val="9"/>
        <rFont val="Arial"/>
        <family val="2"/>
      </rPr>
      <t>Stück</t>
    </r>
    <r>
      <rPr>
        <sz val="9"/>
        <rFont val="Arial"/>
        <family val="2"/>
      </rPr>
      <t xml:space="preserve">/
</t>
    </r>
    <r>
      <rPr>
        <sz val="8"/>
        <rFont val="Arial"/>
        <family val="2"/>
      </rPr>
      <t>Stallplätze</t>
    </r>
  </si>
  <si>
    <t>nährstoff-best. Bestand</t>
  </si>
  <si>
    <r>
      <t>Anzahl</t>
    </r>
    <r>
      <rPr>
        <b/>
        <sz val="9"/>
        <rFont val="Arial"/>
        <family val="2"/>
      </rPr>
      <t xml:space="preserve"> Tiere</t>
    </r>
  </si>
  <si>
    <r>
      <t xml:space="preserve">Anzahl </t>
    </r>
    <r>
      <rPr>
        <b/>
        <sz val="9"/>
        <rFont val="Arial"/>
        <family val="2"/>
      </rPr>
      <t>Tage</t>
    </r>
  </si>
  <si>
    <t>ÖPUL</t>
  </si>
  <si>
    <t>Ein Kalb ergibt sich aus im Durchschnitt zB. 4 Kälber 12 Wochen, oder 8 Kälber nur 6 Wochen am Betrieb</t>
  </si>
  <si>
    <t xml:space="preserve">phosphorreduzierte Fütterung in der Schweinehaltung  ja / nein ? </t>
  </si>
  <si>
    <t>Dauerweiden</t>
  </si>
  <si>
    <t>auf Almen</t>
  </si>
  <si>
    <t>GVE</t>
  </si>
  <si>
    <t>Gülle</t>
  </si>
  <si>
    <t>Jauche</t>
  </si>
  <si>
    <t>Mist</t>
  </si>
  <si>
    <r>
      <t>Aufteilung bei Stiermast</t>
    </r>
    <r>
      <rPr>
        <sz val="10"/>
        <color indexed="8"/>
        <rFont val="Arial"/>
        <family val="2"/>
      </rPr>
      <t>: 20 % Kälber, 40 % Jungvieh 1/2 bis 1 Jahr, 40 % 1 bis 2 Jahre</t>
    </r>
  </si>
  <si>
    <t>Die Milchleistung reicht bei 4.000 kg von 3.500 - 4.499 usw…</t>
  </si>
  <si>
    <t>Die Ferkelanzahl ergibt sich bei :</t>
  </si>
  <si>
    <t xml:space="preserve">unter 18 verkaufte Ferkel = Zuchtsauen x 2,6    </t>
  </si>
  <si>
    <t>18 - 20 Ferkel = Zuchtsauen x 2,9</t>
  </si>
  <si>
    <t>über 20 Ferkel = Zuchtsauen x 3,2</t>
  </si>
  <si>
    <t>Der Nährstoffbestimmende Bestand beim Mastschwein ist Tierliste x 1,26</t>
  </si>
  <si>
    <t>Bei Geflügel gilt:</t>
  </si>
  <si>
    <t>Legehennen und Hähne - Jahresbestand inkl. Ø  Leerstehzeit von 14 Tagen</t>
  </si>
  <si>
    <t>Truthühner -  150 Haltetage pro Umtrieb &gt;&gt; 2,0 Umtriebe</t>
  </si>
  <si>
    <t xml:space="preserve">Summe Nährstoffe aus der Tierhaltung: </t>
  </si>
  <si>
    <t>Die Anzahl der Lämmer ergibt sich aus Mutterschafe x Faktor (aufgezogene Lämmer x Haltedauer  dividiert durch 12 Monate)</t>
  </si>
  <si>
    <t>* bitte am Tabellenblatt "Hofdung" die Mengen berechnen und eingeben</t>
  </si>
  <si>
    <t>t od.m³</t>
  </si>
  <si>
    <t>Menge
N feldf.</t>
  </si>
  <si>
    <t>Wirtschaftsdünger Zukauf</t>
  </si>
  <si>
    <t>Nährstoffe je m³ oder t</t>
  </si>
  <si>
    <t>Menge</t>
  </si>
  <si>
    <t>Nährstoffe gesamt</t>
  </si>
  <si>
    <t>Ziegenlämmer werden wie  Schafe gerechnet</t>
  </si>
  <si>
    <t>N</t>
  </si>
  <si>
    <t>P</t>
  </si>
  <si>
    <t>K</t>
  </si>
  <si>
    <t>m³ / t</t>
  </si>
  <si>
    <t>Rinder-Gülle</t>
  </si>
  <si>
    <t>Kaninchen - 6,89 Umtriebe zu je 53 Aufmasttagen</t>
  </si>
  <si>
    <t>Schweine-Gülle</t>
  </si>
  <si>
    <t>Geflügel-Gülle</t>
  </si>
  <si>
    <t>Wirtschaftsdüngerabgang durch Alpung und Fremdweiden</t>
  </si>
  <si>
    <t>Kennzahlen</t>
  </si>
  <si>
    <t>GVE je ha</t>
  </si>
  <si>
    <t>Summe GVE</t>
  </si>
  <si>
    <t>m³</t>
  </si>
  <si>
    <r>
      <t>N-Anfall am Lager -</t>
    </r>
    <r>
      <rPr>
        <sz val="10"/>
        <rFont val="Arial"/>
        <family val="2"/>
      </rPr>
      <t>170 kg N aus WD</t>
    </r>
  </si>
  <si>
    <t>kg N     &gt;</t>
  </si>
  <si>
    <t>Stickstoffeinsatz feldfallend</t>
  </si>
  <si>
    <t>Saldo N-Bedarf</t>
  </si>
  <si>
    <r>
      <t xml:space="preserve">Stickstoff-Anfall nach Abzug der Verluste im Stall und am Lager </t>
    </r>
    <r>
      <rPr>
        <b/>
        <sz val="12"/>
        <color indexed="10"/>
        <rFont val="Arial"/>
        <family val="2"/>
      </rPr>
      <t>= N ab Lager</t>
    </r>
  </si>
  <si>
    <t>x AO</t>
  </si>
  <si>
    <t>Rinder</t>
  </si>
  <si>
    <t>kg N pro Tier/Platz und Jahr</t>
  </si>
  <si>
    <t>m³-anfall pro Tier/Platz und Jahr</t>
  </si>
  <si>
    <t>nährstoff-best.</t>
  </si>
  <si>
    <t>kg P2O5 pro Tier/Platz und Jahr</t>
  </si>
  <si>
    <t>kg K2O pro Tier/Platz und Jahr</t>
  </si>
  <si>
    <t>P2O5</t>
  </si>
  <si>
    <t>P2O5 reduziert</t>
  </si>
  <si>
    <t>- Ausbringverluste</t>
  </si>
  <si>
    <t>BIO-VO Tierzahl</t>
  </si>
  <si>
    <r>
      <t xml:space="preserve">BIO </t>
    </r>
    <r>
      <rPr>
        <sz val="8"/>
        <rFont val="Arial"/>
        <family val="2"/>
      </rPr>
      <t>Kontrolle</t>
    </r>
  </si>
  <si>
    <t>Tiere I</t>
  </si>
  <si>
    <t>Tiere auf Dauerweiden und Almen</t>
  </si>
  <si>
    <t>P und K auf Weiden</t>
  </si>
  <si>
    <t>P und K auf Almen</t>
  </si>
  <si>
    <t>R-Gülle</t>
  </si>
  <si>
    <t>S-Gülle</t>
  </si>
  <si>
    <t>G-Gülle</t>
  </si>
  <si>
    <t>Bestand</t>
  </si>
  <si>
    <t>nährstoffbest. Bestand</t>
  </si>
  <si>
    <t>kg N je Tier / Platz</t>
  </si>
  <si>
    <t>N aus</t>
  </si>
  <si>
    <t>Lagerraumbedarf je Tier / Platz</t>
  </si>
  <si>
    <t>OPUL</t>
  </si>
  <si>
    <t>Phosphor</t>
  </si>
  <si>
    <t>P2O4</t>
  </si>
  <si>
    <t>Kali</t>
  </si>
  <si>
    <t>K2O</t>
  </si>
  <si>
    <t>Anzahl aufgtr. Tiere</t>
  </si>
  <si>
    <t>Tage auf Weide</t>
  </si>
  <si>
    <t>Tage auf Almen</t>
  </si>
  <si>
    <t>Ausscheidung</t>
  </si>
  <si>
    <t>N auf Weiden</t>
  </si>
  <si>
    <t>N auf</t>
  </si>
  <si>
    <t>N auf Almen</t>
  </si>
  <si>
    <r>
      <t>P</t>
    </r>
    <r>
      <rPr>
        <b/>
        <vertAlign val="subscript"/>
        <sz val="11"/>
        <rFont val="Trebuchet MS"/>
        <family val="2"/>
      </rPr>
      <t>2</t>
    </r>
    <r>
      <rPr>
        <b/>
        <sz val="11"/>
        <rFont val="Trebuchet MS"/>
        <family val="2"/>
      </rPr>
      <t>O</t>
    </r>
    <r>
      <rPr>
        <b/>
        <vertAlign val="subscript"/>
        <sz val="11"/>
        <rFont val="Trebuchet MS"/>
        <family val="2"/>
      </rPr>
      <t xml:space="preserve">5 </t>
    </r>
  </si>
  <si>
    <r>
      <t>K</t>
    </r>
    <r>
      <rPr>
        <b/>
        <vertAlign val="subscript"/>
        <sz val="11"/>
        <rFont val="Trebuchet MS"/>
        <family val="2"/>
      </rPr>
      <t>2</t>
    </r>
    <r>
      <rPr>
        <b/>
        <sz val="11"/>
        <rFont val="Trebuchet MS"/>
        <family val="2"/>
      </rPr>
      <t>O</t>
    </r>
  </si>
  <si>
    <r>
      <t>P</t>
    </r>
    <r>
      <rPr>
        <b/>
        <vertAlign val="subscript"/>
        <sz val="11"/>
        <rFont val="Trebuchet MS"/>
        <family val="2"/>
      </rPr>
      <t>2</t>
    </r>
    <r>
      <rPr>
        <b/>
        <sz val="11"/>
        <rFont val="Trebuchet MS"/>
        <family val="2"/>
      </rPr>
      <t>O</t>
    </r>
    <r>
      <rPr>
        <b/>
        <vertAlign val="subscript"/>
        <sz val="11"/>
        <rFont val="Trebuchet MS"/>
        <family val="2"/>
      </rPr>
      <t>5</t>
    </r>
  </si>
  <si>
    <t>nähr
stoff
best. Bestand</t>
  </si>
  <si>
    <t xml:space="preserve"> BIO Tiere Obergrenze</t>
  </si>
  <si>
    <t>Austria Biokontrolle</t>
  </si>
  <si>
    <t>Liste_JA</t>
  </si>
  <si>
    <t>Anzahl</t>
  </si>
  <si>
    <t>Tierh.</t>
  </si>
  <si>
    <t xml:space="preserve"> = % Weide</t>
  </si>
  <si>
    <t xml:space="preserve"> = % Alm</t>
  </si>
  <si>
    <t>Weiden</t>
  </si>
  <si>
    <t>Alm</t>
  </si>
  <si>
    <t>GVE auf Alm</t>
  </si>
  <si>
    <t>Anzahl zulässig</t>
  </si>
  <si>
    <t>ha für BIO</t>
  </si>
  <si>
    <t>andere Kälber und Jungrinder unter 1/2 Jahr - Gülle</t>
  </si>
  <si>
    <t>andere Kälber und Jungrinder unter 1/2 Jahr - Mist/Jauche</t>
  </si>
  <si>
    <t>andere Kälber und Jungrinder unter 1/2 Jahr - Tiefstallmist</t>
  </si>
  <si>
    <t>AO8</t>
  </si>
  <si>
    <t>Maßnahmen ja=1</t>
  </si>
  <si>
    <t>Jungvieh 1/2 bis 1 Jahr - Gülle</t>
  </si>
  <si>
    <t>AO9</t>
  </si>
  <si>
    <t>Jungvieh 1/2 bis 1 Jahr - Mist/Jauche</t>
  </si>
  <si>
    <t>AO10</t>
  </si>
  <si>
    <t>Jungvieh 1/2 bis 1 Jahr - Tiefstallmist</t>
  </si>
  <si>
    <t>AO11</t>
  </si>
  <si>
    <t>Jungvieh 1 bis 2 Jahr - Gülle</t>
  </si>
  <si>
    <t>AO12</t>
  </si>
  <si>
    <t>kein P-min.</t>
  </si>
  <si>
    <t>Jungvieh 1 bis 2 Jahr - Mist/Jauche</t>
  </si>
  <si>
    <t>AO13</t>
  </si>
  <si>
    <t>P Mindeststandart</t>
  </si>
  <si>
    <t>Jungvieh 1 bis 2 Jahr - Tiefstallmist</t>
  </si>
  <si>
    <t>AO14</t>
  </si>
  <si>
    <t>Ochsen, Stiere - Gülle</t>
  </si>
  <si>
    <t>AO15</t>
  </si>
  <si>
    <t>Ochsen, Stiere - Mist/Jauche</t>
  </si>
  <si>
    <t>AO16</t>
  </si>
  <si>
    <t>Ochsen, Stiere - Tiefstallmist</t>
  </si>
  <si>
    <t>Kalbinnen - Gülle</t>
  </si>
  <si>
    <t>AK18 - GVE</t>
  </si>
  <si>
    <t>Kalbinnen - Mist/Jauche</t>
  </si>
  <si>
    <t>AK19</t>
  </si>
  <si>
    <t>Kalbinnen - Tiefstallmist</t>
  </si>
  <si>
    <t>AK20 - WRG!!</t>
  </si>
  <si>
    <t>Summen</t>
  </si>
  <si>
    <t>N ab lager</t>
  </si>
  <si>
    <t>Milch- bzw. Mutterkühe (3000 kg Milch)  - Gülle</t>
  </si>
  <si>
    <t>AK21 - WRG</t>
  </si>
  <si>
    <t>feldfallend</t>
  </si>
  <si>
    <t>Teilsumme P auf Weiden</t>
  </si>
  <si>
    <t>Teilsumme K auf Weiden</t>
  </si>
  <si>
    <t>Teilsumme P auf Almen</t>
  </si>
  <si>
    <t>Teilsumme K auf Almen</t>
  </si>
  <si>
    <t>Fläche Betrieb</t>
  </si>
  <si>
    <t>Milch- bzw. Mutterkühe (3000 kg Milch)  - Mist / Jauche</t>
  </si>
  <si>
    <t>Wirtschaftsdüngerkauf   Bezeichnung</t>
  </si>
  <si>
    <t>N / m³ / t</t>
  </si>
  <si>
    <t>P/ m³ / t</t>
  </si>
  <si>
    <t>K / m³ / t</t>
  </si>
  <si>
    <t>Jahreswirksam</t>
  </si>
  <si>
    <t xml:space="preserve"> - - -</t>
  </si>
  <si>
    <t>Milch- bzw. Mutterkühe (3000 kg Milch)  - Tiefstallmist</t>
  </si>
  <si>
    <t>Liste Ertragslage</t>
  </si>
  <si>
    <t>Summe N jahresw auf Weiden und Almen</t>
  </si>
  <si>
    <t>Milch- bzw. Ammenkühe (4000 kg Milch)  - Gülle</t>
  </si>
  <si>
    <t>Achtung Biobetriebe! Es wird nach EU Bio-Verordnung ungefähr folgende Fläche (ha) benötigt:</t>
  </si>
  <si>
    <t>bis</t>
  </si>
  <si>
    <t>Milch- bzw. Ammenkühe (4000 kg Milch)  - Mist / Jauche</t>
  </si>
  <si>
    <t>Milch- bzw. Ammenkühe (4000 kg Milch)  - Tiefstallmist</t>
  </si>
  <si>
    <t>Milchkühe (5000 kg Milch) - Gülle</t>
  </si>
  <si>
    <t>Milchkühe (5000 kg Milch) - Mist/Jauche</t>
  </si>
  <si>
    <t>Wirtschaftsdüngerzukauf</t>
  </si>
  <si>
    <t>P und K plus Zukauf</t>
  </si>
  <si>
    <t>Milchkühe (5000 kg Milch) - Tiefstallmist</t>
  </si>
  <si>
    <t>Wirtschaftsdüngerabgang</t>
  </si>
  <si>
    <t>siehe Tabelle Wirtschaftsdüngerverkauf Zelle BF 49</t>
  </si>
  <si>
    <t>P und K auf Weiden und Almen</t>
  </si>
  <si>
    <t>Milchkühe (6000 kg Milch) - Gülle</t>
  </si>
  <si>
    <t>Wirtschaftsdüngerabgang auf Almen</t>
  </si>
  <si>
    <t>siehe  Zelle CD 20</t>
  </si>
  <si>
    <t>Summen abzueglich Weide und Alm</t>
  </si>
  <si>
    <t>Milchkühe (6000 kg Milch) - Mist/Jauche</t>
  </si>
  <si>
    <t>Wirtschaftsdüngeranteil aus org. Düngern</t>
  </si>
  <si>
    <t>siehe unten</t>
  </si>
  <si>
    <t>P incl. Zu- und Verkauf - Weide u. Alm</t>
  </si>
  <si>
    <t>K incl. Zu- und Verkauf -Weide u. Alm</t>
  </si>
  <si>
    <t>Summen abzueglich Weide, Alm und Verkauf</t>
  </si>
  <si>
    <t>Milchkühe (6000 kg Milch) - Tiefstallmist</t>
  </si>
  <si>
    <t>Wirtschaftsdüngerzu- und -abgang</t>
  </si>
  <si>
    <t>P incl. Zu- und Verkauf ohne  Alm</t>
  </si>
  <si>
    <t>P aus Tierhaltung ohne Alm</t>
  </si>
  <si>
    <t>Milchkühe (7000 kg Milch) - Gülle</t>
  </si>
  <si>
    <t>Wirtschaftsdüngerstickstoff ab Lager der am eigenen Betrieb ausgebracht wurde</t>
  </si>
  <si>
    <t>N ab Lager</t>
  </si>
  <si>
    <t>P für Saldo</t>
  </si>
  <si>
    <t>Milchkühe (7000 kg Milch) - Mist/Jauche</t>
  </si>
  <si>
    <t>Milchkühe (7000 kg Milch) - Tiefstallmist</t>
  </si>
  <si>
    <t>Stickstoff auf Weiden und Almen</t>
  </si>
  <si>
    <t>für Grubenberechnung Tab Hofdung Zellen C4-8</t>
  </si>
  <si>
    <t>Milchkühe (8000 kg Milch) - Gülle</t>
  </si>
  <si>
    <t>Summe Tierhaltung + Zukauf abzügl. Weide u Alm</t>
  </si>
  <si>
    <t>Milchkühe (8000 kg Milch) - Mist/Jauche</t>
  </si>
  <si>
    <t>Milchkühe (8000 kg Milch) - Tiefstallmist</t>
  </si>
  <si>
    <t>Milchkühe (9000 kg Milch) - Gülle</t>
  </si>
  <si>
    <t>N gesamt aus Bio-gas und org. Roh-stoffen getrennt in</t>
  </si>
  <si>
    <t>Milchkühe (9000 kg Milch) - Mist/Jauche</t>
  </si>
  <si>
    <t>Rinder gülle</t>
  </si>
  <si>
    <t>Schweine-gülle</t>
  </si>
  <si>
    <t>Geflügel-gülle</t>
  </si>
  <si>
    <t>Jauche Anteil</t>
  </si>
  <si>
    <t>Rotte-   mist</t>
  </si>
  <si>
    <t>Kompost</t>
  </si>
  <si>
    <t>Milchkühe (9000 kg Milch) - Tiefstallmist</t>
  </si>
  <si>
    <t>N aus org Düngern</t>
  </si>
  <si>
    <t>Wirtschaftsdüngerverkauf</t>
  </si>
  <si>
    <t>Nährstoffmengen ab Lager</t>
  </si>
  <si>
    <t xml:space="preserve">        Mengen</t>
  </si>
  <si>
    <t>Milchkühe (&gt; 10.000 kg Milch) - Gülle</t>
  </si>
  <si>
    <t>tierischen Anteil</t>
  </si>
  <si>
    <t>aus:</t>
  </si>
  <si>
    <t>P je m³</t>
  </si>
  <si>
    <t>K je m³</t>
  </si>
  <si>
    <t>N ff.</t>
  </si>
  <si>
    <t>N jw.</t>
  </si>
  <si>
    <t>N-ff</t>
  </si>
  <si>
    <t>Milchkühe (&gt; 10.000 kg Milch) - Mist/Jauche</t>
  </si>
  <si>
    <t>nicht tier. Anteil</t>
  </si>
  <si>
    <t>Grube 1</t>
  </si>
  <si>
    <t>Milchkühe (&gt; 10.000 kg Milch) - Tiefstallmist</t>
  </si>
  <si>
    <t>P2O4 Standard</t>
  </si>
  <si>
    <t xml:space="preserve"> P-reduziert</t>
  </si>
  <si>
    <t>Grube 2</t>
  </si>
  <si>
    <t>Schweine</t>
  </si>
  <si>
    <t>Grube 3</t>
  </si>
  <si>
    <t>Ferkel 8 bis 32 kg Lebendgewicht (LG) Standard-Fütterung - Gülle</t>
  </si>
  <si>
    <t xml:space="preserve">     Ferkel sind bei der Zuchtsau berücksichtigt</t>
  </si>
  <si>
    <t>N-Anfall ab Lager aus Wirtschaftsdüngern</t>
  </si>
  <si>
    <t>Grube 4</t>
  </si>
  <si>
    <t>Ferkel 8 bis 32 kg Lebendgewicht (LG) Standard-Fütterung - Mist/Jauche</t>
  </si>
  <si>
    <t>RG</t>
  </si>
  <si>
    <t>SG</t>
  </si>
  <si>
    <t>GG</t>
  </si>
  <si>
    <t>Rotte-M</t>
  </si>
  <si>
    <t>Mist 1</t>
  </si>
  <si>
    <t>Ferkel 8 bis 32 kg Lebendgewicht (LG) Standard-Fütterung - Tiefstallmist</t>
  </si>
  <si>
    <t>N ab Lager aus eigener Tierhaltung</t>
  </si>
  <si>
    <t>Gesamtumme</t>
  </si>
  <si>
    <t>Mist 2</t>
  </si>
  <si>
    <t>Ferkel 8 bis 32 kg Lebendgewicht (LG) N-reduzierte-Fütterung - Gülle</t>
  </si>
  <si>
    <t>Stickstoffabgang durch Alpung</t>
  </si>
  <si>
    <t>Ferkel 8 bis 32 kg Lebendgewicht (LG) N-reduzierte-Fütterung - Mist/Jauche</t>
  </si>
  <si>
    <r>
      <t>Wirtschaftsdünger-</t>
    </r>
    <r>
      <rPr>
        <b/>
        <sz val="11"/>
        <color indexed="8"/>
        <rFont val="Arial"/>
        <family val="2"/>
      </rPr>
      <t>Kauf:</t>
    </r>
  </si>
  <si>
    <t>Ferkel 8 bis 32 kg Lebendgewicht (LG) N-reduzierte-Fütterung - Tiefstallmist</t>
  </si>
  <si>
    <t>Wirtschaftsdüngeranteil aus Biogasgüllen</t>
  </si>
  <si>
    <t xml:space="preserve">MS + JS ab 32 kg LG bis Mastende/Belegung - Gülle </t>
  </si>
  <si>
    <t>Wi-düanteil aus Biogasgüllen Feststoff</t>
  </si>
  <si>
    <t xml:space="preserve">MS + JS ab 32 kg LG bis Mastende/Belegung - Mist/Jauche </t>
  </si>
  <si>
    <t>Wi-dü-anteil aus Sekundären Rohstoffen</t>
  </si>
  <si>
    <t xml:space="preserve">MS + JS ab 32 kg LG bis Mastende/Belegung - Tiefstallmist </t>
  </si>
  <si>
    <t>N (ab Lager) aus der Tierh. + Zukauf</t>
  </si>
  <si>
    <t>Quersumme</t>
  </si>
  <si>
    <t xml:space="preserve">MS + JS ab 32 kg LG bis Mastende/Belegung -N-reduzierte-Fütterung - Gülle </t>
  </si>
  <si>
    <t>N aus Wirtschaftsdünger-Abgabe laut seitlicher Tabellen</t>
  </si>
  <si>
    <t>Abgabe</t>
  </si>
  <si>
    <t xml:space="preserve">MS + JS ab 32 kg LG bis Mastende/Belegung -N-reduzierte-Fütterung - Mist/Jauche </t>
  </si>
  <si>
    <t>N (ab Lager) aus der Tierh. Incl. aller Zu- und Verkäufe</t>
  </si>
  <si>
    <t xml:space="preserve">MS + JS ab 32 kg LG bis Mastende/Belegung -N-reduzierte-Fütterung - Tiefstallmist </t>
  </si>
  <si>
    <t>(N ab Lager ohne Weide + Alm)</t>
  </si>
  <si>
    <t xml:space="preserve">MS + JS ab 32 kg LG bis Mastende/Belegung - stark-N-reduzierte-Fütterung - Gülle </t>
  </si>
  <si>
    <t xml:space="preserve">MS + JS ab 32 kg LG bis Mastende/Belegung - stark-N-reduzierte-Fütterung - Mist/Jauche </t>
  </si>
  <si>
    <t>Feldfallender organischer Stickstoff</t>
  </si>
  <si>
    <t xml:space="preserve">MS + JS ab 32 kg LG bis Mastende/Belegung - stark-N-reduzierte-Fütterung - Tiefstallmist </t>
  </si>
  <si>
    <t>Zuchtschweine - Standard-Fütterung - Gülle</t>
  </si>
  <si>
    <t>N-ab Lager aus der Tierh. incl. Zukauf</t>
  </si>
  <si>
    <t>Zuchtschweine - Standard-Fütterung - Mist/Jauche</t>
  </si>
  <si>
    <t>nicht-tier. org. N, wie Biogas-G, Komp., KS, org. Hadü., etc</t>
  </si>
  <si>
    <t>N nichttierisch</t>
  </si>
  <si>
    <t>Zuchtschweine - Standard-Fütterung - Tiefstallmist</t>
  </si>
  <si>
    <t>Organischer N-Anfall ab Lager am Betrieb</t>
  </si>
  <si>
    <t>Summe Org N-Anfall</t>
  </si>
  <si>
    <t>Zuchtschweine - N-reduzierte Fütterung - Gülle</t>
  </si>
  <si>
    <t>Abzugsfaktoren für Ausbringungsverlust</t>
  </si>
  <si>
    <t>Abzugsfaktoren für Ausbringungsverlust  (13 % bei Güllen und  Jauche, 9 % bei Mist und Kompost)</t>
  </si>
  <si>
    <t>Zuchtschweine - N-reduzierte Fütterung - Mist/Jauche</t>
  </si>
  <si>
    <t xml:space="preserve">   &gt; organ. nicht tierisch feldfallend</t>
  </si>
  <si>
    <t>Zuchtschweine - N-reduzierte Fütterung - Tiefstallmist</t>
  </si>
  <si>
    <t>Organischer N-feldfallend</t>
  </si>
  <si>
    <t>Zuchteber - Standard-Fütterung - Gülle</t>
  </si>
  <si>
    <t>N-Einsatz aus Mineraldünger</t>
  </si>
  <si>
    <t>Zuchteber - Standard-Fütterung - Mist/Jauche</t>
  </si>
  <si>
    <t>N feldf.aus Wirtschaftsdünger-Abgabe laut seitlicher Tabellen</t>
  </si>
  <si>
    <t>Zuchteber - Standard-Fütterung - Tiefstallmist</t>
  </si>
  <si>
    <t>N feldfallend am Betrieb Incl. aller Zu- und Abgänge</t>
  </si>
  <si>
    <t>N ff. am Betrieb Gesamtsumme</t>
  </si>
  <si>
    <t>Zuchteber - N-reduzierte Fütterung - Gülle</t>
  </si>
  <si>
    <t>Zuchteber - N-reduzierte Fütterung - Mist/Jauche</t>
  </si>
  <si>
    <t>Jahreswirksamer Stickstoff für alle</t>
  </si>
  <si>
    <t>Zuchteber - N-reduzierte Fütterung - Tiefstallmist</t>
  </si>
  <si>
    <t>Geflügel</t>
  </si>
  <si>
    <t>Faktoren Jahreswirksamkeit</t>
  </si>
  <si>
    <t>Organischer N-jw. in kg</t>
  </si>
  <si>
    <t>N-Einsatz aus Mineraldüngern in kg</t>
  </si>
  <si>
    <t>Legehennen, Hähne - Gülle</t>
  </si>
  <si>
    <t>N jahresw.aus Wirtschaftsdünger-Abgabe lt. seitlicher Tabellen</t>
  </si>
  <si>
    <t xml:space="preserve"> abzüglich des jahreswirksamen Stickstoffes aus Abgabe</t>
  </si>
  <si>
    <t>Legehennen, Hähne - Tiefstallmist</t>
  </si>
  <si>
    <t>N jahreswirksam am Betrieb Incl. aller Zu- und Verkäufe</t>
  </si>
  <si>
    <t>Jahreswirksamer Stickstoff am Betrieb in kg (nach ÖPUL)</t>
  </si>
  <si>
    <t>Jahreswirksamer Stickstoff für Schläge (kein Weide-N)</t>
  </si>
  <si>
    <t>Zwerghühner, Wachteln; ausgewachsen</t>
  </si>
  <si>
    <t>Gänse</t>
  </si>
  <si>
    <t>Enten</t>
  </si>
  <si>
    <t xml:space="preserve">Truthühner (Puten) </t>
  </si>
  <si>
    <t>Pferde, Schafe, Ziegen</t>
  </si>
  <si>
    <t>Kleinpferde (&lt;300 kg, bis 148 cm) 1/2 bis 3 Jahre</t>
  </si>
  <si>
    <t>Kleinpferde (&lt;300 kg) 1/2 bis 3 Jahre</t>
  </si>
  <si>
    <t>Kleinpferde (&lt;300 kg) &gt; 3 Jahre incl. Fohlen bis 1/2 Jahr</t>
  </si>
  <si>
    <t>Kleinpferde (&gt;300 kg, bis 148 cm) 1/2 bis 3 Jahre</t>
  </si>
  <si>
    <t>Kleinpferde (&gt;300 kg) 1/2 bis 3 Jahre</t>
  </si>
  <si>
    <t>Kleinpferde (&gt;300 kg) &gt; 3 Jahre incl. Fohlen bis 1/2 Jahr</t>
  </si>
  <si>
    <t>Pferde (&gt;500 kg, über 148 cm) 1/2 bis 3 Jahre</t>
  </si>
  <si>
    <t>Pferde (&gt;500 kg) 1/2 bis 3 Jahre</t>
  </si>
  <si>
    <t>Pferde (&gt;500 kg)&gt; 3 Jahre incl. Fohlen bis 1/2 Jahr</t>
  </si>
  <si>
    <t>Schafe Lämmer bis 1/2 Jahr</t>
  </si>
  <si>
    <t>Schafe ab 1/2 Jahr bis 1,5 Jahre</t>
  </si>
  <si>
    <t>Mutterschafe</t>
  </si>
  <si>
    <t>Ziegen bis 1/2 Jahr</t>
  </si>
  <si>
    <t>Ziegen ab 1/2 Jahr bis 1,5 Jahre</t>
  </si>
  <si>
    <t>Mutterziegen</t>
  </si>
  <si>
    <t>Weitere Tierarten</t>
  </si>
  <si>
    <t>Rotwild Alttier inkl. Nachzucht bis 14 Monate</t>
  </si>
  <si>
    <t>Rotwild Hirsche</t>
  </si>
  <si>
    <t>Dammwild, Lamas Alpacas - Alttiere inkl. Nachzucht bis 14 Monate</t>
  </si>
  <si>
    <t>Dammwild, Lama, Alpacas Hirsche</t>
  </si>
  <si>
    <t>Straußenküken bis 1/2 Jahr Gülle</t>
  </si>
  <si>
    <t>geschätzt</t>
  </si>
  <si>
    <t>Straußenküken bis 1/2 Jahr Mist</t>
  </si>
  <si>
    <t>Jungstraußen 0,5 - 1,5 Jahre Gülle</t>
  </si>
  <si>
    <t>Jungstraußen 0,5 - 1,5 Jahre Mist</t>
  </si>
  <si>
    <t>Zuchtstraußenhenne - Gülle</t>
  </si>
  <si>
    <t>Zuchtstraußenhenne - Mist</t>
  </si>
  <si>
    <t>Zuchtstraußenhahn - Gülle</t>
  </si>
  <si>
    <t>Zuchtstraußenhahn - Mist</t>
  </si>
  <si>
    <t>Mastkaninchen - Gülle</t>
  </si>
  <si>
    <t>Mastkaninchen - Tiefstall</t>
  </si>
  <si>
    <t>Zuchtkaninchen - Gülle</t>
  </si>
  <si>
    <t>Zuchtkaninchen - Tiestall</t>
  </si>
  <si>
    <t>Zwergrinder</t>
  </si>
  <si>
    <t>Zwergrind - andere Kälber und Jungrinder unter 1/2 Jahr - Gülle = N abLager</t>
  </si>
  <si>
    <t>Zwergrind - andere Kälber und Jungrinder unter 1/2 Jahr - Gülle</t>
  </si>
  <si>
    <t>Zwergrind - andere Kälber und Jungrinder unter 1/2 Jahr - Mist/Jauche</t>
  </si>
  <si>
    <t>Zwergrind - andere Kälber und Jungrinder unter 1/2 Jahr - Tiefstallmist</t>
  </si>
  <si>
    <t>Zwergrind - Jungvieh 1/2 bis 1 Jahr - Gülle</t>
  </si>
  <si>
    <t>Zwergrind - Jungvieh 1/2 bis 1 Jahr - Mist/Jauche</t>
  </si>
  <si>
    <t>Zwergrind - Jungvieh 1/2 bis 1 Jahr - Tiefstallmist</t>
  </si>
  <si>
    <t>Zwergrind - Jungvieh 1 bis 2 Jahr - Gülle</t>
  </si>
  <si>
    <t>Zwergrind - Jungvieh 1 bis 2 Jahr - Mist/Jauche</t>
  </si>
  <si>
    <t>Zwergrind - Jungvieh 1 bis 2 Jahr - Tiefstallmist</t>
  </si>
  <si>
    <t>Zwergrind - Ochsen, Stiere - Gülle</t>
  </si>
  <si>
    <t>Zwergrind - Ochsen, Stiere - Mist/Jauche</t>
  </si>
  <si>
    <t>Zwergrind - Ochsen, Stiere - Tiefstallmist</t>
  </si>
  <si>
    <t>Zwergrind - Kalbinnen - Gülle</t>
  </si>
  <si>
    <t>Zwergrind - Kalbinnen - Mist/Jauche</t>
  </si>
  <si>
    <t>Zwergrind - Kalbinnen - Tiefstallmist</t>
  </si>
  <si>
    <t>Zwergrind - Milch- bzw. Mutterkühe (3000 kg Milch)  - Gülle</t>
  </si>
  <si>
    <t>Zwergrind - Milch- bzw. Mutterkühe (3000 kg Milch)  - Mist / Jauche</t>
  </si>
  <si>
    <t>Zwergrind - Milch- bzw. Mutterkühe (3000 kg Milch)  - Tiefstallmist</t>
  </si>
  <si>
    <t>Zwergrind - Milch- bzw. Ammenkühe (4000 kg Milch)  - Gülle</t>
  </si>
  <si>
    <t>Zwergrind - Milch- bzw. Ammenkühe (4000 kg Milch)  - Mist / Jauche</t>
  </si>
  <si>
    <t>Zwergrind - Milch- bzw. Ammenkühe (4000 kg Milch)  - Tiefstallmist</t>
  </si>
  <si>
    <t>Zwergrind - Milchkühe (5000 kg Milch) - Gülle</t>
  </si>
  <si>
    <t>Zwergrind - Milchkühe (5000 kg Milch) - Mist/Jauche</t>
  </si>
  <si>
    <t>Zwergrind - Milchkühe (5000 kg Milch) - Tiefstallmist</t>
  </si>
  <si>
    <t>Zwergrind - Milchkühe (6000 kg Milch) - Gülle</t>
  </si>
  <si>
    <t>Zwergrind - Milchkühe (6000 kg Milch) - Mist/Jauche</t>
  </si>
  <si>
    <t>Zwergrind - Milchkühe (6000 kg Milch) - Tiefstallmist</t>
  </si>
  <si>
    <t>Zwergrind - Milchkühe (7000 kg Milch) - Gülle</t>
  </si>
  <si>
    <t>Zwergrind - Milchkühe (7000 kg Milch) - Mist/Jauche</t>
  </si>
  <si>
    <t>Zwergrind - Milchkühe (7000 kg Milch) - Tiefstallmist</t>
  </si>
  <si>
    <t>Zwergrind - Milchkühe (8000 kg Milch) - Gülle</t>
  </si>
  <si>
    <t>Zwergrind - Milchkühe (8000 kg Milch) - Mist/Jauche</t>
  </si>
  <si>
    <t>Zwergrind - Milchkühe (8000 kg Milch) - Tiefstallmist</t>
  </si>
  <si>
    <t>Zwergrind - Milchkühe (9000 kg Milch) - Gülle</t>
  </si>
  <si>
    <t>Zwergrind - Milchkühe (9000 kg Milch) - Mist/Jauche</t>
  </si>
  <si>
    <t>Zwergrind - Milchkühe (9000 kg Milch) - Tiefstallmist</t>
  </si>
  <si>
    <t>Zwergrind - Milchkühe (&gt; 10.000 kg Milch) - Gülle</t>
  </si>
  <si>
    <t>Zwergrind - Milchkühe (&gt; 10.000 kg Milch) - Mist/Jauche</t>
  </si>
  <si>
    <t>Zwergrind - Milchkühe (&gt; 10.000 kg Milch) - Tiefstallmist</t>
  </si>
  <si>
    <t>Durch eine P-reduzierte Fütterung von Geflügel kann der Phosphatgehalt je nach Tiergruppe in einem Ausmaß zwischen 13% und 39% gesenkt werden.</t>
  </si>
  <si>
    <t>Düngerauswahl</t>
  </si>
  <si>
    <t>Menge abz. Abgabe</t>
  </si>
  <si>
    <t>N - feld-fallend</t>
  </si>
  <si>
    <r>
      <t xml:space="preserve"> N </t>
    </r>
    <r>
      <rPr>
        <sz val="9"/>
        <color indexed="8"/>
        <rFont val="Arial"/>
        <family val="2"/>
      </rPr>
      <t>jahresw.</t>
    </r>
  </si>
  <si>
    <t>schnell wirksam</t>
  </si>
  <si>
    <t>tier. Anteil</t>
  </si>
  <si>
    <t>Zu-ord-nung</t>
  </si>
  <si>
    <t>Summe N</t>
  </si>
  <si>
    <t>Summe P</t>
  </si>
  <si>
    <t>Summe K</t>
  </si>
  <si>
    <t>Düngertabelle</t>
  </si>
  <si>
    <t>Menge   kg od. m³</t>
  </si>
  <si>
    <t>N - feldfall.</t>
  </si>
  <si>
    <t>N jahresw.</t>
  </si>
  <si>
    <t>P    jahresw.</t>
  </si>
  <si>
    <t>K   jahresw.</t>
  </si>
  <si>
    <t>WD</t>
  </si>
  <si>
    <t>P org</t>
  </si>
  <si>
    <t>K org</t>
  </si>
  <si>
    <t>HD</t>
  </si>
  <si>
    <t>Prüfungen:</t>
  </si>
  <si>
    <t xml:space="preserve">kleiner =-10; gleich=0; größer = 3 </t>
  </si>
  <si>
    <t>Differenz</t>
  </si>
  <si>
    <t>angelegte Dünger im Vergleich zu N_Berechnung ohne W+A</t>
  </si>
  <si>
    <t>0 = Ok!</t>
  </si>
  <si>
    <t xml:space="preserve">N / P / K angelegt + Weide </t>
  </si>
  <si>
    <t>N jw</t>
  </si>
  <si>
    <t>sw.</t>
  </si>
  <si>
    <t>Summen:</t>
  </si>
  <si>
    <t>Einbindung  von Biogasgülle und Sekundärrohstoffen</t>
  </si>
  <si>
    <t>Biogasgüllen</t>
  </si>
  <si>
    <t>Wirksamkeit je nach Ammoniumanteil</t>
  </si>
  <si>
    <t>Ermittlung des N-Gehaltes von Komposten etc..</t>
  </si>
  <si>
    <t>bitte eine Bezeichnung eingeben!</t>
  </si>
  <si>
    <t>N / m³</t>
  </si>
  <si>
    <t>% aus Tierhaltung</t>
  </si>
  <si>
    <t>N ges</t>
  </si>
  <si>
    <t>Phos-phor</t>
  </si>
  <si>
    <t>Wirksamkeit</t>
  </si>
  <si>
    <t>Die Angaben auf Untersuchungszeugnissen sind je nach Labor unterschiedlich.</t>
  </si>
  <si>
    <t>Zu beachten ist, ob der Stickstoff in kg oder % der TM oder FM angegeben ist.</t>
  </si>
  <si>
    <t>Trockensubstanz (TS) = Trockenmasse (TM), bzw Frischsubstanz (FS) = Frischmasse (FM)</t>
  </si>
  <si>
    <t>Angaben in % in der Trockenmasse ™ und Feuchtdichte</t>
  </si>
  <si>
    <t>TS in %</t>
  </si>
  <si>
    <r>
      <t>N</t>
    </r>
    <r>
      <rPr>
        <vertAlign val="subscript"/>
        <sz val="12"/>
        <color indexed="8"/>
        <rFont val="Arial"/>
        <family val="2"/>
      </rPr>
      <t>ges</t>
    </r>
    <r>
      <rPr>
        <sz val="12"/>
        <color indexed="8"/>
        <rFont val="Arial"/>
        <family val="2"/>
      </rPr>
      <t xml:space="preserve"> in % TM</t>
    </r>
  </si>
  <si>
    <t>N in FS</t>
  </si>
  <si>
    <t>kg N / t</t>
  </si>
  <si>
    <t>Feuchtdichte</t>
  </si>
  <si>
    <t>kg N / m³</t>
  </si>
  <si>
    <t>Biogas - Feststoffseparat</t>
  </si>
  <si>
    <t>Angaben in % in der Trockenmasse (TM)</t>
  </si>
  <si>
    <t>Raumgewicht</t>
  </si>
  <si>
    <t>Sekundäre Rohstoffe</t>
  </si>
  <si>
    <t>wie zB. Klärschlamm, Biokompost, etc…</t>
  </si>
  <si>
    <t>Angaben in % in der Frischmasse (FM)</t>
  </si>
  <si>
    <r>
      <t>N</t>
    </r>
    <r>
      <rPr>
        <vertAlign val="subscript"/>
        <sz val="12"/>
        <color indexed="8"/>
        <rFont val="Arial"/>
        <family val="2"/>
      </rPr>
      <t>ges</t>
    </r>
    <r>
      <rPr>
        <sz val="12"/>
        <color indexed="8"/>
        <rFont val="Arial"/>
        <family val="2"/>
      </rPr>
      <t xml:space="preserve"> in % FM</t>
    </r>
  </si>
  <si>
    <t>in % FM</t>
  </si>
  <si>
    <t>g/kg FM</t>
  </si>
  <si>
    <t>weitere Einträge für organische Dünger und Stoffe</t>
  </si>
  <si>
    <t>Name des Produktes</t>
  </si>
  <si>
    <t>Menge      m³ / t</t>
  </si>
  <si>
    <t>Wirksamkeit beachten</t>
  </si>
  <si>
    <t xml:space="preserve">t / m³ </t>
  </si>
  <si>
    <t xml:space="preserve">m³ / t </t>
  </si>
  <si>
    <t>zB. Klärschlamm flüssig, org. Handelsdünger &lt; 15% TS</t>
  </si>
  <si>
    <t xml:space="preserve">Flüssige Wirtschaftsdünger </t>
  </si>
  <si>
    <t xml:space="preserve">Pferdemist </t>
  </si>
  <si>
    <t xml:space="preserve">Rindermist </t>
  </si>
  <si>
    <t>zB. Klärschlamm-kompost</t>
  </si>
  <si>
    <t>wie Kompost</t>
  </si>
  <si>
    <t xml:space="preserve">Schweinemist </t>
  </si>
  <si>
    <t xml:space="preserve">Hähnchen- und Putenmist </t>
  </si>
  <si>
    <t xml:space="preserve">Hühnertrockenkot (mit 50 % TS) </t>
  </si>
  <si>
    <t xml:space="preserve">Schaf- und Ziegenmist </t>
  </si>
  <si>
    <t xml:space="preserve">Stallmistkompost </t>
  </si>
  <si>
    <t xml:space="preserve">Bio- und Grünschnittkompost </t>
  </si>
  <si>
    <t xml:space="preserve">Je nach Einstreumenge können vor allem die Raumgewichte von Festmisten in der Praxis sehr stark variieren. </t>
  </si>
  <si>
    <t>Rindergülle</t>
  </si>
  <si>
    <t>Schweinegülle</t>
  </si>
  <si>
    <t>Stallmist</t>
  </si>
  <si>
    <t>Stallmistkompost</t>
  </si>
  <si>
    <t>Nährstoffe aus Tierhaltung</t>
  </si>
  <si>
    <t>Nährstoffe aus Nawaros.</t>
  </si>
  <si>
    <t>feld-fallend</t>
  </si>
  <si>
    <t>jahres-wirksam</t>
  </si>
  <si>
    <t>schnell-wirksam</t>
  </si>
  <si>
    <t>schnell w</t>
  </si>
  <si>
    <t>N tier</t>
  </si>
  <si>
    <t>aktuelle Jahres-W</t>
  </si>
  <si>
    <t>Biogasgülle 1</t>
  </si>
  <si>
    <t>wie Rindergülle</t>
  </si>
  <si>
    <t>Y 58</t>
  </si>
  <si>
    <t>wie Geflügelgülle</t>
  </si>
  <si>
    <t>Y 59</t>
  </si>
  <si>
    <t>wie Schweinegülle</t>
  </si>
  <si>
    <t>Y 60</t>
  </si>
  <si>
    <t>wie Jauche</t>
  </si>
  <si>
    <t>Y 61</t>
  </si>
  <si>
    <t>wie Mist</t>
  </si>
  <si>
    <t>Y 62</t>
  </si>
  <si>
    <t>wie Rottemist</t>
  </si>
  <si>
    <t>Y 63</t>
  </si>
  <si>
    <t>Biogasgülle 2</t>
  </si>
  <si>
    <t>Y 64</t>
  </si>
  <si>
    <t>Biogasmist 1</t>
  </si>
  <si>
    <t>Biogasmist 2</t>
  </si>
  <si>
    <t>Sekundäre Rohstoffe 1</t>
  </si>
  <si>
    <t>Sekundäre Rohstoffe 2</t>
  </si>
  <si>
    <t>Rotte-mist</t>
  </si>
  <si>
    <t>Biogas</t>
  </si>
  <si>
    <t>sek Rohst.</t>
  </si>
  <si>
    <t>tier. Anteil gesamt</t>
  </si>
  <si>
    <t>Hilfsblatt zur Berechnung der Nährstoffgehalte der Wirtschaftsdünger (kg pro m³)</t>
  </si>
  <si>
    <t>Wirtschaftsdüngeraufteilung</t>
  </si>
  <si>
    <t>kg N
pro Jahr</t>
  </si>
  <si>
    <r>
      <t>kg P</t>
    </r>
    <r>
      <rPr>
        <vertAlign val="subscript"/>
        <sz val="10"/>
        <color indexed="8"/>
        <rFont val="Arial"/>
        <family val="2"/>
      </rPr>
      <t>2</t>
    </r>
    <r>
      <rPr>
        <sz val="11"/>
        <color indexed="8"/>
        <rFont val="Arial"/>
        <family val="2"/>
      </rPr>
      <t>O</t>
    </r>
    <r>
      <rPr>
        <vertAlign val="subscript"/>
        <sz val="10"/>
        <color indexed="8"/>
        <rFont val="Arial"/>
        <family val="2"/>
      </rPr>
      <t xml:space="preserve">5
</t>
    </r>
    <r>
      <rPr>
        <sz val="11"/>
        <color indexed="8"/>
        <rFont val="Arial"/>
        <family val="2"/>
      </rPr>
      <t>pro Jahr</t>
    </r>
  </si>
  <si>
    <r>
      <t>kg K</t>
    </r>
    <r>
      <rPr>
        <vertAlign val="subscript"/>
        <sz val="11"/>
        <color indexed="8"/>
        <rFont val="Arial"/>
        <family val="2"/>
      </rPr>
      <t>2</t>
    </r>
    <r>
      <rPr>
        <sz val="11"/>
        <color indexed="8"/>
        <rFont val="Arial"/>
        <family val="2"/>
      </rPr>
      <t xml:space="preserve">O
</t>
    </r>
    <r>
      <rPr>
        <sz val="8"/>
        <color indexed="8"/>
        <rFont val="Arial"/>
        <family val="2"/>
      </rPr>
      <t>pro Jahr</t>
    </r>
  </si>
  <si>
    <t>Mist lager</t>
  </si>
  <si>
    <t>Verteilung</t>
  </si>
  <si>
    <r>
      <t xml:space="preserve">N-Anfall </t>
    </r>
    <r>
      <rPr>
        <sz val="8"/>
        <color indexed="8"/>
        <rFont val="Arial"/>
        <family val="2"/>
      </rPr>
      <t>am Lager</t>
    </r>
  </si>
  <si>
    <r>
      <t>Faktoren</t>
    </r>
    <r>
      <rPr>
        <b/>
        <sz val="10"/>
        <rFont val="Arial"/>
        <family val="2"/>
      </rPr>
      <t xml:space="preserve"> von
ab Lager zu</t>
    </r>
  </si>
  <si>
    <t>feld
fallend</t>
  </si>
  <si>
    <t>aktuelle  Jahres-wirkung</t>
  </si>
  <si>
    <t>schnell
wirksam</t>
  </si>
  <si>
    <t>Zu ordnung</t>
  </si>
  <si>
    <t>Pruefung Verteilung</t>
  </si>
  <si>
    <t>je ha:</t>
  </si>
  <si>
    <r>
      <t>wie</t>
    </r>
    <r>
      <rPr>
        <b/>
        <sz val="10"/>
        <rFont val="Arial"/>
        <family val="2"/>
      </rPr>
      <t xml:space="preserve"> Schweine</t>
    </r>
    <r>
      <rPr>
        <sz val="10"/>
        <rFont val="Arial"/>
        <family val="2"/>
      </rPr>
      <t>gülle</t>
    </r>
  </si>
  <si>
    <t>Geflügelgülle</t>
  </si>
  <si>
    <t>Mist - Standardlager</t>
  </si>
  <si>
    <r>
      <t xml:space="preserve">Mist - Extralager </t>
    </r>
    <r>
      <rPr>
        <sz val="10"/>
        <color indexed="8"/>
        <rFont val="Arial"/>
        <family val="2"/>
      </rPr>
      <t>(zB Geflügelmist)</t>
    </r>
  </si>
  <si>
    <t>Mengenabschätzung - bitte unbedingt vornehmen!</t>
  </si>
  <si>
    <r>
      <t>kg P</t>
    </r>
    <r>
      <rPr>
        <b/>
        <vertAlign val="subscript"/>
        <sz val="10"/>
        <rFont val="Arial"/>
        <family val="2"/>
      </rPr>
      <t>2</t>
    </r>
    <r>
      <rPr>
        <b/>
        <sz val="10"/>
        <rFont val="Arial"/>
        <family val="2"/>
      </rPr>
      <t>O</t>
    </r>
    <r>
      <rPr>
        <b/>
        <vertAlign val="subscript"/>
        <sz val="10"/>
        <rFont val="Arial"/>
        <family val="2"/>
      </rPr>
      <t xml:space="preserve">5
</t>
    </r>
    <r>
      <rPr>
        <b/>
        <sz val="10"/>
        <rFont val="Arial"/>
        <family val="2"/>
      </rPr>
      <t>pro Jahr</t>
    </r>
  </si>
  <si>
    <r>
      <t>kg K</t>
    </r>
    <r>
      <rPr>
        <b/>
        <vertAlign val="subscript"/>
        <sz val="8"/>
        <rFont val="Arial"/>
        <family val="2"/>
      </rPr>
      <t>2</t>
    </r>
    <r>
      <rPr>
        <b/>
        <sz val="8"/>
        <rFont val="Arial"/>
        <family val="2"/>
      </rPr>
      <t>O
pro Jahr</t>
    </r>
  </si>
  <si>
    <r>
      <t xml:space="preserve">Jahres-anfall
</t>
    </r>
    <r>
      <rPr>
        <b/>
        <sz val="10"/>
        <color indexed="10"/>
        <rFont val="Arial"/>
        <family val="2"/>
      </rPr>
      <t>m³</t>
    </r>
  </si>
  <si>
    <r>
      <t>Wi-Dü Abgabe
m</t>
    </r>
    <r>
      <rPr>
        <b/>
        <vertAlign val="superscript"/>
        <sz val="10"/>
        <color indexed="10"/>
        <rFont val="Arial"/>
        <family val="2"/>
      </rPr>
      <t>3</t>
    </r>
  </si>
  <si>
    <r>
      <t xml:space="preserve">kg N/m³ 
</t>
    </r>
    <r>
      <rPr>
        <sz val="10"/>
        <color indexed="8"/>
        <rFont val="Arial"/>
        <family val="2"/>
      </rPr>
      <t>am Lager</t>
    </r>
  </si>
  <si>
    <t>kg N/m³ 
feld-fallend</t>
  </si>
  <si>
    <r>
      <t xml:space="preserve">kg N/m³
</t>
    </r>
    <r>
      <rPr>
        <sz val="9"/>
        <color indexed="8"/>
        <rFont val="Arial"/>
        <family val="2"/>
      </rPr>
      <t>jahres-wirksam</t>
    </r>
  </si>
  <si>
    <r>
      <t>kg P</t>
    </r>
    <r>
      <rPr>
        <vertAlign val="subscript"/>
        <sz val="10"/>
        <color indexed="8"/>
        <rFont val="Arial"/>
        <family val="2"/>
      </rPr>
      <t>2</t>
    </r>
    <r>
      <rPr>
        <sz val="11"/>
        <color indexed="8"/>
        <rFont val="Arial"/>
        <family val="2"/>
      </rPr>
      <t>O</t>
    </r>
    <r>
      <rPr>
        <vertAlign val="subscript"/>
        <sz val="10"/>
        <color indexed="8"/>
        <rFont val="Arial"/>
        <family val="2"/>
      </rPr>
      <t xml:space="preserve">5
 </t>
    </r>
    <r>
      <rPr>
        <sz val="11"/>
        <color indexed="8"/>
        <rFont val="Arial"/>
        <family val="2"/>
      </rPr>
      <t>je m³</t>
    </r>
  </si>
  <si>
    <r>
      <t>kg
K</t>
    </r>
    <r>
      <rPr>
        <vertAlign val="subscript"/>
        <sz val="10"/>
        <color indexed="8"/>
        <rFont val="Arial"/>
        <family val="2"/>
      </rPr>
      <t>2</t>
    </r>
    <r>
      <rPr>
        <sz val="11"/>
        <color indexed="8"/>
        <rFont val="Arial"/>
        <family val="2"/>
      </rPr>
      <t>O
 je m³</t>
    </r>
  </si>
  <si>
    <r>
      <t>Zu-</t>
    </r>
    <r>
      <rPr>
        <sz val="8"/>
        <color indexed="8"/>
        <rFont val="Arial"/>
        <family val="2"/>
      </rPr>
      <t xml:space="preserve"> ordnung</t>
    </r>
  </si>
  <si>
    <r>
      <t xml:space="preserve">Faktor
jahres
</t>
    </r>
    <r>
      <rPr>
        <sz val="8"/>
        <rFont val="Arial"/>
        <family val="2"/>
      </rPr>
      <t>wirksam</t>
    </r>
  </si>
  <si>
    <t>Achtung! - Wird Mist kurz vor der Ausbringung verflüssigt, so behält er seine Schnellwirksamkeit von 15%.
In diesem Fall kann er einer leeren Grube zugeordet werden. Beim Einmischen in eine andere Gülle oder Jauche wird das gewichtete Mittel der Schnellwirksamkeit berechnet.
Wird Mist regelmaßig verflüssigt müssen die Tiere auf Gülle eingegeben werden, denn es stellt sich eine Dynamik wie bei Gülle ein!</t>
  </si>
  <si>
    <t>UBAG oder CC:</t>
  </si>
  <si>
    <t>N Lager</t>
  </si>
  <si>
    <t>N ff</t>
  </si>
  <si>
    <t>Anteil</t>
  </si>
  <si>
    <t>aus G 1</t>
  </si>
  <si>
    <t>Mistlager</t>
  </si>
  <si>
    <t>aus G 2</t>
  </si>
  <si>
    <t>extra Mistlager</t>
  </si>
  <si>
    <t>aus G 3</t>
  </si>
  <si>
    <t>aus G 4</t>
  </si>
  <si>
    <t>Biogas und Sekundäre Rohstoffe</t>
  </si>
  <si>
    <r>
      <t xml:space="preserve">N
</t>
    </r>
    <r>
      <rPr>
        <b/>
        <sz val="8"/>
        <rFont val="Arial"/>
        <family val="2"/>
      </rPr>
      <t>gesamt</t>
    </r>
  </si>
  <si>
    <r>
      <t xml:space="preserve">P
</t>
    </r>
    <r>
      <rPr>
        <b/>
        <sz val="8"/>
        <rFont val="Arial"/>
        <family val="2"/>
      </rPr>
      <t>gesamt</t>
    </r>
  </si>
  <si>
    <r>
      <t xml:space="preserve">K
</t>
    </r>
    <r>
      <rPr>
        <b/>
        <sz val="8"/>
        <rFont val="Arial"/>
        <family val="2"/>
      </rPr>
      <t>gesamt</t>
    </r>
  </si>
  <si>
    <r>
      <t xml:space="preserve">kg N/m³
</t>
    </r>
    <r>
      <rPr>
        <sz val="8"/>
        <color indexed="8"/>
        <rFont val="Arial"/>
        <family val="2"/>
      </rPr>
      <t>am Lager</t>
    </r>
  </si>
  <si>
    <r>
      <t xml:space="preserve">kg N/m³
</t>
    </r>
    <r>
      <rPr>
        <sz val="8"/>
        <color indexed="8"/>
        <rFont val="Arial"/>
        <family val="2"/>
      </rPr>
      <t>feldf.</t>
    </r>
  </si>
  <si>
    <r>
      <t xml:space="preserve">kg N/m³ 
</t>
    </r>
    <r>
      <rPr>
        <sz val="9"/>
        <color indexed="8"/>
        <rFont val="Arial"/>
        <family val="2"/>
      </rPr>
      <t>jahresw.</t>
    </r>
  </si>
  <si>
    <r>
      <t>P</t>
    </r>
    <r>
      <rPr>
        <vertAlign val="subscript"/>
        <sz val="10"/>
        <color indexed="8"/>
        <rFont val="Arial"/>
        <family val="2"/>
      </rPr>
      <t>2</t>
    </r>
    <r>
      <rPr>
        <sz val="11"/>
        <color indexed="8"/>
        <rFont val="Arial"/>
        <family val="2"/>
      </rPr>
      <t>O</t>
    </r>
    <r>
      <rPr>
        <vertAlign val="subscript"/>
        <sz val="10"/>
        <color indexed="8"/>
        <rFont val="Arial"/>
        <family val="2"/>
      </rPr>
      <t xml:space="preserve">5 
 </t>
    </r>
    <r>
      <rPr>
        <sz val="11"/>
        <color indexed="8"/>
        <rFont val="Arial"/>
        <family val="2"/>
      </rPr>
      <t>je m³</t>
    </r>
  </si>
  <si>
    <r>
      <t>K</t>
    </r>
    <r>
      <rPr>
        <vertAlign val="subscript"/>
        <sz val="10"/>
        <color indexed="8"/>
        <rFont val="Arial"/>
        <family val="2"/>
      </rPr>
      <t>2</t>
    </r>
    <r>
      <rPr>
        <sz val="11"/>
        <color indexed="8"/>
        <rFont val="Arial"/>
        <family val="2"/>
      </rPr>
      <t>O 
 je m³</t>
    </r>
  </si>
  <si>
    <r>
      <t xml:space="preserve">Faktor </t>
    </r>
    <r>
      <rPr>
        <sz val="8"/>
        <rFont val="Arial"/>
        <family val="2"/>
      </rPr>
      <t>jahresw.</t>
    </r>
  </si>
  <si>
    <t>aus Mist 1</t>
  </si>
  <si>
    <t>aus Mist 2</t>
  </si>
  <si>
    <t>Summe</t>
  </si>
  <si>
    <t>Schwein</t>
  </si>
  <si>
    <t>Biogasfeststoff 1</t>
  </si>
  <si>
    <t>Biogasfeststoff 2</t>
  </si>
  <si>
    <t>Sek. Rohstoffe 1</t>
  </si>
  <si>
    <t>Sek. Rohstoffe 2</t>
  </si>
  <si>
    <t>j-w</t>
  </si>
  <si>
    <t>s-w</t>
  </si>
  <si>
    <t>weitere org. Dünger u. Rohstoffe</t>
  </si>
  <si>
    <t>Mistlager 1</t>
  </si>
  <si>
    <t>Mistlager 2</t>
  </si>
  <si>
    <t>Tierliste</t>
  </si>
  <si>
    <r>
      <t xml:space="preserve">Ø Stück/
</t>
    </r>
    <r>
      <rPr>
        <sz val="9"/>
        <rFont val="Arial"/>
        <family val="2"/>
      </rPr>
      <t>Stallplätze</t>
    </r>
  </si>
  <si>
    <t xml:space="preserve">Summen:  </t>
  </si>
  <si>
    <t>Verkauf:</t>
  </si>
  <si>
    <t>Weide und Alm:</t>
  </si>
  <si>
    <t>Nährstoffe am Lager:</t>
  </si>
  <si>
    <r>
      <t>Anmerkung:</t>
    </r>
    <r>
      <rPr>
        <sz val="9"/>
        <rFont val="Arial"/>
        <family val="2"/>
      </rPr>
      <t xml:space="preserve"> Die Zahlen dieser Tabelle stellen Mittelwerte dar, die stark schwanken können. Die vorrangige Möglichkeit stellt die betriebsspezifische Ermittlung des N-Gehalts dar (Berechnungsvorgang: N-Anfall aus der Tierhaltung je nach Wirtschaftsdüngersystem durch die anfallende Wirtschaftsdüngermenge dividiert = Nährstoffgehalt pro m³).</t>
    </r>
  </si>
  <si>
    <t>Art der Tiere und des Wirtschaftsdüngers</t>
  </si>
  <si>
    <t>TM-Gehalt
Gew %</t>
  </si>
  <si>
    <r>
      <t xml:space="preserve">N </t>
    </r>
    <r>
      <rPr>
        <b/>
        <vertAlign val="subscript"/>
        <sz val="9"/>
        <rFont val="Arial"/>
        <family val="2"/>
      </rPr>
      <t>ab</t>
    </r>
    <r>
      <rPr>
        <b/>
        <sz val="9"/>
        <rFont val="Arial"/>
        <family val="2"/>
      </rPr>
      <t xml:space="preserve"> Lager</t>
    </r>
  </si>
  <si>
    <r>
      <t>N</t>
    </r>
    <r>
      <rPr>
        <b/>
        <vertAlign val="subscript"/>
        <sz val="9"/>
        <rFont val="Arial"/>
        <family val="2"/>
      </rPr>
      <t>feld</t>
    </r>
    <r>
      <rPr>
        <b/>
        <sz val="9"/>
        <rFont val="Arial"/>
        <family val="2"/>
      </rPr>
      <t>-fallend</t>
    </r>
  </si>
  <si>
    <r>
      <t>P</t>
    </r>
    <r>
      <rPr>
        <b/>
        <vertAlign val="subscript"/>
        <sz val="9"/>
        <rFont val="Arial"/>
        <family val="2"/>
      </rPr>
      <t>2</t>
    </r>
    <r>
      <rPr>
        <b/>
        <sz val="9"/>
        <rFont val="Arial"/>
        <family val="2"/>
      </rPr>
      <t>0</t>
    </r>
    <r>
      <rPr>
        <b/>
        <vertAlign val="subscript"/>
        <sz val="9"/>
        <rFont val="Arial"/>
        <family val="2"/>
      </rPr>
      <t>5</t>
    </r>
  </si>
  <si>
    <r>
      <t>K</t>
    </r>
    <r>
      <rPr>
        <b/>
        <vertAlign val="subscript"/>
        <sz val="9"/>
        <rFont val="Arial"/>
        <family val="2"/>
      </rPr>
      <t>2</t>
    </r>
    <r>
      <rPr>
        <b/>
        <sz val="9"/>
        <rFont val="Arial"/>
        <family val="2"/>
      </rPr>
      <t>0</t>
    </r>
  </si>
  <si>
    <r>
      <t xml:space="preserve">org. </t>
    </r>
    <r>
      <rPr>
        <sz val="9"/>
        <color indexed="8"/>
        <rFont val="Arial"/>
        <family val="2"/>
      </rPr>
      <t>Substanz</t>
    </r>
  </si>
  <si>
    <r>
      <t>kg/m</t>
    </r>
    <r>
      <rPr>
        <vertAlign val="superscript"/>
        <sz val="10"/>
        <color indexed="8"/>
        <rFont val="Arial"/>
        <family val="2"/>
      </rPr>
      <t>3</t>
    </r>
  </si>
  <si>
    <t>Milchkühe (inkl. Nachzucht)</t>
  </si>
  <si>
    <t>Rottemist</t>
  </si>
  <si>
    <t>25-40</t>
  </si>
  <si>
    <t>35-60</t>
  </si>
  <si>
    <t>Stallmist (einstreuarm)</t>
  </si>
  <si>
    <t>20-25</t>
  </si>
  <si>
    <t>Jauche (”unverdünnt")</t>
  </si>
  <si>
    <t>Gülle (1:1 verdünnt)</t>
  </si>
  <si>
    <t>Gülle (unverdünnt)</t>
  </si>
  <si>
    <r>
      <t>Mastrinde</t>
    </r>
    <r>
      <rPr>
        <sz val="10"/>
        <rFont val="Arial"/>
        <family val="2"/>
      </rPr>
      <t>r (Maissilage)</t>
    </r>
  </si>
  <si>
    <t>Mastkälber</t>
  </si>
  <si>
    <r>
      <t>Schafe</t>
    </r>
    <r>
      <rPr>
        <sz val="10"/>
        <rFont val="Arial"/>
        <family val="2"/>
      </rPr>
      <t xml:space="preserve"> (inkl. Lämmer)</t>
    </r>
  </si>
  <si>
    <t>Tiefstallmist</t>
  </si>
  <si>
    <t>25-30</t>
  </si>
  <si>
    <t>Pferde</t>
  </si>
  <si>
    <r>
      <t xml:space="preserve">Schweine </t>
    </r>
    <r>
      <rPr>
        <sz val="10"/>
        <rFont val="Arial"/>
        <family val="2"/>
      </rPr>
      <t>(bei Phasenfütterung bzw. N- und P-reduzierter Fütterung sind die entsprechenden N- und P</t>
    </r>
    <r>
      <rPr>
        <vertAlign val="subscript"/>
        <sz val="10"/>
        <rFont val="Arial"/>
        <family val="2"/>
      </rPr>
      <t>2</t>
    </r>
    <r>
      <rPr>
        <sz val="10"/>
        <rFont val="Arial"/>
        <family val="2"/>
      </rPr>
      <t>O</t>
    </r>
    <r>
      <rPr>
        <vertAlign val="subscript"/>
        <sz val="10"/>
        <rFont val="Arial"/>
        <family val="2"/>
      </rPr>
      <t>5</t>
    </r>
    <r>
      <rPr>
        <sz val="10"/>
        <rFont val="Arial"/>
        <family val="2"/>
      </rPr>
      <t>-Gehalte um 20 % zu reduzieren)</t>
    </r>
  </si>
  <si>
    <t>Zuchtsauen</t>
  </si>
  <si>
    <t>Mastschweine</t>
  </si>
  <si>
    <r>
      <t xml:space="preserve">Gülle </t>
    </r>
    <r>
      <rPr>
        <sz val="10"/>
        <color indexed="8"/>
        <rFont val="Arial"/>
        <family val="2"/>
      </rPr>
      <t>(Futtergrundlage MKS-CCM)</t>
    </r>
  </si>
  <si>
    <r>
      <t>Gülle</t>
    </r>
    <r>
      <rPr>
        <sz val="10"/>
        <color indexed="8"/>
        <rFont val="Arial"/>
        <family val="2"/>
      </rPr>
      <t xml:space="preserve"> (Futtergrundlage Getreide)</t>
    </r>
  </si>
  <si>
    <t>Legehennen</t>
  </si>
  <si>
    <t>Frischkot (= unverd. Gülle)</t>
  </si>
  <si>
    <t>Trockenkot</t>
  </si>
  <si>
    <t>Masthähnchen (Broiler)</t>
  </si>
  <si>
    <t>Festmist</t>
  </si>
  <si>
    <t>Puten</t>
  </si>
  <si>
    <t>Mineraldünger</t>
  </si>
  <si>
    <t xml:space="preserve"> % N</t>
  </si>
  <si>
    <r>
      <t>% P</t>
    </r>
    <r>
      <rPr>
        <b/>
        <vertAlign val="subscript"/>
        <sz val="10"/>
        <rFont val="Arial"/>
        <family val="2"/>
      </rPr>
      <t>2</t>
    </r>
    <r>
      <rPr>
        <b/>
        <sz val="10"/>
        <rFont val="Arial"/>
        <family val="2"/>
      </rPr>
      <t>O</t>
    </r>
    <r>
      <rPr>
        <b/>
        <vertAlign val="subscript"/>
        <sz val="10"/>
        <rFont val="Arial"/>
        <family val="2"/>
      </rPr>
      <t>5</t>
    </r>
  </si>
  <si>
    <r>
      <t>% K</t>
    </r>
    <r>
      <rPr>
        <b/>
        <vertAlign val="subscript"/>
        <sz val="10"/>
        <rFont val="Arial"/>
        <family val="2"/>
      </rPr>
      <t>2</t>
    </r>
    <r>
      <rPr>
        <b/>
        <sz val="10"/>
        <rFont val="Arial"/>
        <family val="2"/>
      </rPr>
      <t>O</t>
    </r>
  </si>
  <si>
    <t>kg N</t>
  </si>
  <si>
    <r>
      <t>kg P</t>
    </r>
    <r>
      <rPr>
        <b/>
        <vertAlign val="subscript"/>
        <sz val="10"/>
        <rFont val="Arial"/>
        <family val="2"/>
      </rPr>
      <t>2</t>
    </r>
    <r>
      <rPr>
        <b/>
        <sz val="10"/>
        <rFont val="Arial"/>
        <family val="2"/>
      </rPr>
      <t>O</t>
    </r>
    <r>
      <rPr>
        <b/>
        <vertAlign val="subscript"/>
        <sz val="10"/>
        <rFont val="Arial"/>
        <family val="2"/>
      </rPr>
      <t>5</t>
    </r>
  </si>
  <si>
    <r>
      <t>kg K</t>
    </r>
    <r>
      <rPr>
        <b/>
        <vertAlign val="subscript"/>
        <sz val="10"/>
        <rFont val="Arial"/>
        <family val="2"/>
      </rPr>
      <t>2</t>
    </r>
    <r>
      <rPr>
        <b/>
        <sz val="10"/>
        <rFont val="Arial"/>
        <family val="2"/>
      </rPr>
      <t>O</t>
    </r>
  </si>
  <si>
    <t>Wirksam-keit</t>
  </si>
  <si>
    <t>NAC - Kalkammonsalp.</t>
  </si>
  <si>
    <r>
      <t xml:space="preserve">Harnstoff </t>
    </r>
    <r>
      <rPr>
        <sz val="10"/>
        <rFont val="Arial"/>
        <family val="2"/>
      </rPr>
      <t>(Urea 46)</t>
    </r>
  </si>
  <si>
    <t>AHL in kg   (34,3 % je 100 lt)*</t>
  </si>
  <si>
    <t>AHL in kg   aus Bayern</t>
  </si>
  <si>
    <t>SSA</t>
  </si>
  <si>
    <t>Piamon</t>
  </si>
  <si>
    <t>Kalkstickstoff</t>
  </si>
  <si>
    <t>Diammonphosphat</t>
  </si>
  <si>
    <t>Complex grün 20/20</t>
  </si>
  <si>
    <t>Complex grün 26/10</t>
  </si>
  <si>
    <t>DC start</t>
  </si>
  <si>
    <t>DC 37</t>
  </si>
  <si>
    <t>DC (13 / 5 / 15+15 S)</t>
  </si>
  <si>
    <t>DC (15 / 5 / 5+18 S)</t>
  </si>
  <si>
    <r>
      <t>Complex orange</t>
    </r>
    <r>
      <rPr>
        <sz val="10"/>
        <rFont val="Arial"/>
        <family val="2"/>
      </rPr>
      <t xml:space="preserve"> (Linzer Pro)</t>
    </r>
  </si>
  <si>
    <r>
      <t>Complex gelb</t>
    </r>
    <r>
      <rPr>
        <sz val="10"/>
        <rFont val="Arial"/>
        <family val="2"/>
      </rPr>
      <t xml:space="preserve"> (Linzer Star)</t>
    </r>
  </si>
  <si>
    <r>
      <t>Complex blaugrün</t>
    </r>
    <r>
      <rPr>
        <b/>
        <sz val="8"/>
        <rFont val="Arial"/>
        <family val="2"/>
      </rPr>
      <t xml:space="preserve"> </t>
    </r>
    <r>
      <rPr>
        <sz val="8"/>
        <rFont val="Arial"/>
        <family val="2"/>
      </rPr>
      <t>(Linzer Plus)</t>
    </r>
  </si>
  <si>
    <t>Complex blau (15/5/18)</t>
  </si>
  <si>
    <r>
      <t>Complex rot</t>
    </r>
    <r>
      <rPr>
        <sz val="10"/>
        <rFont val="Arial"/>
        <family val="2"/>
      </rPr>
      <t xml:space="preserve"> (Linzer Top)</t>
    </r>
  </si>
  <si>
    <t>Vario 18/11/11</t>
  </si>
  <si>
    <t>Vario 20/7/7</t>
  </si>
  <si>
    <t>Vario 21/7/7</t>
  </si>
  <si>
    <t>Sonstige</t>
  </si>
  <si>
    <r>
      <t>Nährstoffeinsatz aus Mineraldünger in kg</t>
    </r>
    <r>
      <rPr>
        <sz val="12"/>
        <rFont val="Arial"/>
        <family val="2"/>
      </rPr>
      <t xml:space="preserve"> </t>
    </r>
  </si>
  <si>
    <t>Verketten</t>
  </si>
  <si>
    <r>
      <t xml:space="preserve">Menge
</t>
    </r>
    <r>
      <rPr>
        <sz val="10"/>
        <color indexed="8"/>
        <rFont val="Arial"/>
        <family val="2"/>
      </rPr>
      <t>kg od. m³</t>
    </r>
  </si>
  <si>
    <t>N ab
Lager</t>
  </si>
  <si>
    <r>
      <t xml:space="preserve">N -
</t>
    </r>
    <r>
      <rPr>
        <sz val="11"/>
        <color indexed="8"/>
        <rFont val="Arial"/>
        <family val="2"/>
      </rPr>
      <t>feldfall.</t>
    </r>
  </si>
  <si>
    <t>N          P         K 
 jahreswirksam</t>
  </si>
  <si>
    <t>schnell 
wirksam</t>
  </si>
  <si>
    <t>tier
 Anteil</t>
  </si>
  <si>
    <t>Zuord
-nung</t>
  </si>
  <si>
    <t>Tolerenz</t>
  </si>
  <si>
    <t>Achtung!</t>
  </si>
  <si>
    <t xml:space="preserve"> N</t>
  </si>
  <si>
    <t>+10%</t>
  </si>
  <si>
    <t>50 m³</t>
  </si>
  <si>
    <t>schlagend</t>
  </si>
  <si>
    <t>%</t>
  </si>
  <si>
    <t>jahreswirksamm</t>
  </si>
  <si>
    <r>
      <t xml:space="preserve">Düngernährstoffe für die Schlagaufzeichnung </t>
    </r>
    <r>
      <rPr>
        <sz val="11"/>
        <color indexed="8"/>
        <rFont val="Arial"/>
        <family val="2"/>
      </rPr>
      <t>(jahresw.)</t>
    </r>
  </si>
  <si>
    <t>Düngernährstoffe der oben angelegten Dünger</t>
  </si>
  <si>
    <t>% angelegt</t>
  </si>
  <si>
    <t>gerundet</t>
  </si>
  <si>
    <t>Die in den Schlagblättern aufgezeichneten Düngernährstoffe</t>
  </si>
  <si>
    <t>Sie müssen links angelegt werden!</t>
  </si>
  <si>
    <t>Ertrags-lage</t>
  </si>
  <si>
    <t>Summenblatt der aufgezeichneten Dünger</t>
  </si>
  <si>
    <t>Feldstück- (Schlag)
bezeichnung</t>
  </si>
  <si>
    <r>
      <t>Blatt</t>
    </r>
    <r>
      <rPr>
        <b/>
        <sz val="8"/>
        <rFont val="Arial"/>
        <family val="2"/>
      </rPr>
      <t xml:space="preserve"> Nr.</t>
    </r>
  </si>
  <si>
    <t>Neu! Düngeplanung</t>
  </si>
  <si>
    <t>neu - Junghennenaufzucht mit Faktor 1,7</t>
  </si>
  <si>
    <t>Düngewerte für 2015 und 2016</t>
  </si>
  <si>
    <t>Summe 
Zukauf
O164 - P178</t>
  </si>
  <si>
    <r>
      <rPr>
        <sz val="9"/>
        <rFont val="Arial"/>
        <family val="2"/>
      </rPr>
      <t>gekaufte</t>
    </r>
    <r>
      <rPr>
        <b/>
        <sz val="10"/>
        <rFont val="Arial"/>
        <family val="2"/>
      </rPr>
      <t xml:space="preserve">
Menge</t>
    </r>
  </si>
  <si>
    <t>was stimmt?</t>
  </si>
  <si>
    <t>Weizen &lt; 14 % Rohprotein</t>
  </si>
  <si>
    <t>Weizen ≥ 14 % Rohprotein</t>
  </si>
  <si>
    <t>Wechselwiese &lt; 40% Leg. 3 Nutz.</t>
  </si>
  <si>
    <t>Wechselwiese &lt; 40% Leg. 4 Nutz.</t>
  </si>
  <si>
    <t>Wechselwiese &lt; 40% Leg. 5 Nutz.</t>
  </si>
  <si>
    <t>Wechselwiese &lt; 40% Leg. 6 Nutz.</t>
  </si>
  <si>
    <t>Wechselwiese  40 - 60% Leg. 3 Nutz.</t>
  </si>
  <si>
    <t>Wechselwiese  40 - 60% Leg. 4 Nutz.</t>
  </si>
  <si>
    <t>Wechselwiese  40 - 60% Leg. 5 Nutz.</t>
  </si>
  <si>
    <t>Wechselwiese  40 - 60% Leg. 6 Nutz.</t>
  </si>
  <si>
    <t>Kleegras (&gt; 60% Klee)   2 Nutz.</t>
  </si>
  <si>
    <t>Kleegras (&gt; 60% Klee)   3 Nutz.</t>
  </si>
  <si>
    <t>Kleegras (&gt; 60% Klee)   4 Nutz.</t>
  </si>
  <si>
    <t>Kleegras (&gt; 60% Klee)   5 Nutz.</t>
  </si>
  <si>
    <t>Kleegras (&gt; 60% Klee)   6 Nutz.</t>
  </si>
  <si>
    <t>Klee u. Luzerne  2 Nutzungen</t>
  </si>
  <si>
    <t>Klee u. Luzerne  3 Nutzungen</t>
  </si>
  <si>
    <t>Klee u. Luzerne  4 Nutzungen</t>
  </si>
  <si>
    <t>Klee u. Luzerne  5 Nutzungen</t>
  </si>
  <si>
    <t>Futter/ Energiegras &gt; 90% Gras  6 Nutz.</t>
  </si>
  <si>
    <t>Futter/ Energiegras &gt; 90% Gras  3 Nutz.</t>
  </si>
  <si>
    <t>Futter/ Energiegras &gt; 90% Gras  4 Nutz.</t>
  </si>
  <si>
    <t>Futter/ Energiegras &gt; 90% Gras  5 Nutz.</t>
  </si>
  <si>
    <t>Neue Düngewerte aus SGD 7. Auflage</t>
  </si>
  <si>
    <t>Es wurden ungültige Werte eingegeben, wie zB. 10 Stück, Hektar, Kilogramm usw.  
Excel kann nur mit Zahlen rechnen, nicht aber mit Wörtern wie Stück usw. 
Es dürfen nur  Zahlen bei Mengenangaben eingegeben werden! Wird statt 
einem Komma ein Punkt geschrieben, wird aus dieser Zahl ein Datum!</t>
  </si>
  <si>
    <r>
      <rPr>
        <b/>
        <sz val="14"/>
        <rFont val="Arial"/>
        <family val="2"/>
      </rPr>
      <t xml:space="preserve">Störungen durch Verschieben von Zellen können nur mit dem 
Bearbeitungs-Befehl  "Rückgängig" korrigiert werden!  </t>
    </r>
    <r>
      <rPr>
        <b/>
        <sz val="12"/>
        <rFont val="Arial"/>
        <family val="2"/>
      </rPr>
      <t xml:space="preserve">
</t>
    </r>
    <r>
      <rPr>
        <sz val="12"/>
        <rFont val="Arial"/>
        <family val="2"/>
      </rPr>
      <t>Sobald gespeichert wurde, ist die Datei nicht mehr korrigierbar und muss neu 
angelegt werden. Machen Sie daher gelegentlich Sicherungskopien von 
ihrer Datei. 
Tauchen in Berechnungsfeldern Fehlerzeichen, wie #NV (= nicht vorhanden) auf, 
kann die Ursache im Fehlen oder Änderungen von Grunddaten liegen. 
Wählen Sie die zugrunde liegenden Kulturen, Dünger etc. noch einmal neu aus 
und der Fehler wird meist wieder  behoben sein.</t>
    </r>
  </si>
  <si>
    <t>Wintermenggetreide Ertragslagen</t>
  </si>
  <si>
    <t>SVERWEIS IN Tab1 erweitert</t>
  </si>
  <si>
    <t>Dieses Excel-Programm berechnet den gesamtbetrieblichen Nährstoffanfall 
und stellt diesen dem Stickstoff- und Phosphorbedarf gegenüber. 
Dies ist im Aktionsprogramm Nitrat ab 2015 für alle landwirtschaftlichen Betriebe 
vorgeschrieben - Ausnahmen siehe nächste Seite.</t>
  </si>
  <si>
    <t>Die Zellen in dieser Excel-Datei sind bis auf die hell-gelben und grünen Zellen gesperrt, 
damit Daten, Berechnungsformeln und Verknüpfungen geschützt sind.  Achtung - auch 
das Verschieben von Zellen führt zu Störungen. Die Durchrechnung wird in so einem Fall 
unmöglich und es taucht überall das Fehlerzeichen " # Bezug! " auf!</t>
  </si>
  <si>
    <t>Es wird zum Gebrauch dieses Programmes kein Passwort oder Kennwort benötigt. 
Sollten sich keine Eingaben machen lassen und ein Kennwort verlangt werden, 
ist die Datei vielleicht schreibgeschützt oder es sind mehrere Tabellenblätter markiert. 
Nach dem Aufheben des Schreibschutzes oder der Mehrfach-Markierungen müsste eine Bearbeitung wieder möglich sein.</t>
  </si>
  <si>
    <r>
      <t xml:space="preserve">LK-Düngerrechner </t>
    </r>
    <r>
      <rPr>
        <b/>
        <sz val="18"/>
        <color indexed="9"/>
        <rFont val="Arial"/>
        <family val="2"/>
      </rPr>
      <t>2017</t>
    </r>
    <r>
      <rPr>
        <b/>
        <sz val="20"/>
        <color indexed="9"/>
        <rFont val="Arial"/>
        <family val="2"/>
      </rPr>
      <t xml:space="preserve">
</t>
    </r>
    <r>
      <rPr>
        <sz val="14"/>
        <color indexed="9"/>
        <rFont val="Arial"/>
        <family val="2"/>
      </rPr>
      <t>für</t>
    </r>
    <r>
      <rPr>
        <b/>
        <sz val="14"/>
        <color indexed="9"/>
        <rFont val="Arial"/>
        <family val="2"/>
      </rPr>
      <t xml:space="preserve"> </t>
    </r>
    <r>
      <rPr>
        <sz val="14"/>
        <color indexed="9"/>
        <rFont val="Arial"/>
        <family val="2"/>
      </rPr>
      <t>betriebsbezogene Aufzeichnungen</t>
    </r>
  </si>
  <si>
    <t>System Immergrün neue Berechnung</t>
  </si>
  <si>
    <t>Flächenbezug (GVE/ha und P/ha) korrigiert</t>
  </si>
  <si>
    <t xml:space="preserve"> Weideblatt eingefügt</t>
  </si>
  <si>
    <t>Formatierungen korrigiert (N-Bedarf, Syst. I.)</t>
  </si>
  <si>
    <t>fehlende P-Werte Feldfutter</t>
  </si>
  <si>
    <t>Das LK-Düngeberechnungsprogramm soll nur von Personen verwendet werden, 
die über den aktuellen Stand der Richtlinien geschult sind. 
Die Tabellenblätter sollen bei Kontrollen nur in Papierform vorgelegt werden. 
Falsche Ergebnisse können auch durch fehlerhafte Eingaben auftreten!</t>
  </si>
  <si>
    <t>kleine Fehlerkorrekturen zB N-Bedarf GL etc…</t>
  </si>
  <si>
    <t>Listenfelder  verbessert</t>
  </si>
  <si>
    <t>Düngeplanung Phosphormeldung korrigiert</t>
  </si>
  <si>
    <t>Weideblatt Zellen freigegeben</t>
  </si>
  <si>
    <t>Ergänzungen in der Beschreibung</t>
  </si>
  <si>
    <t>Korrektur bei Zahlen lautt SGD 7</t>
  </si>
  <si>
    <t>Angaben können nur in den gelben Zellen eingetragen werden</t>
  </si>
  <si>
    <t>die grünen Zellen sind Auswahlzellen, Sie können Tiere, Dünger, Kulturen etc. über ein Dropdown-Liste auswählen.</t>
  </si>
  <si>
    <t>Bei Mastschweinen:</t>
  </si>
  <si>
    <t>ist der Jahresdurchschnittstierbestand anzugeben, siehe Tabellenblatt "Schw_Geflügel"</t>
  </si>
  <si>
    <t>oder Durchschnittstierbestand = belegte Stallplätze x Umtriebe x Haltedauer in Tage / 365</t>
  </si>
  <si>
    <t>42 Haltetage pro Umtrieb – 5,0 Umtriebe – (= 210 Belegtage je Platz und Jahr) &gt;&gt; Faktor 1,7 nährstoffbest.</t>
  </si>
  <si>
    <t>https://www.ama.at/Fachliche-Informationen/Oepul/Listen</t>
  </si>
  <si>
    <t>Junghennenaufzucht (bis 6 Wochen)</t>
  </si>
  <si>
    <t xml:space="preserve">Küken u. Junghennen für Legezw. bis 1/2 Jahr - Gülle </t>
  </si>
  <si>
    <t xml:space="preserve">Küken u. Junghennen für Legezw. bis 1/2 Jahr - Tiefstallmist  </t>
  </si>
  <si>
    <t xml:space="preserve">Mastküken und Jungmasthühner - 7 Umtriebe </t>
  </si>
  <si>
    <t>Küken u. Junghennen  - 130 Haltetage pro Umtrieb &gt;&gt; 2,0 Umtriebe</t>
  </si>
  <si>
    <t>Mastküken u. Jungmasthühner - 40 Haltetage pro Umtrieb &gt;&gt; 7,0 Umtriebe &gt;&gt; Faktor 1,3 nährstoffbest.</t>
  </si>
  <si>
    <t>Bio VO</t>
  </si>
  <si>
    <t>Stück</t>
  </si>
  <si>
    <t>muss 0 oder negativ sein</t>
  </si>
  <si>
    <t>N-feld-fallend je ha</t>
  </si>
  <si>
    <t>WRG-Grenzen beachten</t>
  </si>
  <si>
    <t>Nährstoffe aus Mineraldünger</t>
  </si>
  <si>
    <t>Version vom 05. Oktober 2017</t>
  </si>
  <si>
    <t>Aktive Dünger sind rot gefärbt, 
diese links in die grüne Spalte übertragen!</t>
  </si>
  <si>
    <t>Neues Aussehen, überarbeitete Düngetabellen</t>
  </si>
  <si>
    <t xml:space="preserve">Betriebs-Nr.: </t>
  </si>
  <si>
    <t>Durum - Hartweizen</t>
  </si>
  <si>
    <t>Dinkel (Spelzenanteil ca. 30 %)</t>
  </si>
  <si>
    <t>Triticale</t>
  </si>
  <si>
    <t>Roggen</t>
  </si>
  <si>
    <t xml:space="preserve">Hafer </t>
  </si>
  <si>
    <t>Sommerbraugerste</t>
  </si>
  <si>
    <t>Silomais</t>
  </si>
  <si>
    <t>Winterraps</t>
  </si>
  <si>
    <t>Ackerbohnen</t>
  </si>
  <si>
    <t>Futterrüben (Runkel-, Kohlrüben)</t>
  </si>
  <si>
    <t xml:space="preserve">Zuckerrübe </t>
  </si>
  <si>
    <t>Frühkartoffeln, Saatkartoffeln</t>
  </si>
  <si>
    <t xml:space="preserve">Speise- und Industriekartoffeln </t>
  </si>
  <si>
    <t>Zwischenfrucht (futter) mit Leguminosen</t>
  </si>
  <si>
    <t>Zwischenfrucht (futter) ohne Leguminosen</t>
  </si>
  <si>
    <t>Sonstiges Feldfutter 3 Nutz. &lt; 40 % Leg.</t>
  </si>
  <si>
    <t>Sonstiges Feldfutter 4 Nutz. &lt; 40 % Leg.</t>
  </si>
  <si>
    <t>Sonstiges Feldfutter 5 Nutz. &lt; 40 % Leg.</t>
  </si>
  <si>
    <t>Sonst. Feldfutter 3 Nutzungen &gt;40 % Leg.</t>
  </si>
  <si>
    <t>Sonst. Feldfutter 4 Nutzungen &gt;40 % Leg.</t>
  </si>
  <si>
    <t>Sonst. Feldfutter 5 Nutzungen &gt;40 % Leg.</t>
  </si>
  <si>
    <t>Dauerweide</t>
  </si>
  <si>
    <t>Hutweide mit Düngung</t>
  </si>
  <si>
    <r>
      <t>Grünland (</t>
    </r>
    <r>
      <rPr>
        <b/>
        <u/>
        <sz val="10"/>
        <rFont val="Arial"/>
        <family val="2"/>
      </rPr>
      <t>von</t>
    </r>
    <r>
      <rPr>
        <b/>
        <sz val="10"/>
        <rFont val="Arial"/>
        <family val="2"/>
      </rPr>
      <t xml:space="preserve"> - bis)</t>
    </r>
  </si>
  <si>
    <t>Grünland  1 Nutzung</t>
  </si>
  <si>
    <t>Grünland  2 Nutzungen</t>
  </si>
  <si>
    <t>Ackernutzung</t>
  </si>
  <si>
    <t>Liste_GL_Kulturen</t>
  </si>
  <si>
    <t>GL Nutzungsform</t>
  </si>
  <si>
    <t>Nutzungszeitpunkt</t>
  </si>
  <si>
    <t>Ende Schossen</t>
  </si>
  <si>
    <t>Beginn Ähren-/ Rispenschieben</t>
  </si>
  <si>
    <t>Beginn Blüte</t>
  </si>
  <si>
    <t>Mitte Blüte</t>
  </si>
  <si>
    <t>Ende Blüte</t>
  </si>
  <si>
    <t>Überständig</t>
  </si>
  <si>
    <t>Schossen</t>
  </si>
  <si>
    <t>Ähren-/ Rispenschieben</t>
  </si>
  <si>
    <t>GL kleebetont 3 Nutz.</t>
  </si>
  <si>
    <t>GL gräserbetont 3 Nutz.</t>
  </si>
  <si>
    <t>Liste_GL_von</t>
  </si>
  <si>
    <t>N-Bedarf
von</t>
  </si>
  <si>
    <t>Obergrenze
bis</t>
  </si>
  <si>
    <t>Herbst</t>
  </si>
  <si>
    <t>Hof-entfernung</t>
  </si>
  <si>
    <t>bis 2,5 km</t>
  </si>
  <si>
    <t>normal</t>
  </si>
  <si>
    <t>2,5 - 5,0 km</t>
  </si>
  <si>
    <t>ungünstig</t>
  </si>
  <si>
    <t>über 10 km</t>
  </si>
  <si>
    <t>Grünland 1</t>
  </si>
  <si>
    <t>vor 1.</t>
  </si>
  <si>
    <t>vor 2.</t>
  </si>
  <si>
    <t>vor 3.</t>
  </si>
  <si>
    <t>vor 4.</t>
  </si>
  <si>
    <t>vor 5.</t>
  </si>
  <si>
    <t>Ertragslage:</t>
  </si>
  <si>
    <t>Düngung</t>
  </si>
  <si>
    <t>übliche Bewirtschaftung</t>
  </si>
  <si>
    <t>Frühjahr</t>
  </si>
  <si>
    <t>nach 1. Schnitt</t>
  </si>
  <si>
    <t>nach 2. Schnitt</t>
  </si>
  <si>
    <t>nach 3. Schnitt</t>
  </si>
  <si>
    <t>nach 4. Schnitt</t>
  </si>
  <si>
    <t>N je ha</t>
  </si>
  <si>
    <t>Ampel</t>
  </si>
  <si>
    <t xml:space="preserve"> Feldstück teilen:</t>
  </si>
  <si>
    <t>neue Nutzung</t>
  </si>
  <si>
    <t>Liste_Nutzung</t>
  </si>
  <si>
    <t>unverändert</t>
  </si>
  <si>
    <t>Düngung erhöhen</t>
  </si>
  <si>
    <t>Schnittzahl reduzieren</t>
  </si>
  <si>
    <t>Düngung reduzieren</t>
  </si>
  <si>
    <t>1. Gabe</t>
  </si>
  <si>
    <t>2. Gabe</t>
  </si>
  <si>
    <t>3. Gabe</t>
  </si>
  <si>
    <t>sonstige D.</t>
  </si>
  <si>
    <t>Acker 1</t>
  </si>
  <si>
    <t>Acker 2</t>
  </si>
  <si>
    <t>Acker 3</t>
  </si>
  <si>
    <t>Acker 4</t>
  </si>
  <si>
    <t>Acker 5</t>
  </si>
  <si>
    <t>Acker 6</t>
  </si>
  <si>
    <t>Acker 7</t>
  </si>
  <si>
    <t>Acker 8</t>
  </si>
  <si>
    <t>Acker 9</t>
  </si>
  <si>
    <t>Acker 10</t>
  </si>
  <si>
    <t>Sonst D.</t>
  </si>
  <si>
    <t>Summe Acker</t>
  </si>
  <si>
    <t>Summe GL</t>
  </si>
  <si>
    <t>Mengen</t>
  </si>
  <si>
    <t>in kg, t 
oder m³</t>
  </si>
  <si>
    <t>je ha</t>
  </si>
  <si>
    <t>4. Gabe</t>
  </si>
  <si>
    <t>5. Gabe</t>
  </si>
  <si>
    <t>6. Gabe</t>
  </si>
  <si>
    <t>7. Gabe</t>
  </si>
  <si>
    <t>8. Gabe</t>
  </si>
  <si>
    <t>9. Gabe</t>
  </si>
  <si>
    <t>10. Gabe</t>
  </si>
  <si>
    <t>11. Gabe</t>
  </si>
  <si>
    <t>12. Gabe</t>
  </si>
  <si>
    <t>13. Gabe</t>
  </si>
  <si>
    <t>14. Gabe</t>
  </si>
  <si>
    <t>15. Gabe</t>
  </si>
  <si>
    <t>16. Gabe</t>
  </si>
  <si>
    <t>17. Gabe</t>
  </si>
  <si>
    <t>18. Gabe</t>
  </si>
  <si>
    <t>19. Gabe</t>
  </si>
  <si>
    <t>20. Gabe</t>
  </si>
  <si>
    <t>21. Gabe</t>
  </si>
  <si>
    <t>22. Gabe</t>
  </si>
  <si>
    <t>23. Gabe</t>
  </si>
  <si>
    <t>24. Gabe</t>
  </si>
  <si>
    <t>Summe:</t>
  </si>
  <si>
    <t>Schläge</t>
  </si>
  <si>
    <t>vor 1</t>
  </si>
  <si>
    <t>vor 2</t>
  </si>
  <si>
    <t>vor 3</t>
  </si>
  <si>
    <t>vor 4</t>
  </si>
  <si>
    <t>vor 5</t>
  </si>
  <si>
    <t>S_1</t>
  </si>
  <si>
    <t>S_2</t>
  </si>
  <si>
    <t>S_3</t>
  </si>
  <si>
    <t>S_4</t>
  </si>
  <si>
    <t>S_5</t>
  </si>
  <si>
    <t>S_6</t>
  </si>
  <si>
    <t>S_7</t>
  </si>
  <si>
    <t>S_8</t>
  </si>
  <si>
    <t>S_9</t>
  </si>
  <si>
    <t>S_10</t>
  </si>
  <si>
    <t>S_11</t>
  </si>
  <si>
    <t>S_12</t>
  </si>
  <si>
    <t>S_13</t>
  </si>
  <si>
    <t>S_14</t>
  </si>
  <si>
    <t>S_15</t>
  </si>
  <si>
    <t>S_16</t>
  </si>
  <si>
    <t>S_17</t>
  </si>
  <si>
    <t>S_18</t>
  </si>
  <si>
    <t>S_19</t>
  </si>
  <si>
    <t>S_20</t>
  </si>
  <si>
    <t>S_21</t>
  </si>
  <si>
    <t>S_22</t>
  </si>
  <si>
    <t>S_23</t>
  </si>
  <si>
    <t>S_24</t>
  </si>
  <si>
    <t>S_25</t>
  </si>
  <si>
    <t>S_26</t>
  </si>
  <si>
    <t>S_27</t>
  </si>
  <si>
    <t>S_28</t>
  </si>
  <si>
    <t>S_29</t>
  </si>
  <si>
    <t>S_30</t>
  </si>
  <si>
    <t>meine Dünger</t>
  </si>
  <si>
    <t>Menge GL</t>
  </si>
  <si>
    <t>J</t>
  </si>
  <si>
    <t>V</t>
  </si>
  <si>
    <t>AB</t>
  </si>
  <si>
    <t>AH</t>
  </si>
  <si>
    <t>AN</t>
  </si>
  <si>
    <t>AT</t>
  </si>
  <si>
    <t>AZ</t>
  </si>
  <si>
    <t>BF</t>
  </si>
  <si>
    <t>BL</t>
  </si>
  <si>
    <t>BR</t>
  </si>
  <si>
    <t>BX</t>
  </si>
  <si>
    <t>CD</t>
  </si>
  <si>
    <t>noch nicht verplant</t>
  </si>
  <si>
    <t>Liste_Zeitpunkt</t>
  </si>
  <si>
    <t>FJ</t>
  </si>
  <si>
    <t>nach 1</t>
  </si>
  <si>
    <t>nach 2</t>
  </si>
  <si>
    <t>nach 3</t>
  </si>
  <si>
    <t>nach 4</t>
  </si>
  <si>
    <t>Teilschlag 1</t>
  </si>
  <si>
    <t>Teilschlag 2</t>
  </si>
  <si>
    <t>Teilschlag 3</t>
  </si>
  <si>
    <t>Teil 1</t>
  </si>
  <si>
    <t>Teil 2</t>
  </si>
  <si>
    <t>Teil 3</t>
  </si>
  <si>
    <t>abgestuft</t>
  </si>
  <si>
    <t>N je Ha</t>
  </si>
  <si>
    <t>Düngermengen auf den einzelnen Schlägen</t>
  </si>
  <si>
    <r>
      <t>N</t>
    </r>
    <r>
      <rPr>
        <b/>
        <vertAlign val="subscript"/>
        <sz val="12"/>
        <color indexed="18"/>
        <rFont val="Arial"/>
        <family val="2"/>
      </rPr>
      <t>jahresw</t>
    </r>
    <r>
      <rPr>
        <b/>
        <sz val="12"/>
        <color indexed="18"/>
        <rFont val="Arial"/>
        <family val="2"/>
      </rPr>
      <t>. je Dünger</t>
    </r>
  </si>
  <si>
    <t>Mengen ja Schlag</t>
  </si>
  <si>
    <t>ursprünglivh</t>
  </si>
  <si>
    <t>Düngermengendifferenz abgestuft</t>
  </si>
  <si>
    <t>Dungermengen Planung abgestuft</t>
  </si>
  <si>
    <t>Summe
abgestuft</t>
  </si>
  <si>
    <r>
      <rPr>
        <b/>
        <sz val="9"/>
        <rFont val="Arial"/>
        <family val="2"/>
      </rPr>
      <t>Summen</t>
    </r>
    <r>
      <rPr>
        <sz val="9"/>
        <rFont val="Arial"/>
        <family val="2"/>
      </rPr>
      <t xml:space="preserve">
ursprüngl.</t>
    </r>
  </si>
  <si>
    <t>verplante Düngemengen</t>
  </si>
  <si>
    <r>
      <rPr>
        <b/>
        <sz val="9"/>
        <rFont val="Arial"/>
        <family val="2"/>
      </rPr>
      <t>Saldo</t>
    </r>
    <r>
      <rPr>
        <sz val="9"/>
        <rFont val="Arial"/>
        <family val="2"/>
      </rPr>
      <t xml:space="preserve">
ursprüngl.</t>
    </r>
  </si>
  <si>
    <r>
      <t xml:space="preserve">Saldo 
</t>
    </r>
    <r>
      <rPr>
        <sz val="9"/>
        <rFont val="Arial"/>
        <family val="2"/>
      </rPr>
      <t>abgestuft</t>
    </r>
  </si>
  <si>
    <r>
      <t xml:space="preserve">Summe 
</t>
    </r>
    <r>
      <rPr>
        <sz val="9"/>
        <rFont val="Arial"/>
        <family val="2"/>
      </rPr>
      <t>abgestuft</t>
    </r>
  </si>
  <si>
    <t xml:space="preserve"> urspr.</t>
  </si>
  <si>
    <t>Düngerart</t>
  </si>
  <si>
    <r>
      <rPr>
        <b/>
        <sz val="14"/>
        <rFont val="Arial"/>
        <family val="2"/>
      </rPr>
      <t>N</t>
    </r>
    <r>
      <rPr>
        <sz val="12"/>
        <rFont val="Arial"/>
        <family val="2"/>
      </rPr>
      <t xml:space="preserve"> jw</t>
    </r>
  </si>
  <si>
    <r>
      <rPr>
        <b/>
        <sz val="14"/>
        <color theme="0"/>
        <rFont val="Arial"/>
        <family val="2"/>
      </rPr>
      <t>Düngermengen</t>
    </r>
    <r>
      <rPr>
        <b/>
        <sz val="12"/>
        <color theme="0"/>
        <rFont val="Arial"/>
        <family val="2"/>
      </rPr>
      <t xml:space="preserve"> am Lager lt. Planung</t>
    </r>
  </si>
  <si>
    <t>Fläche:</t>
  </si>
  <si>
    <t>Grünland 2</t>
  </si>
  <si>
    <t>Ober-grenz</t>
  </si>
  <si>
    <t>Abschluß</t>
  </si>
  <si>
    <t>PLANUNGS-TOOL</t>
  </si>
  <si>
    <t>N-Saldo nach Nutzungsintensität am Grünland</t>
  </si>
  <si>
    <t>Planung</t>
  </si>
  <si>
    <t>ha 
Grünland</t>
  </si>
  <si>
    <t>Hilfs-
tabelle</t>
  </si>
  <si>
    <t xml:space="preserve">Nutzung </t>
  </si>
  <si>
    <t>N-Düngung
BEDARF gesamt</t>
  </si>
  <si>
    <t>N-Düngung
IST/ha</t>
  </si>
  <si>
    <t>1 Schnitt</t>
  </si>
  <si>
    <t>2 Schnitte</t>
  </si>
  <si>
    <t>3 Schnitte</t>
  </si>
  <si>
    <t>4 Schnitte</t>
  </si>
  <si>
    <t>5 Schnitte</t>
  </si>
  <si>
    <t>6 Schnitte</t>
  </si>
  <si>
    <t>Mähweide</t>
  </si>
  <si>
    <t>Hutweide</t>
  </si>
  <si>
    <t>IST</t>
  </si>
  <si>
    <t>Saldo N 
in kg/ha Grünland</t>
  </si>
  <si>
    <t>NEU</t>
  </si>
  <si>
    <t>Bedarf kg TM</t>
  </si>
  <si>
    <t>XF-reiches Grundfutter</t>
  </si>
  <si>
    <t>Hochwertiges Grundfutter</t>
  </si>
  <si>
    <t>GL 4 Nutzungen</t>
  </si>
  <si>
    <t>GL 5 Nutzungen</t>
  </si>
  <si>
    <t>GL 6 Nutzungen</t>
  </si>
  <si>
    <t>Dauer weide</t>
  </si>
  <si>
    <t>Hu-tweide</t>
  </si>
  <si>
    <t>Mäh-weide</t>
  </si>
  <si>
    <t>N-Bedarf</t>
  </si>
  <si>
    <t>N-Düngung
BEDARF 
je ha</t>
  </si>
  <si>
    <t>Grünland  3 Nutzungen</t>
  </si>
  <si>
    <t>Schnitte
neu</t>
  </si>
  <si>
    <t>Bedarf
mittel</t>
  </si>
  <si>
    <t>Hutweide zusätzl. Düngung</t>
  </si>
  <si>
    <t>Abweichung</t>
  </si>
  <si>
    <t>Schnittnutzung ursprünglich</t>
  </si>
  <si>
    <t>Änderung</t>
  </si>
  <si>
    <t>Schnittnutzung geändert</t>
  </si>
  <si>
    <t>Änderung zum Ist-Stand</t>
  </si>
  <si>
    <t>Abweichung von Planung</t>
  </si>
  <si>
    <t>Planung - Differenzierung</t>
  </si>
  <si>
    <t>Ziel</t>
  </si>
  <si>
    <t>Nutzung:</t>
  </si>
  <si>
    <r>
      <rPr>
        <b/>
        <sz val="11"/>
        <rFont val="Arial"/>
        <family val="2"/>
      </rPr>
      <t xml:space="preserve">bis </t>
    </r>
    <r>
      <rPr>
        <sz val="10"/>
        <rFont val="Arial"/>
        <family val="2"/>
      </rPr>
      <t>(Obergrenze)</t>
    </r>
  </si>
  <si>
    <t>Nutzungszeitpunkt:</t>
  </si>
  <si>
    <t>Differenzierung der Bewirtschaftung</t>
  </si>
  <si>
    <t>Differenzierung der Nutzung</t>
  </si>
  <si>
    <t>Grünland 3</t>
  </si>
  <si>
    <t>kg N je Feldst.</t>
  </si>
  <si>
    <t>N-Düngung
IST/gesamt</t>
  </si>
  <si>
    <t>Bedarf je Feldst.</t>
  </si>
  <si>
    <t xml:space="preserve">Datenerfassung - GRÜNLAND     </t>
  </si>
  <si>
    <t>Kälber u. JR &lt;1/2 Jahr - G</t>
  </si>
  <si>
    <t>Kälber u. JR &lt;1/2 Jahr - 
Mist/Jauche</t>
  </si>
  <si>
    <t>Kälber u. JR &lt;1/2 Jahr - 
Mist</t>
  </si>
  <si>
    <t>Jungvieh 1/2 bis 1 Jahr - G</t>
  </si>
  <si>
    <t>Jungvieh 1/2 bis 1 Jahr - 
Mist/Jauche</t>
  </si>
  <si>
    <t>Jungvieh 1/2 bis 1 Jahr - 
Mist</t>
  </si>
  <si>
    <t xml:space="preserve">Jungvieh 1 bis 2 Jahre - G </t>
  </si>
  <si>
    <t xml:space="preserve">Jungvieh 1 bis 2 Jahre - 
Mist/Jauche </t>
  </si>
  <si>
    <t xml:space="preserve">Jungvieh 1 bis 2 Jahre - 
Mist </t>
  </si>
  <si>
    <t>Ochsen, Stiere - G</t>
  </si>
  <si>
    <t>Ochsen, Stiere - 
Mist</t>
  </si>
  <si>
    <t>Kalbinnen - G</t>
  </si>
  <si>
    <t>Kalbinnen - 
Mist/Jauche</t>
  </si>
  <si>
    <t>Kalbinnen - 
Mist</t>
  </si>
  <si>
    <t>MV/Muku (3000 kg) - G</t>
  </si>
  <si>
    <t>MV/Muku (3000 kg) - 
Mist/Jauche</t>
  </si>
  <si>
    <t>MV/Muku (3000 kg) - 
Mist</t>
  </si>
  <si>
    <t>MV/Muku (4000) - G</t>
  </si>
  <si>
    <t>MV/Muku (4000) - 
Mist/Jauche</t>
  </si>
  <si>
    <t>MV/Muku (4000) - 
Mist</t>
  </si>
  <si>
    <t>Milchkühe (5000) - 
Gülle</t>
  </si>
  <si>
    <t>Milchkühe (5000) - 
Mist/Jauche</t>
  </si>
  <si>
    <t>Milchkühe (5000) - 
Mist</t>
  </si>
  <si>
    <t>Milchkühe (6000) - 
Gülle</t>
  </si>
  <si>
    <t>Milchkühe (6000) - 
Mist/Jauche</t>
  </si>
  <si>
    <t>Milchkühe (6000) - 
Mist</t>
  </si>
  <si>
    <t>Milchkühe (7000) - 
Gülle</t>
  </si>
  <si>
    <t>Milchkühe (7000) - 
Mist/Jauche</t>
  </si>
  <si>
    <t>Milchkühe (7000) - 
Mist</t>
  </si>
  <si>
    <t>Milchkühe (8000) - 
Gülle</t>
  </si>
  <si>
    <t>Milchkühe (8000) - 
Mist/Jauche</t>
  </si>
  <si>
    <t>Milchkühe (8000) - 
Mist</t>
  </si>
  <si>
    <t>Milchkühe (9000) - 
Gülle</t>
  </si>
  <si>
    <t>Milchkühe (9000) - 
Mist/Jauch</t>
  </si>
  <si>
    <t>Milchkühe (9000) - 
Mist</t>
  </si>
  <si>
    <t>Milchkühe (&lt; 10.000) - 
Gülle</t>
  </si>
  <si>
    <t>Milchkühe (&lt; 10.000) - 
Mist/Jauche</t>
  </si>
  <si>
    <t>Milchkühe (&lt; 10.000) - 
Mist</t>
  </si>
  <si>
    <t>Nutzung und Ertragslage der Feldstücke</t>
  </si>
  <si>
    <t>Feldstück 
Kennzeichnung</t>
  </si>
  <si>
    <t>TM Ertrag</t>
  </si>
  <si>
    <t>Grundfutter-Aufnahme 
in kg/Tag</t>
  </si>
  <si>
    <t>jährl. Futter-bedarf gesamt 
(in kg TM)</t>
  </si>
  <si>
    <t>Rationszusammensetzung</t>
  </si>
  <si>
    <t xml:space="preserve">jährl. Futterbedarf nach Qualitäten  </t>
  </si>
  <si>
    <t>je Feldstück in kg</t>
  </si>
  <si>
    <t xml:space="preserve">Anzahl </t>
  </si>
  <si>
    <t xml:space="preserve">Hochwertiges Grundfutter </t>
  </si>
  <si>
    <t>Kälber und Jungrinder unter 1/2 Jahr</t>
  </si>
  <si>
    <t>Jungvieh 1/2 bis 1 Jahr</t>
  </si>
  <si>
    <t>Jungvieh 1 bis 2 Jahre</t>
  </si>
  <si>
    <t>Ochsen/Stiere</t>
  </si>
  <si>
    <t>Kalbinnen</t>
  </si>
  <si>
    <t>Milch- bzw. Mutterkühe (3000 kg Milch)</t>
  </si>
  <si>
    <t>Milch- bzw. Mutterkühe (4000 kg Milch)</t>
  </si>
  <si>
    <t>Milchkühe (5000 kg Milch)</t>
  </si>
  <si>
    <t>Milchkühe (6000 kg Milch)</t>
  </si>
  <si>
    <t>Milchkühe (7000 kg Milch)</t>
  </si>
  <si>
    <t>Milchkühe (8000 kg Milch)</t>
  </si>
  <si>
    <t>Milchkühe (9000 kg Milch)</t>
  </si>
  <si>
    <t>Milchkühe (&lt; 10.000 kg Milch)</t>
  </si>
  <si>
    <t>Trockensteher</t>
  </si>
  <si>
    <t>Gesamt Kühe</t>
  </si>
  <si>
    <t>Summe Futterertrag in kg TM:</t>
  </si>
  <si>
    <t>Schätzung der Futteraufname bei der Milchkuh</t>
  </si>
  <si>
    <t>Bedarf für Milchviehherde plus Nachzucht:</t>
  </si>
  <si>
    <t>Laktation (kg Milch)</t>
  </si>
  <si>
    <t>GF-Auf-nahme (kg)</t>
  </si>
  <si>
    <t>DLG Info 1/2006 (bei 6,2 MJ NEL/kg TM im GF)</t>
  </si>
  <si>
    <t>1. Drittel</t>
  </si>
  <si>
    <t>2. Drittel</t>
  </si>
  <si>
    <t>3. Drittel</t>
  </si>
  <si>
    <t>1. Lakt.drittel</t>
  </si>
  <si>
    <t>2. Lakt.drittel</t>
  </si>
  <si>
    <t>3. Lakt.drittel</t>
  </si>
  <si>
    <t>kg Milch</t>
  </si>
  <si>
    <t>GF-Aufn in kg</t>
  </si>
  <si>
    <t>1 Sch.</t>
  </si>
  <si>
    <t>2 Sch.</t>
  </si>
  <si>
    <t>3 kb</t>
  </si>
  <si>
    <t>E. Blüte</t>
  </si>
  <si>
    <t>Überst.</t>
  </si>
  <si>
    <t>3  gb</t>
  </si>
  <si>
    <t>Mi. Blüte</t>
  </si>
  <si>
    <t>Mähw.</t>
  </si>
  <si>
    <t>Dauerw.</t>
  </si>
  <si>
    <t>Hutw</t>
  </si>
  <si>
    <t>Summe gutes GF</t>
  </si>
  <si>
    <t>TM Ertrag in kg TM</t>
  </si>
  <si>
    <t>je Feldstück</t>
  </si>
  <si>
    <t>XF-reiches GF</t>
  </si>
  <si>
    <t>hochwertiges GF</t>
  </si>
  <si>
    <t>hochwertiges GF = ab 3. Schnitt (außer 3. Schnitt ab Ende Blüte und 4. Schnitt ab Mitte Blüte)</t>
  </si>
  <si>
    <t>Ertragswerte GL</t>
  </si>
  <si>
    <t>Bedarfswerte kg N/ha</t>
  </si>
  <si>
    <t>-----</t>
  </si>
  <si>
    <t>MJ NEL</t>
  </si>
  <si>
    <t>kons. Art</t>
  </si>
  <si>
    <t>Heu</t>
  </si>
  <si>
    <t>Silage</t>
  </si>
  <si>
    <t>Ähren-/Rispenschieben</t>
  </si>
  <si>
    <t>Weide</t>
  </si>
  <si>
    <t>N Gehalt in XP</t>
  </si>
  <si>
    <t>Rohproteingehalt in %</t>
  </si>
  <si>
    <t>g N in 1000g Futter</t>
  </si>
  <si>
    <t>XF-reich = 1.+2. Schnitt und 3 Schnitt ab Ende Blüte und 4. Schnitt  ab Mitte Blüte</t>
  </si>
  <si>
    <t xml:space="preserve"> Düngung bisher</t>
  </si>
  <si>
    <t>Änderung der Bewirtschaftung</t>
  </si>
  <si>
    <t>Keine Bewirtschaftungsänderung - Weiter zum nächsten Feldstück</t>
  </si>
  <si>
    <t>Teil.st. 2</t>
  </si>
  <si>
    <t>Maßnahme setzen</t>
  </si>
  <si>
    <t>Nutzungsintensität u Düngung erhöhen</t>
  </si>
  <si>
    <t>Nutzungsintensität u Düngung reduzieren</t>
  </si>
  <si>
    <t>Hilfszelle</t>
  </si>
  <si>
    <t>N-Bedarf mittel/ha</t>
  </si>
  <si>
    <t>Teil.st. 1</t>
  </si>
  <si>
    <t>Grünland 4</t>
  </si>
  <si>
    <t>Grünland 5</t>
  </si>
  <si>
    <t>Grünland 6</t>
  </si>
  <si>
    <t>Grünland 7</t>
  </si>
  <si>
    <t>Anzahl Nutzungen</t>
  </si>
  <si>
    <t>Summe Änderung</t>
  </si>
  <si>
    <t>ursprünglich</t>
  </si>
  <si>
    <t>Grünland 8</t>
  </si>
  <si>
    <t>Grünland 9</t>
  </si>
  <si>
    <t>Grünland 10</t>
  </si>
  <si>
    <t>Teilnahme am ÖPUL 2015</t>
  </si>
  <si>
    <t>Teilnahme Maßnahme Bio</t>
  </si>
  <si>
    <t>Die AMA hat auf www.ama.at ein Formular zur Berechnung des durchschnittlichen Tierbestandes zur Verfügung gestellt.</t>
  </si>
  <si>
    <r>
      <t xml:space="preserve">Wirtschaftsdünger           
Verkauf </t>
    </r>
    <r>
      <rPr>
        <b/>
        <sz val="14"/>
        <rFont val="Arial"/>
        <family val="2"/>
      </rPr>
      <t>*</t>
    </r>
  </si>
  <si>
    <r>
      <t xml:space="preserve">Menge N 
</t>
    </r>
    <r>
      <rPr>
        <b/>
        <sz val="9"/>
        <rFont val="Arial"/>
        <family val="2"/>
      </rPr>
      <t>ab Lager</t>
    </r>
  </si>
  <si>
    <r>
      <t xml:space="preserve">Menge 
</t>
    </r>
    <r>
      <rPr>
        <b/>
        <sz val="9"/>
        <rFont val="Arial"/>
        <family val="2"/>
      </rPr>
      <t>N jw</t>
    </r>
  </si>
  <si>
    <r>
      <t>Menge
P</t>
    </r>
    <r>
      <rPr>
        <b/>
        <vertAlign val="subscript"/>
        <sz val="8"/>
        <rFont val="Arial"/>
        <family val="2"/>
      </rPr>
      <t>2</t>
    </r>
    <r>
      <rPr>
        <b/>
        <sz val="8"/>
        <rFont val="Arial"/>
        <family val="2"/>
      </rPr>
      <t>O</t>
    </r>
    <r>
      <rPr>
        <b/>
        <vertAlign val="subscript"/>
        <sz val="8"/>
        <rFont val="Arial"/>
        <family val="2"/>
      </rPr>
      <t xml:space="preserve">5 </t>
    </r>
  </si>
  <si>
    <r>
      <t>Menge
K</t>
    </r>
    <r>
      <rPr>
        <b/>
        <vertAlign val="subscript"/>
        <sz val="8"/>
        <rFont val="Arial"/>
        <family val="2"/>
      </rPr>
      <t>2</t>
    </r>
    <r>
      <rPr>
        <b/>
        <sz val="8"/>
        <rFont val="Arial"/>
        <family val="2"/>
      </rPr>
      <t>O</t>
    </r>
  </si>
  <si>
    <t>wirksam</t>
  </si>
  <si>
    <r>
      <t>wie Schweinegülle, weil  NH</t>
    </r>
    <r>
      <rPr>
        <vertAlign val="subscript"/>
        <sz val="14"/>
        <color indexed="10"/>
        <rFont val="Arial"/>
        <family val="2"/>
      </rPr>
      <t>4</t>
    </r>
    <r>
      <rPr>
        <sz val="10"/>
        <color indexed="10"/>
        <rFont val="Arial"/>
        <family val="2"/>
      </rPr>
      <t xml:space="preserve"> fehlt</t>
    </r>
  </si>
  <si>
    <r>
      <t>wie Rindergülle, weil  NH</t>
    </r>
    <r>
      <rPr>
        <vertAlign val="subscript"/>
        <sz val="14"/>
        <color indexed="10"/>
        <rFont val="Arial"/>
        <family val="2"/>
      </rPr>
      <t>4</t>
    </r>
    <r>
      <rPr>
        <sz val="10"/>
        <color indexed="10"/>
        <rFont val="Arial"/>
        <family val="2"/>
      </rPr>
      <t xml:space="preserve"> fehlt</t>
    </r>
  </si>
  <si>
    <t>als Rindergülle</t>
  </si>
  <si>
    <t>zB. Carbokalk, Klärschlamm abgepresst, Kartoffelrestfruchtwasser, Biofert, Organofert, etc..</t>
  </si>
  <si>
    <t>N gesamt aus Bio-
gas und org. Roh-
stoffen getrennt in</t>
  </si>
  <si>
    <t>Rinder-gülle</t>
  </si>
  <si>
    <r>
      <t>wie Rindergülle</t>
    </r>
    <r>
      <rPr>
        <sz val="10"/>
        <color indexed="8"/>
        <rFont val="Arial"/>
        <family val="2"/>
      </rPr>
      <t xml:space="preserve">                                      ( weniger als 15% TS) </t>
    </r>
  </si>
  <si>
    <r>
      <t xml:space="preserve">wie Stallmist </t>
    </r>
    <r>
      <rPr>
        <sz val="10"/>
        <color indexed="8"/>
        <rFont val="Arial"/>
        <family val="2"/>
      </rPr>
      <t xml:space="preserve">                                     (org. Handelsdünger mit mehr als 15% TM)</t>
    </r>
  </si>
  <si>
    <t>N je m³ / t</t>
  </si>
  <si>
    <r>
      <t>P</t>
    </r>
    <r>
      <rPr>
        <vertAlign val="subscript"/>
        <sz val="11"/>
        <rFont val="Arial"/>
        <family val="2"/>
      </rPr>
      <t>2</t>
    </r>
    <r>
      <rPr>
        <sz val="11"/>
        <rFont val="Arial"/>
        <family val="2"/>
      </rPr>
      <t>O</t>
    </r>
    <r>
      <rPr>
        <vertAlign val="subscript"/>
        <sz val="11"/>
        <rFont val="Arial"/>
        <family val="2"/>
      </rPr>
      <t>5</t>
    </r>
    <r>
      <rPr>
        <sz val="11"/>
        <rFont val="Arial"/>
        <family val="2"/>
      </rPr>
      <t xml:space="preserve"> / m³</t>
    </r>
  </si>
  <si>
    <r>
      <t>K</t>
    </r>
    <r>
      <rPr>
        <vertAlign val="subscript"/>
        <sz val="11"/>
        <rFont val="Arial"/>
        <family val="2"/>
      </rPr>
      <t>2</t>
    </r>
    <r>
      <rPr>
        <sz val="11"/>
        <rFont val="Arial"/>
        <family val="2"/>
      </rPr>
      <t>O / m³</t>
    </r>
  </si>
  <si>
    <r>
      <t>kg NH</t>
    </r>
    <r>
      <rPr>
        <vertAlign val="subscript"/>
        <sz val="11"/>
        <rFont val="Arial"/>
        <family val="2"/>
      </rPr>
      <t>4</t>
    </r>
    <r>
      <rPr>
        <sz val="11"/>
        <rFont val="Arial"/>
        <family val="2"/>
      </rPr>
      <t>-N</t>
    </r>
  </si>
  <si>
    <r>
      <t>NH</t>
    </r>
    <r>
      <rPr>
        <vertAlign val="subscript"/>
        <sz val="11"/>
        <rFont val="Arial"/>
        <family val="2"/>
      </rPr>
      <t>4</t>
    </r>
    <r>
      <rPr>
        <sz val="11"/>
        <rFont val="Arial"/>
        <family val="2"/>
      </rPr>
      <t>-N</t>
    </r>
  </si>
  <si>
    <r>
      <t>P</t>
    </r>
    <r>
      <rPr>
        <vertAlign val="subscript"/>
        <sz val="11"/>
        <rFont val="Arial"/>
        <family val="2"/>
      </rPr>
      <t>2</t>
    </r>
    <r>
      <rPr>
        <sz val="11"/>
        <rFont val="Arial"/>
        <family val="2"/>
      </rPr>
      <t>O</t>
    </r>
    <r>
      <rPr>
        <vertAlign val="subscript"/>
        <sz val="11"/>
        <rFont val="Arial"/>
        <family val="2"/>
      </rPr>
      <t xml:space="preserve">5                 </t>
    </r>
    <r>
      <rPr>
        <sz val="11"/>
        <rFont val="Arial"/>
        <family val="2"/>
      </rPr>
      <t xml:space="preserve"> je  m³ / t</t>
    </r>
  </si>
  <si>
    <r>
      <t>K</t>
    </r>
    <r>
      <rPr>
        <vertAlign val="subscript"/>
        <sz val="12"/>
        <rFont val="Arial"/>
        <family val="2"/>
      </rPr>
      <t>2</t>
    </r>
    <r>
      <rPr>
        <sz val="12"/>
        <rFont val="Arial"/>
        <family val="2"/>
      </rPr>
      <t>O             je m³ / t</t>
    </r>
  </si>
  <si>
    <t>Düngung - Acker</t>
  </si>
  <si>
    <r>
      <t>kg N</t>
    </r>
    <r>
      <rPr>
        <vertAlign val="subscript"/>
        <sz val="11"/>
        <rFont val="Arial"/>
        <family val="2"/>
      </rPr>
      <t>jw</t>
    </r>
    <r>
      <rPr>
        <sz val="11"/>
        <rFont val="Arial"/>
        <family val="2"/>
      </rPr>
      <t xml:space="preserve">
je ha</t>
    </r>
  </si>
  <si>
    <t>Düngung Grünland</t>
  </si>
  <si>
    <t>Nutzung Grünland</t>
  </si>
  <si>
    <t>Anmerkung zur Berechnung des Durchschnitts-Tierbestandes</t>
  </si>
  <si>
    <t>Die Milchleistung je Kuh berchnet sich aus gelieferter u. direkt vermarkteter, zuzüglich 320 kg je Kuh für verfütterter u. verbrauchter Milch</t>
  </si>
  <si>
    <t>Kaninchen</t>
  </si>
  <si>
    <t>Lämmer/Kitze</t>
  </si>
  <si>
    <t xml:space="preserve">Orientierungswerte für Nährstoffgehalte von Wirtschaftsdüngern in m³ </t>
  </si>
  <si>
    <t>Umrechung Düngerwirksamkeiten</t>
  </si>
  <si>
    <t>i</t>
  </si>
  <si>
    <t>zurück</t>
  </si>
  <si>
    <t>Orientierungswerte Nährstoffgehalte von Wirtschaftsdüngern</t>
  </si>
  <si>
    <t>Umrechnung Düngerwirksamkeiten</t>
  </si>
  <si>
    <t>2. Aufwuchs</t>
  </si>
  <si>
    <t>3. Aufwuchs</t>
  </si>
  <si>
    <t>4. Aufwuchs</t>
  </si>
  <si>
    <t>5. Aufwuchs</t>
  </si>
  <si>
    <t>Nutzung Acker</t>
  </si>
  <si>
    <t>Futtergräser, sonstigem mehrj. Feldfutter und GL-Flächen bei Umbruch</t>
  </si>
  <si>
    <t>Acker 11</t>
  </si>
  <si>
    <t>Acker 12</t>
  </si>
  <si>
    <t>?</t>
  </si>
  <si>
    <t>Summe
Acker</t>
  </si>
  <si>
    <t>Stickstoff je ha in kg</t>
  </si>
  <si>
    <r>
      <t>Raumgewicht</t>
    </r>
    <r>
      <rPr>
        <sz val="14"/>
        <color indexed="8"/>
        <rFont val="Profile-RegularItalic"/>
        <family val="4"/>
      </rPr>
      <t xml:space="preserve"> von Wirtschaftsdüngern und Komposten laut Tabelle 50 SGD 6. Auflage  </t>
    </r>
  </si>
  <si>
    <r>
      <t xml:space="preserve">N </t>
    </r>
    <r>
      <rPr>
        <b/>
        <sz val="8"/>
        <rFont val="Arial"/>
        <family val="2"/>
      </rPr>
      <t>/ m³ 
ab Lager</t>
    </r>
  </si>
  <si>
    <r>
      <t xml:space="preserve">N </t>
    </r>
    <r>
      <rPr>
        <b/>
        <sz val="8"/>
        <rFont val="Arial"/>
        <family val="2"/>
      </rPr>
      <t>/ m³
feldfallend</t>
    </r>
  </si>
  <si>
    <r>
      <t>N</t>
    </r>
    <r>
      <rPr>
        <b/>
        <sz val="8"/>
        <rFont val="Arial"/>
        <family val="2"/>
      </rPr>
      <t xml:space="preserve"> / m³
jahresw.</t>
    </r>
  </si>
  <si>
    <r>
      <t>P</t>
    </r>
    <r>
      <rPr>
        <b/>
        <vertAlign val="subscript"/>
        <sz val="8"/>
        <rFont val="Arial"/>
        <family val="2"/>
      </rPr>
      <t>2</t>
    </r>
    <r>
      <rPr>
        <b/>
        <sz val="8"/>
        <rFont val="Arial"/>
        <family val="2"/>
      </rPr>
      <t>O</t>
    </r>
    <r>
      <rPr>
        <b/>
        <vertAlign val="subscript"/>
        <sz val="8"/>
        <rFont val="Arial"/>
        <family val="2"/>
      </rPr>
      <t xml:space="preserve">5
</t>
    </r>
    <r>
      <rPr>
        <b/>
        <sz val="8"/>
        <rFont val="Arial"/>
        <family val="2"/>
      </rPr>
      <t>je m³</t>
    </r>
  </si>
  <si>
    <r>
      <t xml:space="preserve">Kali
</t>
    </r>
    <r>
      <rPr>
        <b/>
        <sz val="8"/>
        <rFont val="Arial"/>
        <family val="2"/>
      </rPr>
      <t>je m³</t>
    </r>
  </si>
  <si>
    <t>Acker 13</t>
  </si>
  <si>
    <t>Acker 14</t>
  </si>
  <si>
    <t>* Die Nährstoffausscheidungen auf Almen/Weiden werden nicht zu Hofdüngern gezählt.</t>
  </si>
  <si>
    <t>Ermittlung des N-Gehaltes von Komposten</t>
  </si>
  <si>
    <t>*AHL hat ein höheres spezifisches Gewicht als Wasser, 100 l AHL wiegen 127 kg, 
 darin sind 34,3 kg N (in 100 kg AHL sind 27 kg N)!</t>
  </si>
  <si>
    <t>Information</t>
  </si>
  <si>
    <r>
      <rPr>
        <b/>
        <sz val="10"/>
        <rFont val="Arial"/>
        <family val="2"/>
      </rPr>
      <t>Menge</t>
    </r>
    <r>
      <rPr>
        <b/>
        <sz val="8"/>
        <rFont val="Arial"/>
        <family val="2"/>
      </rPr>
      <t xml:space="preserve">
noch nicht verplant</t>
    </r>
  </si>
  <si>
    <t>Dünger aufgeteilt</t>
  </si>
  <si>
    <t>zur Verfügung stehende Düngernährstoffe am Betrieb (in kg jw)</t>
  </si>
  <si>
    <t>Nährstoffausscheidungen auf der Weide (in kg jw)</t>
  </si>
  <si>
    <t>aufge-zeichnet</t>
  </si>
  <si>
    <r>
      <t>Vorfruchtwirkung</t>
    </r>
    <r>
      <rPr>
        <b/>
        <sz val="11"/>
        <rFont val="Arial"/>
        <family val="2"/>
      </rPr>
      <t xml:space="preserve">    (bitte oben eingeben)</t>
    </r>
  </si>
  <si>
    <t>Eignung zur Bewirtschaftung</t>
  </si>
  <si>
    <t>Bewirt-schaftungs-Eignung</t>
  </si>
  <si>
    <t>Sonstige Kulturen hier eintragen …</t>
  </si>
  <si>
    <t>Ertragswerte GL - gemittelt</t>
  </si>
  <si>
    <t>Dauer-weide</t>
  </si>
  <si>
    <t>als Dauerweide führen</t>
  </si>
  <si>
    <t>Dauerweidenutzung beenden</t>
  </si>
  <si>
    <t>Dauerweide beenden</t>
  </si>
  <si>
    <t>Dauerweide einführen</t>
  </si>
  <si>
    <t xml:space="preserve"> Aufteilung von Wirtschaftsdünger auf die Lagerstätten                     </t>
  </si>
  <si>
    <t>Düngertabelle für die schlagbezogenen Aufzeichnungen</t>
  </si>
  <si>
    <t xml:space="preserve">Düngerliste </t>
  </si>
  <si>
    <t>Hilfstabelle: Dünger 
noch nicht verplant</t>
  </si>
  <si>
    <t>Jährl. Grundfutterbedarf Rinder</t>
  </si>
  <si>
    <t>Liste Bewirtschaftungseignung</t>
  </si>
  <si>
    <t>Hofentfernung</t>
  </si>
  <si>
    <t>günstig</t>
  </si>
  <si>
    <t>5,0 - 10 km</t>
  </si>
  <si>
    <t>Kalkulation Maschinenkosten</t>
  </si>
  <si>
    <t>Silieren  nach h/ha</t>
  </si>
  <si>
    <t>Feldausformung</t>
  </si>
  <si>
    <t>Feld-Hof entfernung</t>
  </si>
  <si>
    <t>Günstig
-10%</t>
  </si>
  <si>
    <t>ungünstig
+10%</t>
  </si>
  <si>
    <t>Günstig</t>
  </si>
  <si>
    <t>1. Schnitt</t>
  </si>
  <si>
    <t>2.- 4. Schnitt</t>
  </si>
  <si>
    <t>5. Schnitt</t>
  </si>
  <si>
    <t>0 -2,5 km</t>
  </si>
  <si>
    <t>2,5-5 km</t>
  </si>
  <si>
    <t>5- 10 km</t>
  </si>
  <si>
    <t>&gt; 10km</t>
  </si>
  <si>
    <t>Traktor PS:</t>
  </si>
  <si>
    <t>180-220</t>
  </si>
  <si>
    <t>Ladewagen m³:</t>
  </si>
  <si>
    <t>Messer</t>
  </si>
  <si>
    <t>pro h</t>
  </si>
  <si>
    <t>normal
-3%</t>
  </si>
  <si>
    <t>ungünstig
-6%</t>
  </si>
  <si>
    <t>Güllefass m³:</t>
  </si>
  <si>
    <t>Ernte</t>
  </si>
  <si>
    <t>mähen/ha</t>
  </si>
  <si>
    <t>kreiseln/ha</t>
  </si>
  <si>
    <t>schwaden/ha</t>
  </si>
  <si>
    <t>Abfuhr/h</t>
  </si>
  <si>
    <t>50m³ Kurzschnittladewagen 180-200PS</t>
  </si>
  <si>
    <t xml:space="preserve">Traktor pro PS </t>
  </si>
  <si>
    <t>Angaben zur Düngeausbringung</t>
  </si>
  <si>
    <t>Fassungsvermögen Miststreuer</t>
  </si>
  <si>
    <t>Fassungsvermögen Güllefass</t>
  </si>
  <si>
    <t>PS / m³</t>
  </si>
  <si>
    <t>Fuhren 
Gülle</t>
  </si>
  <si>
    <t>Fuhren 
Mist</t>
  </si>
  <si>
    <t>Ausbringungskosten</t>
  </si>
  <si>
    <t>Traktor zur Gülleausbrinung - PS</t>
  </si>
  <si>
    <t>Traktor zur Mistausbringung - PS</t>
  </si>
  <si>
    <t>Ausbringungskosten - € je PS und Stunde</t>
  </si>
  <si>
    <t>Ausbringungskosten - € je m³ und Stunde</t>
  </si>
  <si>
    <t>Ausbringung €/h flüssig</t>
  </si>
  <si>
    <t>Ausbringung €/h fest</t>
  </si>
  <si>
    <t>Dauer Silieren h/ha</t>
  </si>
  <si>
    <t>1 Schnittwiesen
günstig</t>
  </si>
  <si>
    <t>1 Schnittwiesen
normal</t>
  </si>
  <si>
    <t>1 Schnittwiesen
ungünstig</t>
  </si>
  <si>
    <t>2 Schnittwiesen
günstig</t>
  </si>
  <si>
    <t>2 Schnittwiesen
normal</t>
  </si>
  <si>
    <t>2 Schnittwiesen
ungünstig</t>
  </si>
  <si>
    <t>3 Schnittw. KL-betont
günstig</t>
  </si>
  <si>
    <t>3 Schnittw. KL-betont
normal</t>
  </si>
  <si>
    <t>3 Schnittw. KL-betont
ungünstig</t>
  </si>
  <si>
    <t>3 Schnittw. Gr-betont
günstig</t>
  </si>
  <si>
    <t>3 Schnittw. Gr-betont
normal</t>
  </si>
  <si>
    <t>3 Schnittw. Gr-betont
ungünstig</t>
  </si>
  <si>
    <t>4 Schnittwiesen
günstig</t>
  </si>
  <si>
    <t>4 Schnittwiesen
normal</t>
  </si>
  <si>
    <t>4 Schnittwiesen
ungünstig</t>
  </si>
  <si>
    <t>5 Schnittwiesen
günstig</t>
  </si>
  <si>
    <t>5 Schnittwiesen
normal</t>
  </si>
  <si>
    <t>5 Schnittwiesen
ungünstig</t>
  </si>
  <si>
    <t>6 Schnittwiesen
günstig</t>
  </si>
  <si>
    <t>6 Schnittwiesen
normal</t>
  </si>
  <si>
    <t>6 Schnittwiesen
ungünstig</t>
  </si>
  <si>
    <t>Berechnung Düngemenge-Ausbringung - Gülle, Jauche</t>
  </si>
  <si>
    <t>Berechnung Düngemenge-Ausbringung - Mist</t>
  </si>
  <si>
    <t>Dauer 
Ernte in h/ha</t>
  </si>
  <si>
    <t>Sum-me</t>
  </si>
  <si>
    <t>Sum-
me</t>
  </si>
  <si>
    <t>Düngung (flüssig) - Fuhren/h</t>
  </si>
  <si>
    <t>Düngung (fest) - Fuhren/h</t>
  </si>
  <si>
    <t>Düngung - Fuhren/h (Gülle/Jauche)</t>
  </si>
  <si>
    <t xml:space="preserve"> 
günstig</t>
  </si>
  <si>
    <t xml:space="preserve">
normal</t>
  </si>
  <si>
    <t xml:space="preserve">
ungünstig</t>
  </si>
  <si>
    <t>Düngung - Fuhren/h (Mist)</t>
  </si>
  <si>
    <t>Kosten Gülledüngung</t>
  </si>
  <si>
    <t>Güllemenge 
je Feldstück</t>
  </si>
  <si>
    <t>Mist-menge je Feldst.</t>
  </si>
  <si>
    <t>Kosten Mistdüngung</t>
  </si>
  <si>
    <t>Kosten Ernte</t>
  </si>
  <si>
    <t>Kosten 
Bewirtschaftung</t>
  </si>
  <si>
    <t>Gülle/Mist</t>
  </si>
  <si>
    <t>Güllefass/Miststreuer pro m³</t>
  </si>
  <si>
    <t>Gülle-/Mistausbringung  nach Fuhren/h</t>
  </si>
  <si>
    <t>Miststreuer m³</t>
  </si>
  <si>
    <t>für Düngung + Ernte</t>
  </si>
  <si>
    <r>
      <t xml:space="preserve">in </t>
    </r>
    <r>
      <rPr>
        <b/>
        <sz val="10"/>
        <rFont val="Arial"/>
        <family val="2"/>
      </rPr>
      <t xml:space="preserve">€ </t>
    </r>
    <r>
      <rPr>
        <b/>
        <sz val="8"/>
        <rFont val="Arial"/>
        <family val="2"/>
      </rPr>
      <t>je ha</t>
    </r>
  </si>
  <si>
    <r>
      <t xml:space="preserve">in </t>
    </r>
    <r>
      <rPr>
        <b/>
        <sz val="10"/>
        <color theme="1" tint="0.499984740745262"/>
        <rFont val="Arial"/>
        <family val="2"/>
      </rPr>
      <t xml:space="preserve">€ </t>
    </r>
    <r>
      <rPr>
        <b/>
        <sz val="8"/>
        <color theme="1" tint="0.499984740745262"/>
        <rFont val="Arial"/>
        <family val="2"/>
      </rPr>
      <t>je 
Feldstück</t>
    </r>
  </si>
  <si>
    <t>Errechnung Fuhren Düngeausbringung</t>
  </si>
  <si>
    <t>Ausbr.-Kosten €/h</t>
  </si>
  <si>
    <t>Dauer (Fuhren/h oder h/ha)</t>
  </si>
  <si>
    <t>Kosten Gesamt</t>
  </si>
  <si>
    <t>Summe
h/ha</t>
  </si>
  <si>
    <t>Summe
Ernten/Jahr</t>
  </si>
  <si>
    <t>Schnitt-
häufigkeit</t>
  </si>
  <si>
    <t>Hut-weide</t>
  </si>
  <si>
    <t>Hut-weide m. Düng.</t>
  </si>
  <si>
    <t>Angaben Maschinenring OÖ</t>
  </si>
  <si>
    <t>Angabe aus ÖKL-Richtwerte 2017</t>
  </si>
  <si>
    <t>Weide putzen/ha (275 cm, 1 h/ha)</t>
  </si>
  <si>
    <t xml:space="preserve">Abweichung (in ha)
vom Nutzungsziel </t>
  </si>
  <si>
    <t>Grünland 11</t>
  </si>
  <si>
    <t>Grünland 12</t>
  </si>
  <si>
    <t>Grünland 13</t>
  </si>
  <si>
    <t>Grünland 14</t>
  </si>
  <si>
    <t>Grünland 15</t>
  </si>
  <si>
    <t>Grünland 16</t>
  </si>
  <si>
    <t>Grünland 17</t>
  </si>
  <si>
    <t>Grünland 18</t>
  </si>
  <si>
    <t>Grünland 19</t>
  </si>
  <si>
    <t>Grünland 20</t>
  </si>
  <si>
    <t>Grünland 21</t>
  </si>
  <si>
    <t>Grünland 22</t>
  </si>
  <si>
    <t>Grünland 23</t>
  </si>
  <si>
    <t>Grünland 24</t>
  </si>
  <si>
    <t>Grünland 25</t>
  </si>
  <si>
    <t>Grünland 26</t>
  </si>
  <si>
    <t>Grünland 27</t>
  </si>
  <si>
    <t>Grünland 28</t>
  </si>
  <si>
    <t>Grünland 29</t>
  </si>
  <si>
    <t>Grünland 30</t>
  </si>
  <si>
    <t>Kosten Bewirtschaftung</t>
  </si>
  <si>
    <t>Kosten Bewirtschaftung
in € je Feldstück</t>
  </si>
  <si>
    <t xml:space="preserve"> Kosten bei Änderung der Bewirtschaftung</t>
  </si>
  <si>
    <t>Bew. Eignung</t>
  </si>
  <si>
    <t>normal -3%</t>
  </si>
  <si>
    <t>ungünstig -6%</t>
  </si>
  <si>
    <t>Günstig -10%</t>
  </si>
  <si>
    <t>ungünstig +10%</t>
  </si>
  <si>
    <t>Feststellung Nutzungshäufigkeit neu</t>
  </si>
  <si>
    <t>1 Nutzung</t>
  </si>
  <si>
    <t>2 Nutzungen</t>
  </si>
  <si>
    <t>3 Nutzungen</t>
  </si>
  <si>
    <t>4 Nutzungen</t>
  </si>
  <si>
    <t>5 Nutzungen</t>
  </si>
  <si>
    <t>6 Nutzungen</t>
  </si>
  <si>
    <t>GL 3 Nutzungen</t>
  </si>
  <si>
    <t>Nutzung neu</t>
  </si>
  <si>
    <t>3 Schnittwiesen
günstig</t>
  </si>
  <si>
    <t>3 Schnittwiesen
ungünstig</t>
  </si>
  <si>
    <t>3 Schnittwiesen 
normal</t>
  </si>
  <si>
    <t>flüssig</t>
  </si>
  <si>
    <t>fest</t>
  </si>
  <si>
    <t>Summe WD in m³/ha</t>
  </si>
  <si>
    <t>Berechnung Anzahl von Teilgaben
Gülle/Jauche</t>
  </si>
  <si>
    <t>Berechnung Anzahl von Teilgaben
Mist</t>
  </si>
  <si>
    <t>Summe WD in m³/Feldst.</t>
  </si>
  <si>
    <t>Güllefass</t>
  </si>
  <si>
    <t>Miststreuer</t>
  </si>
  <si>
    <t>Summe Fuhren je Feldst.</t>
  </si>
  <si>
    <t>Fuhren Mist je Feldstück</t>
  </si>
  <si>
    <t>Fuhren Gülle je Feldstück</t>
  </si>
  <si>
    <t>Maßnahme</t>
  </si>
  <si>
    <t>Nutzung NEU</t>
  </si>
  <si>
    <t>Feldstück</t>
  </si>
  <si>
    <t>Änderung der Bewirtschaftung ohne Feldstücksteilung</t>
  </si>
  <si>
    <t>Änderung der Bewirtschaftung mit Feldstücksteilung</t>
  </si>
  <si>
    <t>xx</t>
  </si>
  <si>
    <t xml:space="preserve">Kosten bei Änderung 
der Bewirtschaftung </t>
  </si>
  <si>
    <t>Änderung der Bewirtschaftungskosten durch Einführung der abgestuften Grünlandwirtschaft</t>
  </si>
  <si>
    <t>Düngermengen am Lager</t>
  </si>
  <si>
    <t>m³ auf Lager</t>
  </si>
  <si>
    <t>Saldo 
N kg/ha</t>
  </si>
  <si>
    <t>Differenzierung der Nutzungen (Angaben in ha)</t>
  </si>
  <si>
    <t>kg N aus Vorfrucht</t>
  </si>
  <si>
    <t>N-Bedarf in kg/ha</t>
  </si>
  <si>
    <t>Teilnahme vorbeugender Grundwasserschutz Grünland</t>
  </si>
  <si>
    <r>
      <rPr>
        <b/>
        <sz val="26"/>
        <color theme="0"/>
        <rFont val="Arial"/>
        <family val="2"/>
      </rPr>
      <t>Düngeplanungstool AGw</t>
    </r>
    <r>
      <rPr>
        <b/>
        <sz val="22"/>
        <color theme="0"/>
        <rFont val="Arial"/>
        <family val="2"/>
      </rPr>
      <t xml:space="preserve">
</t>
    </r>
    <r>
      <rPr>
        <b/>
        <sz val="16"/>
        <color theme="0"/>
        <rFont val="Arial"/>
        <family val="2"/>
      </rPr>
      <t>Planungstool zur abgestuften Grünlandwirtschaft</t>
    </r>
  </si>
  <si>
    <t xml:space="preserve">in 
Zusammenarbeit 
mit </t>
  </si>
  <si>
    <t>© Bio-Kompetenzzentrum Schlägl</t>
  </si>
  <si>
    <t>ERGEBNIS</t>
  </si>
  <si>
    <t>Düngung kg N je Feldstück</t>
  </si>
  <si>
    <t>Düngung kg N je ha</t>
  </si>
  <si>
    <t>Version 1.2</t>
  </si>
  <si>
    <t>Menge
noch nicht verplant</t>
  </si>
  <si>
    <t>Dünger am Lager 
(in m³, bei Mineraldünger in kg)</t>
  </si>
  <si>
    <t>Dünger am Lager
(in m³, bei Mineraldünger in kg)</t>
  </si>
  <si>
    <t>Düngung Grünland je ha aktuell 
(Angaben in m³; bei Mineraldünger in kg)</t>
  </si>
  <si>
    <t>Düngung Acker je ha aktuell
(Angaben in m³; bei Mineraldünger in kg)</t>
  </si>
  <si>
    <t>Gülle/Jauche Grube 1</t>
  </si>
  <si>
    <t>Gülle/Jauche Grube 2</t>
  </si>
  <si>
    <t>Gülle/Jauche Grube 3</t>
  </si>
  <si>
    <t>Gülle/Jauche Grube 4</t>
  </si>
  <si>
    <r>
      <t xml:space="preserve">Berechnung N </t>
    </r>
    <r>
      <rPr>
        <b/>
        <vertAlign val="subscript"/>
        <sz val="14"/>
        <rFont val="Arial"/>
        <family val="2"/>
      </rPr>
      <t xml:space="preserve">jahreswirksam
         </t>
    </r>
    <r>
      <rPr>
        <b/>
        <sz val="14"/>
        <rFont val="Arial"/>
        <family val="2"/>
      </rPr>
      <t xml:space="preserve">          </t>
    </r>
    <r>
      <rPr>
        <b/>
        <sz val="10"/>
        <color indexed="10"/>
        <rFont val="Arial"/>
        <family val="2"/>
      </rPr>
      <t>Name des Düngers eingeben</t>
    </r>
    <r>
      <rPr>
        <sz val="10"/>
        <rFont val="Arial"/>
        <family val="2"/>
      </rPr>
      <t xml:space="preserve">  </t>
    </r>
  </si>
  <si>
    <t>N-Bilanzierung fürs Grünland</t>
  </si>
  <si>
    <t xml:space="preserve">N-Bilanzierung in kg </t>
  </si>
  <si>
    <t xml:space="preserve">niedrig </t>
  </si>
  <si>
    <t>Gesamtbetriebliches Ertragsniveau</t>
  </si>
  <si>
    <t>niedrig - mittel</t>
  </si>
  <si>
    <t>mittel - hoch</t>
  </si>
  <si>
    <t>Gesamtbetr. Ertragsniveau</t>
  </si>
  <si>
    <t>Name</t>
  </si>
  <si>
    <t>Straße</t>
  </si>
  <si>
    <t>PLZ, 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</si>
</sst>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quot;€&quot;\ * #,##0.00_-;\-&quot;€&quot;\ * #,##0.00_-;_-&quot;€&quot;\ * &quot;-&quot;??_-;_-@_-"/>
    <numFmt numFmtId="43" formatCode="_-* #,##0.00_-;\-* #,##0.00_-;_-* &quot;-&quot;??_-;_-@_-"/>
    <numFmt numFmtId="164" formatCode="#,##0.00\ ;\-#,##0.00\ ;&quot; -&quot;#\ ;@\ "/>
    <numFmt numFmtId="165" formatCode="* #,##0.00\ ;\-* #,##0.00\ ;* \-#\ ;@\ "/>
    <numFmt numFmtId="166" formatCode="#,##0.0"/>
    <numFmt numFmtId="167" formatCode="0.0"/>
    <numFmt numFmtId="168" formatCode="d/\ mmmm\ yyyy"/>
    <numFmt numFmtId="169" formatCode="0.0%"/>
    <numFmt numFmtId="170" formatCode="#,##0.0\ ;\-#,##0.0\ ;&quot; -&quot;#\ ;@\ "/>
    <numFmt numFmtId="171" formatCode="0.00&quot; ha&quot;"/>
    <numFmt numFmtId="172" formatCode="_-&quot;€ &quot;* #,##0.00_-;&quot;-€ &quot;* #,##0.00_-;_-&quot;€ &quot;* \-??_-;_-@_-"/>
    <numFmt numFmtId="173" formatCode="0.000"/>
    <numFmt numFmtId="174" formatCode="&quot;€&quot;\ #,##0.00"/>
    <numFmt numFmtId="175" formatCode="&quot;€&quot;\ #,##0"/>
    <numFmt numFmtId="176" formatCode="_-&quot;€&quot;\ * #,##0_-;\-&quot;€&quot;\ * #,##0_-;_-&quot;€&quot;\ * &quot;-&quot;??_-;_-@_-"/>
    <numFmt numFmtId="177" formatCode=";;;"/>
  </numFmts>
  <fonts count="182">
    <font>
      <sz val="10"/>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9"/>
      <name val="Arial"/>
      <family val="2"/>
    </font>
    <font>
      <b/>
      <sz val="11"/>
      <color indexed="63"/>
      <name val="Arial"/>
      <family val="2"/>
    </font>
    <font>
      <b/>
      <sz val="11"/>
      <color indexed="52"/>
      <name val="Arial"/>
      <family val="2"/>
    </font>
    <font>
      <sz val="11"/>
      <color indexed="62"/>
      <name val="Arial"/>
      <family val="2"/>
    </font>
    <font>
      <b/>
      <sz val="11"/>
      <color indexed="8"/>
      <name val="Arial"/>
      <family val="2"/>
    </font>
    <font>
      <i/>
      <sz val="11"/>
      <color indexed="23"/>
      <name val="Arial"/>
      <family val="2"/>
    </font>
    <font>
      <sz val="11"/>
      <color indexed="17"/>
      <name val="Arial"/>
      <family val="2"/>
    </font>
    <font>
      <sz val="10"/>
      <name val="Mangal"/>
      <family val="2"/>
    </font>
    <font>
      <sz val="11"/>
      <color indexed="60"/>
      <name val="Arial"/>
      <family val="2"/>
    </font>
    <font>
      <sz val="11"/>
      <color indexed="20"/>
      <name val="Arial"/>
      <family val="2"/>
    </font>
    <font>
      <sz val="11"/>
      <color indexed="8"/>
      <name val="Arial"/>
      <family val="2"/>
    </font>
    <font>
      <sz val="11"/>
      <color indexed="52"/>
      <name val="Arial"/>
      <family val="2"/>
    </font>
    <font>
      <sz val="11"/>
      <color indexed="10"/>
      <name val="Arial"/>
      <family val="2"/>
    </font>
    <font>
      <b/>
      <sz val="11"/>
      <color indexed="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8"/>
      <name val="Arial"/>
      <family val="2"/>
    </font>
    <font>
      <sz val="9"/>
      <color indexed="8"/>
      <name val="Arial"/>
      <family val="2"/>
    </font>
    <font>
      <u/>
      <sz val="10"/>
      <color indexed="12"/>
      <name val="Arial"/>
      <family val="2"/>
    </font>
    <font>
      <b/>
      <sz val="10"/>
      <name val="Arial"/>
      <family val="2"/>
    </font>
    <font>
      <b/>
      <sz val="12"/>
      <name val="Arial"/>
      <family val="2"/>
    </font>
    <font>
      <sz val="10"/>
      <color indexed="10"/>
      <name val="Arial"/>
      <family val="2"/>
    </font>
    <font>
      <b/>
      <sz val="9"/>
      <name val="Arial"/>
      <family val="2"/>
    </font>
    <font>
      <b/>
      <sz val="11"/>
      <name val="Arial"/>
      <family val="2"/>
    </font>
    <font>
      <sz val="9"/>
      <name val="Arial"/>
      <family val="2"/>
    </font>
    <font>
      <sz val="11"/>
      <name val="Arial"/>
      <family val="2"/>
    </font>
    <font>
      <b/>
      <sz val="12"/>
      <color indexed="8"/>
      <name val="Arial"/>
      <family val="2"/>
    </font>
    <font>
      <sz val="8"/>
      <name val="Arial"/>
      <family val="2"/>
    </font>
    <font>
      <sz val="8"/>
      <color indexed="10"/>
      <name val="Arial"/>
      <family val="2"/>
    </font>
    <font>
      <sz val="7"/>
      <name val="Arial"/>
      <family val="2"/>
    </font>
    <font>
      <b/>
      <sz val="10"/>
      <color indexed="10"/>
      <name val="Arial"/>
      <family val="2"/>
    </font>
    <font>
      <sz val="8"/>
      <color indexed="23"/>
      <name val="Arial"/>
      <family val="2"/>
    </font>
    <font>
      <sz val="12"/>
      <name val="Arial"/>
      <family val="2"/>
    </font>
    <font>
      <sz val="6"/>
      <color indexed="23"/>
      <name val="Arial"/>
      <family val="2"/>
    </font>
    <font>
      <b/>
      <sz val="12"/>
      <color indexed="10"/>
      <name val="Arial"/>
      <family val="2"/>
    </font>
    <font>
      <b/>
      <sz val="10"/>
      <color indexed="12"/>
      <name val="Arial"/>
      <family val="2"/>
    </font>
    <font>
      <sz val="8"/>
      <color indexed="8"/>
      <name val="Arial"/>
      <family val="2"/>
    </font>
    <font>
      <b/>
      <sz val="10"/>
      <color indexed="8"/>
      <name val="Arial"/>
      <family val="2"/>
    </font>
    <font>
      <b/>
      <sz val="14"/>
      <name val="Arial"/>
      <family val="2"/>
    </font>
    <font>
      <b/>
      <sz val="16"/>
      <name val="Arial"/>
      <family val="2"/>
    </font>
    <font>
      <sz val="14"/>
      <name val="Arial"/>
      <family val="2"/>
    </font>
    <font>
      <sz val="16"/>
      <name val="Arial"/>
      <family val="2"/>
    </font>
    <font>
      <i/>
      <sz val="10"/>
      <name val="Arial"/>
      <family val="2"/>
    </font>
    <font>
      <sz val="12"/>
      <color indexed="8"/>
      <name val="Arial"/>
      <family val="2"/>
    </font>
    <font>
      <vertAlign val="subscript"/>
      <sz val="10"/>
      <name val="Arial"/>
      <family val="2"/>
    </font>
    <font>
      <b/>
      <sz val="60"/>
      <color indexed="21"/>
      <name val="Calibri"/>
      <family val="2"/>
    </font>
    <font>
      <sz val="14"/>
      <color indexed="8"/>
      <name val="Arial"/>
      <family val="2"/>
    </font>
    <font>
      <b/>
      <sz val="14"/>
      <color indexed="8"/>
      <name val="Arial"/>
      <family val="2"/>
    </font>
    <font>
      <u/>
      <sz val="12"/>
      <color indexed="12"/>
      <name val="Arial"/>
      <family val="2"/>
    </font>
    <font>
      <sz val="36"/>
      <color indexed="12"/>
      <name val="Arial"/>
      <family val="2"/>
    </font>
    <font>
      <sz val="12"/>
      <color indexed="10"/>
      <name val="Arial"/>
      <family val="2"/>
    </font>
    <font>
      <sz val="20"/>
      <color indexed="12"/>
      <name val="Arial"/>
      <family val="2"/>
    </font>
    <font>
      <b/>
      <sz val="9"/>
      <color indexed="8"/>
      <name val="Arial"/>
      <family val="2"/>
    </font>
    <font>
      <b/>
      <sz val="9"/>
      <color indexed="10"/>
      <name val="Arial"/>
      <family val="2"/>
    </font>
    <font>
      <b/>
      <sz val="8"/>
      <name val="Arial"/>
      <family val="2"/>
    </font>
    <font>
      <b/>
      <vertAlign val="subscript"/>
      <sz val="9"/>
      <name val="Arial"/>
      <family val="2"/>
    </font>
    <font>
      <b/>
      <vertAlign val="subscript"/>
      <sz val="11"/>
      <name val="Trebuchet MS"/>
      <family val="2"/>
    </font>
    <font>
      <b/>
      <sz val="11"/>
      <name val="Trebuchet MS"/>
      <family val="2"/>
    </font>
    <font>
      <sz val="11"/>
      <color indexed="48"/>
      <name val="Arial"/>
      <family val="2"/>
    </font>
    <font>
      <b/>
      <sz val="12"/>
      <color indexed="12"/>
      <name val="Arial"/>
      <family val="2"/>
    </font>
    <font>
      <b/>
      <sz val="11"/>
      <color indexed="10"/>
      <name val="Arial"/>
      <family val="2"/>
    </font>
    <font>
      <sz val="11"/>
      <name val="Trebuchet MS"/>
      <family val="2"/>
    </font>
    <font>
      <b/>
      <u/>
      <sz val="12"/>
      <color indexed="8"/>
      <name val="Arial"/>
      <family val="2"/>
    </font>
    <font>
      <b/>
      <sz val="16"/>
      <color indexed="8"/>
      <name val="Arial"/>
      <family val="2"/>
    </font>
    <font>
      <b/>
      <sz val="14"/>
      <color indexed="12"/>
      <name val="Arial"/>
      <family val="2"/>
    </font>
    <font>
      <sz val="16"/>
      <color indexed="12"/>
      <name val="Arial"/>
      <family val="2"/>
    </font>
    <font>
      <vertAlign val="subscript"/>
      <sz val="11"/>
      <color indexed="8"/>
      <name val="Arial"/>
      <family val="2"/>
    </font>
    <font>
      <vertAlign val="subscript"/>
      <sz val="12"/>
      <color indexed="8"/>
      <name val="Arial"/>
      <family val="2"/>
    </font>
    <font>
      <vertAlign val="subscript"/>
      <sz val="10"/>
      <color indexed="8"/>
      <name val="Arial"/>
      <family val="2"/>
    </font>
    <font>
      <b/>
      <vertAlign val="subscript"/>
      <sz val="14"/>
      <name val="Arial"/>
      <family val="2"/>
    </font>
    <font>
      <b/>
      <vertAlign val="subscript"/>
      <sz val="10"/>
      <name val="Arial"/>
      <family val="2"/>
    </font>
    <font>
      <b/>
      <vertAlign val="subscript"/>
      <sz val="8"/>
      <name val="Arial"/>
      <family val="2"/>
    </font>
    <font>
      <b/>
      <vertAlign val="superscript"/>
      <sz val="10"/>
      <color indexed="10"/>
      <name val="Arial"/>
      <family val="2"/>
    </font>
    <font>
      <u/>
      <sz val="9"/>
      <name val="Arial"/>
      <family val="2"/>
    </font>
    <font>
      <vertAlign val="superscript"/>
      <sz val="10"/>
      <color indexed="8"/>
      <name val="Arial"/>
      <family val="2"/>
    </font>
    <font>
      <sz val="22"/>
      <color indexed="12"/>
      <name val="Arial"/>
      <family val="2"/>
    </font>
    <font>
      <sz val="10"/>
      <color indexed="12"/>
      <name val="Arial"/>
      <family val="2"/>
    </font>
    <font>
      <sz val="12"/>
      <color indexed="12"/>
      <name val="Arial"/>
      <family val="2"/>
    </font>
    <font>
      <sz val="24"/>
      <color indexed="12"/>
      <name val="Arial"/>
      <family val="2"/>
    </font>
    <font>
      <sz val="10"/>
      <name val="Arial"/>
      <family val="2"/>
    </font>
    <font>
      <sz val="10"/>
      <name val="Arial"/>
      <family val="2"/>
      <charset val="1"/>
    </font>
    <font>
      <b/>
      <sz val="12"/>
      <name val="Arial"/>
      <family val="2"/>
      <charset val="1"/>
    </font>
    <font>
      <sz val="10"/>
      <name val="Mangal"/>
      <family val="2"/>
      <charset val="1"/>
    </font>
    <font>
      <sz val="10"/>
      <name val="Arial"/>
      <family val="2"/>
    </font>
    <font>
      <b/>
      <sz val="14"/>
      <name val="Arial"/>
      <family val="2"/>
      <charset val="1"/>
    </font>
    <font>
      <b/>
      <sz val="18"/>
      <color indexed="9"/>
      <name val="Arial"/>
      <family val="2"/>
    </font>
    <font>
      <b/>
      <sz val="20"/>
      <color indexed="9"/>
      <name val="Arial"/>
      <family val="2"/>
    </font>
    <font>
      <sz val="14"/>
      <color indexed="9"/>
      <name val="Arial"/>
      <family val="2"/>
    </font>
    <font>
      <b/>
      <sz val="14"/>
      <color indexed="9"/>
      <name val="Arial"/>
      <family val="2"/>
    </font>
    <font>
      <b/>
      <u/>
      <sz val="10"/>
      <color indexed="12"/>
      <name val="Arial"/>
      <family val="2"/>
    </font>
    <font>
      <sz val="11"/>
      <color theme="1"/>
      <name val="Arial"/>
      <family val="2"/>
    </font>
    <font>
      <b/>
      <sz val="11"/>
      <color rgb="FF333399"/>
      <name val="Arial"/>
      <family val="2"/>
      <charset val="1"/>
    </font>
    <font>
      <u/>
      <sz val="10"/>
      <color rgb="FF0000FF"/>
      <name val="Arial"/>
      <family val="2"/>
      <charset val="1"/>
    </font>
    <font>
      <b/>
      <sz val="20"/>
      <color theme="0"/>
      <name val="Arial"/>
      <family val="2"/>
    </font>
    <font>
      <sz val="10"/>
      <color theme="0"/>
      <name val="Arial"/>
      <family val="2"/>
    </font>
    <font>
      <b/>
      <sz val="16"/>
      <color theme="0"/>
      <name val="Arial"/>
      <family val="2"/>
    </font>
    <font>
      <u/>
      <sz val="18"/>
      <color indexed="12"/>
      <name val="Arial"/>
      <family val="2"/>
    </font>
    <font>
      <b/>
      <sz val="22"/>
      <color theme="0"/>
      <name val="Arial"/>
      <family val="2"/>
    </font>
    <font>
      <b/>
      <sz val="12"/>
      <color rgb="FF0070C0"/>
      <name val="Arial"/>
      <family val="2"/>
    </font>
    <font>
      <b/>
      <sz val="14"/>
      <color rgb="FF0070C0"/>
      <name val="Arial"/>
      <family val="2"/>
    </font>
    <font>
      <sz val="10"/>
      <color rgb="FF0070C0"/>
      <name val="Arial"/>
      <family val="2"/>
    </font>
    <font>
      <b/>
      <sz val="18"/>
      <color theme="0"/>
      <name val="Arial"/>
      <family val="2"/>
    </font>
    <font>
      <sz val="12"/>
      <color theme="0"/>
      <name val="Arial"/>
      <family val="2"/>
    </font>
    <font>
      <b/>
      <sz val="11"/>
      <color rgb="FF0070C0"/>
      <name val="Arial"/>
      <family val="2"/>
    </font>
    <font>
      <sz val="12"/>
      <color rgb="FF0070C0"/>
      <name val="Arial"/>
      <family val="2"/>
    </font>
    <font>
      <sz val="11"/>
      <color rgb="FF0070C0"/>
      <name val="Arial"/>
      <family val="2"/>
    </font>
    <font>
      <b/>
      <sz val="16"/>
      <color rgb="FF0070C0"/>
      <name val="Arial"/>
      <family val="2"/>
    </font>
    <font>
      <b/>
      <sz val="9"/>
      <color theme="0"/>
      <name val="Arial"/>
      <family val="2"/>
    </font>
    <font>
      <sz val="9"/>
      <color theme="0"/>
      <name val="Arial"/>
      <family val="2"/>
    </font>
    <font>
      <b/>
      <sz val="10"/>
      <color rgb="FF0070C0"/>
      <name val="Arial"/>
      <family val="2"/>
    </font>
    <font>
      <sz val="9"/>
      <color rgb="FF0070C0"/>
      <name val="Arial"/>
      <family val="2"/>
    </font>
    <font>
      <sz val="8"/>
      <color rgb="FF0070C0"/>
      <name val="Arial"/>
      <family val="2"/>
    </font>
    <font>
      <b/>
      <sz val="9"/>
      <color rgb="FF0070C0"/>
      <name val="Arial"/>
      <family val="2"/>
    </font>
    <font>
      <b/>
      <sz val="8"/>
      <color rgb="FF0070C0"/>
      <name val="Arial"/>
      <family val="2"/>
    </font>
    <font>
      <b/>
      <sz val="12"/>
      <color theme="0"/>
      <name val="Arial"/>
      <family val="2"/>
    </font>
    <font>
      <b/>
      <vertAlign val="subscript"/>
      <sz val="9"/>
      <color theme="0"/>
      <name val="Arial"/>
      <family val="2"/>
    </font>
    <font>
      <b/>
      <sz val="12"/>
      <color rgb="FF0066CC"/>
      <name val="Arial"/>
      <family val="2"/>
    </font>
    <font>
      <sz val="12"/>
      <color rgb="FF0066CC"/>
      <name val="Arial"/>
      <family val="2"/>
    </font>
    <font>
      <b/>
      <sz val="10"/>
      <color rgb="FF0066CC"/>
      <name val="Arial"/>
      <family val="2"/>
    </font>
    <font>
      <sz val="11"/>
      <color rgb="FF0066CC"/>
      <name val="Arial"/>
      <family val="2"/>
    </font>
    <font>
      <sz val="9"/>
      <color rgb="FF0066CC"/>
      <name val="Arial"/>
      <family val="2"/>
    </font>
    <font>
      <sz val="10"/>
      <color rgb="FF0066CC"/>
      <name val="Arial"/>
      <family val="2"/>
    </font>
    <font>
      <b/>
      <sz val="14"/>
      <color theme="0"/>
      <name val="Arial"/>
      <family val="2"/>
    </font>
    <font>
      <sz val="26"/>
      <color indexed="12"/>
      <name val="Arial"/>
      <family val="2"/>
    </font>
    <font>
      <b/>
      <sz val="10"/>
      <color indexed="18"/>
      <name val="Arial"/>
      <family val="2"/>
    </font>
    <font>
      <b/>
      <sz val="11"/>
      <color indexed="48"/>
      <name val="Arial"/>
      <family val="2"/>
    </font>
    <font>
      <sz val="10"/>
      <color indexed="23"/>
      <name val="Arial"/>
      <family val="2"/>
    </font>
    <font>
      <b/>
      <sz val="9"/>
      <color indexed="62"/>
      <name val="Arial"/>
      <family val="2"/>
    </font>
    <font>
      <sz val="10"/>
      <color rgb="FFFF0000"/>
      <name val="Arial"/>
      <family val="2"/>
    </font>
    <font>
      <u/>
      <sz val="10"/>
      <color rgb="FFFF0000"/>
      <name val="Arial"/>
      <family val="2"/>
    </font>
    <font>
      <b/>
      <u/>
      <sz val="10"/>
      <name val="Arial"/>
      <family val="2"/>
    </font>
    <font>
      <b/>
      <sz val="18"/>
      <name val="Arial"/>
      <family val="2"/>
    </font>
    <font>
      <sz val="10"/>
      <color indexed="18"/>
      <name val="Arial"/>
      <family val="2"/>
    </font>
    <font>
      <b/>
      <sz val="11"/>
      <color theme="0"/>
      <name val="Arial"/>
      <family val="2"/>
    </font>
    <font>
      <b/>
      <sz val="11"/>
      <color indexed="18"/>
      <name val="Arial"/>
      <family val="2"/>
    </font>
    <font>
      <b/>
      <sz val="12"/>
      <color indexed="18"/>
      <name val="Arial"/>
      <family val="2"/>
    </font>
    <font>
      <b/>
      <vertAlign val="subscript"/>
      <sz val="12"/>
      <color indexed="18"/>
      <name val="Arial"/>
      <family val="2"/>
    </font>
    <font>
      <b/>
      <sz val="18"/>
      <name val="Arial"/>
      <family val="2"/>
      <charset val="1"/>
    </font>
    <font>
      <sz val="8"/>
      <name val="Arial"/>
      <family val="2"/>
      <charset val="1"/>
    </font>
    <font>
      <sz val="10"/>
      <color theme="0" tint="-0.499984740745262"/>
      <name val="Arial"/>
      <family val="2"/>
    </font>
    <font>
      <b/>
      <sz val="14"/>
      <color theme="0" tint="-0.499984740745262"/>
      <name val="Arial"/>
      <family val="2"/>
    </font>
    <font>
      <b/>
      <sz val="9"/>
      <color theme="1"/>
      <name val="Arial"/>
      <family val="2"/>
    </font>
    <font>
      <sz val="12"/>
      <color theme="1" tint="0.499984740745262"/>
      <name val="Arial"/>
      <family val="2"/>
    </font>
    <font>
      <sz val="9"/>
      <color theme="1"/>
      <name val="Calibri"/>
      <family val="2"/>
      <scheme val="minor"/>
    </font>
    <font>
      <vertAlign val="subscript"/>
      <sz val="14"/>
      <color indexed="10"/>
      <name val="Arial"/>
      <family val="2"/>
    </font>
    <font>
      <vertAlign val="subscript"/>
      <sz val="11"/>
      <name val="Arial"/>
      <family val="2"/>
    </font>
    <font>
      <vertAlign val="subscript"/>
      <sz val="12"/>
      <name val="Arial"/>
      <family val="2"/>
    </font>
    <font>
      <sz val="10"/>
      <color indexed="8"/>
      <name val="Arial"/>
      <family val="2"/>
      <charset val="1"/>
    </font>
    <font>
      <sz val="10"/>
      <color theme="1"/>
      <name val="Arial"/>
      <family val="2"/>
      <charset val="1"/>
    </font>
    <font>
      <b/>
      <sz val="10"/>
      <color indexed="8"/>
      <name val="Arial"/>
      <family val="2"/>
      <charset val="1"/>
    </font>
    <font>
      <b/>
      <sz val="10"/>
      <color rgb="FF00B050"/>
      <name val="Arial"/>
      <family val="2"/>
    </font>
    <font>
      <b/>
      <sz val="10"/>
      <color theme="4"/>
      <name val="Arial"/>
      <family val="2"/>
    </font>
    <font>
      <b/>
      <sz val="12"/>
      <color rgb="FF006600"/>
      <name val="Arial"/>
      <family val="2"/>
    </font>
    <font>
      <b/>
      <sz val="20"/>
      <name val="Arial"/>
      <family val="2"/>
    </font>
    <font>
      <b/>
      <sz val="10"/>
      <color rgb="FF006600"/>
      <name val="Arial"/>
      <family val="2"/>
    </font>
    <font>
      <sz val="14"/>
      <color indexed="8"/>
      <name val="Profile-RegularItalic"/>
      <family val="4"/>
    </font>
    <font>
      <sz val="10"/>
      <color theme="1"/>
      <name val="Arial"/>
      <family val="2"/>
    </font>
    <font>
      <sz val="10"/>
      <color rgb="FF006600"/>
      <name val="Arial"/>
      <family val="2"/>
    </font>
    <font>
      <sz val="10"/>
      <color rgb="FF0000FF"/>
      <name val="Arial"/>
      <family val="2"/>
    </font>
    <font>
      <sz val="12"/>
      <color theme="1"/>
      <name val="Calibri"/>
      <family val="2"/>
      <scheme val="minor"/>
    </font>
    <font>
      <sz val="11"/>
      <color rgb="FF666666"/>
      <name val="Arial"/>
      <family val="2"/>
    </font>
    <font>
      <b/>
      <sz val="10"/>
      <color theme="0" tint="-0.499984740745262"/>
      <name val="Arial"/>
      <family val="2"/>
    </font>
    <font>
      <b/>
      <sz val="8"/>
      <color theme="1" tint="0.499984740745262"/>
      <name val="Arial"/>
      <family val="2"/>
    </font>
    <font>
      <b/>
      <sz val="10"/>
      <color theme="1" tint="0.499984740745262"/>
      <name val="Arial"/>
      <family val="2"/>
    </font>
    <font>
      <sz val="10"/>
      <color theme="1" tint="0.499984740745262"/>
      <name val="Arial"/>
      <family val="2"/>
    </font>
    <font>
      <i/>
      <sz val="9"/>
      <color indexed="8"/>
      <name val="Arial"/>
      <family val="2"/>
    </font>
    <font>
      <sz val="9"/>
      <color theme="0" tint="-0.499984740745262"/>
      <name val="Arial"/>
      <family val="2"/>
    </font>
    <font>
      <sz val="9"/>
      <color theme="0" tint="-0.249977111117893"/>
      <name val="Arial"/>
      <family val="2"/>
    </font>
    <font>
      <b/>
      <sz val="10"/>
      <color theme="0" tint="-0.249977111117893"/>
      <name val="Arial"/>
      <family val="2"/>
    </font>
    <font>
      <b/>
      <sz val="9"/>
      <color theme="0" tint="-0.249977111117893"/>
      <name val="Arial"/>
      <family val="2"/>
    </font>
    <font>
      <sz val="6"/>
      <name val="Arial"/>
      <family val="2"/>
    </font>
    <font>
      <b/>
      <sz val="6"/>
      <name val="Arial"/>
      <family val="2"/>
    </font>
    <font>
      <b/>
      <sz val="26"/>
      <color theme="0"/>
      <name val="Arial"/>
      <family val="2"/>
    </font>
    <font>
      <u/>
      <sz val="10"/>
      <color rgb="FFC00000"/>
      <name val="Arial"/>
      <family val="2"/>
    </font>
  </fonts>
  <fills count="79">
    <fill>
      <patternFill patternType="none"/>
    </fill>
    <fill>
      <patternFill patternType="gray125"/>
    </fill>
    <fill>
      <patternFill patternType="solid">
        <fgColor indexed="49"/>
        <bgColor indexed="57"/>
      </patternFill>
    </fill>
    <fill>
      <patternFill patternType="solid">
        <fgColor indexed="10"/>
        <bgColor indexed="60"/>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4"/>
        <bgColor indexed="24"/>
      </patternFill>
    </fill>
    <fill>
      <patternFill patternType="solid">
        <fgColor indexed="13"/>
        <bgColor indexed="51"/>
      </patternFill>
    </fill>
    <fill>
      <patternFill patternType="solid">
        <fgColor indexed="27"/>
        <bgColor indexed="41"/>
      </patternFill>
    </fill>
    <fill>
      <patternFill patternType="solid">
        <fgColor indexed="26"/>
        <bgColor indexed="37"/>
      </patternFill>
    </fill>
    <fill>
      <patternFill patternType="solid">
        <fgColor indexed="26"/>
        <bgColor indexed="16"/>
      </patternFill>
    </fill>
    <fill>
      <patternFill patternType="solid">
        <fgColor indexed="14"/>
        <bgColor indexed="20"/>
      </patternFill>
    </fill>
    <fill>
      <patternFill patternType="solid">
        <fgColor indexed="55"/>
        <bgColor indexed="23"/>
      </patternFill>
    </fill>
    <fill>
      <patternFill patternType="solid">
        <fgColor indexed="22"/>
        <bgColor indexed="46"/>
      </patternFill>
    </fill>
    <fill>
      <patternFill patternType="solid">
        <fgColor indexed="9"/>
        <bgColor indexed="58"/>
      </patternFill>
    </fill>
    <fill>
      <patternFill patternType="solid">
        <fgColor indexed="30"/>
        <bgColor indexed="38"/>
      </patternFill>
    </fill>
    <fill>
      <patternFill patternType="solid">
        <fgColor indexed="38"/>
        <bgColor indexed="30"/>
      </patternFill>
    </fill>
    <fill>
      <patternFill patternType="solid">
        <fgColor indexed="42"/>
        <bgColor indexed="15"/>
      </patternFill>
    </fill>
    <fill>
      <patternFill patternType="solid">
        <fgColor indexed="9"/>
        <bgColor indexed="28"/>
      </patternFill>
    </fill>
    <fill>
      <patternFill patternType="solid">
        <fgColor indexed="38"/>
        <bgColor indexed="61"/>
      </patternFill>
    </fill>
    <fill>
      <patternFill patternType="solid">
        <fgColor indexed="27"/>
        <bgColor indexed="42"/>
      </patternFill>
    </fill>
    <fill>
      <patternFill patternType="solid">
        <fgColor indexed="9"/>
        <bgColor indexed="64"/>
      </patternFill>
    </fill>
    <fill>
      <patternFill patternType="solid">
        <fgColor rgb="FF0099CC"/>
        <bgColor indexed="28"/>
      </patternFill>
    </fill>
    <fill>
      <patternFill patternType="solid">
        <fgColor rgb="FF0099CC"/>
        <bgColor indexed="64"/>
      </patternFill>
    </fill>
    <fill>
      <patternFill patternType="solid">
        <fgColor rgb="FFCCFFFF"/>
        <bgColor indexed="15"/>
      </patternFill>
    </fill>
    <fill>
      <patternFill patternType="solid">
        <fgColor theme="0" tint="-0.14999847407452621"/>
        <bgColor indexed="16"/>
      </patternFill>
    </fill>
    <fill>
      <patternFill patternType="solid">
        <fgColor rgb="FFCCFFCC"/>
        <bgColor indexed="15"/>
      </patternFill>
    </fill>
    <fill>
      <patternFill patternType="solid">
        <fgColor theme="0" tint="-0.14999847407452621"/>
        <bgColor indexed="28"/>
      </patternFill>
    </fill>
    <fill>
      <patternFill patternType="solid">
        <fgColor theme="0" tint="-0.14999847407452621"/>
        <bgColor indexed="64"/>
      </patternFill>
    </fill>
    <fill>
      <patternFill patternType="solid">
        <fgColor theme="0" tint="-0.14999847407452621"/>
        <bgColor indexed="38"/>
      </patternFill>
    </fill>
    <fill>
      <patternFill patternType="solid">
        <fgColor rgb="FFCCFFFF"/>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rgb="FFFFFFCC"/>
        <bgColor indexed="16"/>
      </patternFill>
    </fill>
    <fill>
      <patternFill patternType="solid">
        <fgColor theme="0" tint="-0.14999847407452621"/>
        <bgColor indexed="61"/>
      </patternFill>
    </fill>
    <fill>
      <patternFill patternType="solid">
        <fgColor theme="0" tint="-0.14999847407452621"/>
        <bgColor indexed="15"/>
      </patternFill>
    </fill>
    <fill>
      <patternFill patternType="solid">
        <fgColor theme="0" tint="-0.14999847407452621"/>
        <bgColor indexed="46"/>
      </patternFill>
    </fill>
    <fill>
      <patternFill patternType="solid">
        <fgColor indexed="46"/>
        <bgColor indexed="60"/>
      </patternFill>
    </fill>
    <fill>
      <patternFill patternType="solid">
        <fgColor rgb="FF0070C0"/>
        <bgColor indexed="15"/>
      </patternFill>
    </fill>
    <fill>
      <patternFill patternType="solid">
        <fgColor theme="0" tint="-0.14999847407452621"/>
        <bgColor indexed="33"/>
      </patternFill>
    </fill>
    <fill>
      <patternFill patternType="solid">
        <fgColor theme="0" tint="-0.14999847407452621"/>
        <bgColor indexed="41"/>
      </patternFill>
    </fill>
    <fill>
      <patternFill patternType="solid">
        <fgColor rgb="FF0099CC"/>
        <bgColor indexed="46"/>
      </patternFill>
    </fill>
    <fill>
      <patternFill patternType="solid">
        <fgColor theme="0" tint="-4.9989318521683403E-2"/>
        <bgColor indexed="61"/>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
      <patternFill patternType="solid">
        <fgColor theme="6" tint="0.79998168889431442"/>
        <bgColor indexed="64"/>
      </patternFill>
    </fill>
    <fill>
      <patternFill patternType="solid">
        <fgColor rgb="FFCCFFCC"/>
        <bgColor indexed="58"/>
      </patternFill>
    </fill>
    <fill>
      <patternFill patternType="solid">
        <fgColor rgb="FFCCECFF"/>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58"/>
      </patternFill>
    </fill>
    <fill>
      <patternFill patternType="solid">
        <fgColor theme="0" tint="-0.249977111117893"/>
        <bgColor indexed="31"/>
      </patternFill>
    </fill>
    <fill>
      <patternFill patternType="solid">
        <fgColor theme="5" tint="0.79998168889431442"/>
        <bgColor indexed="64"/>
      </patternFill>
    </fill>
    <fill>
      <patternFill patternType="solid">
        <fgColor theme="0" tint="-0.14999847407452621"/>
        <bgColor indexed="37"/>
      </patternFill>
    </fill>
    <fill>
      <patternFill patternType="solid">
        <fgColor theme="4" tint="0.79998168889431442"/>
        <bgColor indexed="64"/>
      </patternFill>
    </fill>
    <fill>
      <patternFill patternType="solid">
        <fgColor rgb="FFFFFFCC"/>
        <bgColor indexed="37"/>
      </patternFill>
    </fill>
    <fill>
      <patternFill patternType="solid">
        <fgColor rgb="FFC0C0C0"/>
        <bgColor indexed="46"/>
      </patternFill>
    </fill>
    <fill>
      <patternFill patternType="solid">
        <fgColor rgb="FFFFC000"/>
        <bgColor indexed="64"/>
      </patternFill>
    </fill>
    <fill>
      <patternFill patternType="solid">
        <fgColor indexed="22"/>
        <bgColor indexed="61"/>
      </patternFill>
    </fill>
    <fill>
      <patternFill patternType="solid">
        <fgColor theme="0" tint="-0.249977111117893"/>
        <bgColor indexed="15"/>
      </patternFill>
    </fill>
    <fill>
      <patternFill patternType="solid">
        <fgColor theme="0" tint="-0.249977111117893"/>
        <bgColor indexed="46"/>
      </patternFill>
    </fill>
    <fill>
      <patternFill patternType="solid">
        <fgColor theme="3" tint="0.79998168889431442"/>
        <bgColor indexed="64"/>
      </patternFill>
    </fill>
    <fill>
      <patternFill patternType="solid">
        <fgColor theme="2" tint="-9.9978637043366805E-2"/>
        <bgColor indexed="64"/>
      </patternFill>
    </fill>
    <fill>
      <patternFill patternType="solid">
        <fgColor indexed="26"/>
        <bgColor indexed="64"/>
      </patternFill>
    </fill>
    <fill>
      <patternFill patternType="solid">
        <fgColor theme="0" tint="-0.249977111117893"/>
        <bgColor indexed="38"/>
      </patternFill>
    </fill>
    <fill>
      <patternFill patternType="solid">
        <fgColor rgb="FFFFFF00"/>
        <bgColor indexed="64"/>
      </patternFill>
    </fill>
    <fill>
      <patternFill patternType="solid">
        <fgColor theme="6" tint="0.59999389629810485"/>
        <bgColor indexed="64"/>
      </patternFill>
    </fill>
    <fill>
      <patternFill patternType="solid">
        <fgColor theme="2"/>
        <bgColor indexed="64"/>
      </patternFill>
    </fill>
    <fill>
      <patternFill patternType="solid">
        <fgColor rgb="FFC0C0C0"/>
        <bgColor indexed="64"/>
      </patternFill>
    </fill>
    <fill>
      <patternFill patternType="solid">
        <fgColor rgb="FF007E46"/>
        <bgColor indexed="64"/>
      </patternFill>
    </fill>
    <fill>
      <patternFill patternType="solid">
        <fgColor rgb="FF007E46"/>
        <bgColor indexed="28"/>
      </patternFill>
    </fill>
    <fill>
      <patternFill patternType="solid">
        <fgColor theme="0" tint="-0.249977111117893"/>
        <bgColor indexed="28"/>
      </patternFill>
    </fill>
    <fill>
      <patternFill patternType="solid">
        <fgColor rgb="FF007E46"/>
        <bgColor indexed="46"/>
      </patternFill>
    </fill>
    <fill>
      <patternFill patternType="solid">
        <fgColor rgb="FF007E46"/>
        <bgColor indexed="58"/>
      </patternFill>
    </fill>
  </fills>
  <borders count="31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right style="thin">
        <color indexed="8"/>
      </right>
      <top style="thin">
        <color indexed="8"/>
      </top>
      <bottom style="medium">
        <color indexed="8"/>
      </bottom>
      <diagonal/>
    </border>
    <border>
      <left style="medium">
        <color indexed="8"/>
      </left>
      <right/>
      <top style="thin">
        <color indexed="8"/>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medium">
        <color indexed="8"/>
      </top>
      <bottom/>
      <diagonal/>
    </border>
    <border>
      <left/>
      <right style="medium">
        <color indexed="8"/>
      </right>
      <top style="medium">
        <color indexed="8"/>
      </top>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style="thin">
        <color indexed="8"/>
      </top>
      <bottom style="thin">
        <color indexed="8"/>
      </bottom>
      <diagonal/>
    </border>
    <border>
      <left style="medium">
        <color indexed="8"/>
      </left>
      <right/>
      <top/>
      <bottom style="medium">
        <color indexed="8"/>
      </bottom>
      <diagonal/>
    </border>
    <border>
      <left style="medium">
        <color indexed="8"/>
      </left>
      <right style="medium">
        <color indexed="8"/>
      </right>
      <top/>
      <bottom/>
      <diagonal/>
    </border>
    <border>
      <left style="medium">
        <color indexed="8"/>
      </left>
      <right/>
      <top/>
      <bottom/>
      <diagonal/>
    </border>
    <border>
      <left style="medium">
        <color indexed="8"/>
      </left>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medium">
        <color indexed="8"/>
      </right>
      <top/>
      <bottom style="thin">
        <color indexed="8"/>
      </bottom>
      <diagonal/>
    </border>
    <border>
      <left/>
      <right style="medium">
        <color indexed="8"/>
      </right>
      <top style="thin">
        <color indexed="8"/>
      </top>
      <bottom style="thin">
        <color indexed="8"/>
      </bottom>
      <diagonal/>
    </border>
    <border>
      <left style="medium">
        <color indexed="8"/>
      </left>
      <right/>
      <top style="medium">
        <color indexed="8"/>
      </top>
      <bottom/>
      <diagonal/>
    </border>
    <border>
      <left/>
      <right style="medium">
        <color indexed="8"/>
      </right>
      <top/>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medium">
        <color indexed="8"/>
      </left>
      <right style="medium">
        <color indexed="8"/>
      </right>
      <top style="thin">
        <color indexed="8"/>
      </top>
      <bottom/>
      <diagonal/>
    </border>
    <border diagonalUp="1">
      <left style="thin">
        <color indexed="8"/>
      </left>
      <right style="thin">
        <color indexed="8"/>
      </right>
      <top style="thin">
        <color indexed="8"/>
      </top>
      <bottom style="thin">
        <color indexed="8"/>
      </bottom>
      <diagonal style="thin">
        <color indexed="8"/>
      </diagonal>
    </border>
    <border>
      <left/>
      <right style="thin">
        <color indexed="8"/>
      </right>
      <top style="thin">
        <color indexed="8"/>
      </top>
      <bottom/>
      <diagonal/>
    </border>
    <border>
      <left/>
      <right/>
      <top style="thin">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diagonalUp="1">
      <left style="medium">
        <color indexed="8"/>
      </left>
      <right style="thin">
        <color indexed="8"/>
      </right>
      <top style="medium">
        <color indexed="8"/>
      </top>
      <bottom style="thin">
        <color indexed="8"/>
      </bottom>
      <diagonal style="thin">
        <color indexed="8"/>
      </diagonal>
    </border>
    <border diagonalUp="1">
      <left style="thin">
        <color indexed="8"/>
      </left>
      <right style="thin">
        <color indexed="8"/>
      </right>
      <top style="medium">
        <color indexed="8"/>
      </top>
      <bottom style="thin">
        <color indexed="8"/>
      </bottom>
      <diagonal style="thin">
        <color indexed="8"/>
      </diagonal>
    </border>
    <border diagonalUp="1">
      <left style="medium">
        <color indexed="8"/>
      </left>
      <right style="thin">
        <color indexed="8"/>
      </right>
      <top style="thin">
        <color indexed="8"/>
      </top>
      <bottom style="thin">
        <color indexed="8"/>
      </bottom>
      <diagonal style="thin">
        <color indexed="8"/>
      </diagonal>
    </border>
    <border>
      <left/>
      <right/>
      <top/>
      <bottom style="thin">
        <color indexed="8"/>
      </bottom>
      <diagonal/>
    </border>
    <border diagonalUp="1">
      <left style="medium">
        <color indexed="8"/>
      </left>
      <right style="thin">
        <color indexed="8"/>
      </right>
      <top style="thin">
        <color indexed="8"/>
      </top>
      <bottom style="medium">
        <color indexed="8"/>
      </bottom>
      <diagonal style="thin">
        <color indexed="8"/>
      </diagonal>
    </border>
    <border diagonalUp="1">
      <left style="thin">
        <color indexed="8"/>
      </left>
      <right style="thin">
        <color indexed="8"/>
      </right>
      <top style="thin">
        <color indexed="8"/>
      </top>
      <bottom style="medium">
        <color indexed="8"/>
      </bottom>
      <diagonal style="thin">
        <color indexed="8"/>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top style="medium">
        <color indexed="8"/>
      </top>
      <bottom style="thin">
        <color indexed="8"/>
      </bottom>
      <diagonal/>
    </border>
    <border>
      <left style="hair">
        <color indexed="8"/>
      </left>
      <right style="hair">
        <color indexed="8"/>
      </right>
      <top style="hair">
        <color indexed="8"/>
      </top>
      <bottom style="hair">
        <color indexed="8"/>
      </bottom>
      <diagonal/>
    </border>
    <border>
      <left/>
      <right style="thin">
        <color indexed="8"/>
      </right>
      <top style="medium">
        <color indexed="8"/>
      </top>
      <bottom style="medium">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bottom style="thin">
        <color indexed="8"/>
      </bottom>
      <diagonal/>
    </border>
    <border>
      <left style="thin">
        <color indexed="8"/>
      </left>
      <right/>
      <top/>
      <bottom style="thin">
        <color indexed="64"/>
      </bottom>
      <diagonal/>
    </border>
    <border>
      <left/>
      <right style="thin">
        <color indexed="8"/>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right style="thin">
        <color indexed="8"/>
      </right>
      <top style="thin">
        <color theme="0" tint="-0.499984740745262"/>
      </top>
      <bottom style="thin">
        <color theme="0" tint="-0.499984740745262"/>
      </bottom>
      <diagonal/>
    </border>
    <border>
      <left style="thin">
        <color indexed="64"/>
      </left>
      <right style="thin">
        <color indexed="64"/>
      </right>
      <top/>
      <bottom style="thin">
        <color indexed="64"/>
      </bottom>
      <diagonal/>
    </border>
    <border>
      <left style="medium">
        <color indexed="64"/>
      </left>
      <right style="medium">
        <color indexed="8"/>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top style="medium">
        <color indexed="64"/>
      </top>
      <bottom style="thin">
        <color indexed="8"/>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8"/>
      </right>
      <top style="medium">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medium">
        <color indexed="8"/>
      </left>
      <right style="thin">
        <color indexed="8"/>
      </right>
      <top/>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diagonal/>
    </border>
    <border>
      <left/>
      <right style="medium">
        <color indexed="8"/>
      </right>
      <top style="thin">
        <color indexed="8"/>
      </top>
      <bottom/>
      <diagonal/>
    </border>
    <border>
      <left style="medium">
        <color indexed="64"/>
      </left>
      <right/>
      <top/>
      <bottom/>
      <diagonal/>
    </border>
    <border>
      <left style="thin">
        <color indexed="8"/>
      </left>
      <right style="medium">
        <color indexed="64"/>
      </right>
      <top style="thin">
        <color indexed="8"/>
      </top>
      <bottom style="medium">
        <color indexed="64"/>
      </bottom>
      <diagonal/>
    </border>
    <border>
      <left/>
      <right/>
      <top style="thin">
        <color indexed="64"/>
      </top>
      <bottom style="thin">
        <color indexed="64"/>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8"/>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8"/>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8"/>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bottom style="thin">
        <color auto="1"/>
      </bottom>
      <diagonal/>
    </border>
    <border>
      <left style="medium">
        <color indexed="64"/>
      </left>
      <right style="medium">
        <color indexed="64"/>
      </right>
      <top/>
      <bottom/>
      <diagonal/>
    </border>
    <border>
      <left/>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style="thin">
        <color indexed="64"/>
      </left>
      <right style="medium">
        <color indexed="64"/>
      </right>
      <top style="thin">
        <color indexed="64"/>
      </top>
      <bottom style="medium">
        <color indexed="64"/>
      </bottom>
      <diagonal/>
    </border>
    <border>
      <left/>
      <right style="thin">
        <color auto="1"/>
      </right>
      <top/>
      <bottom/>
      <diagonal/>
    </border>
    <border>
      <left style="thin">
        <color indexed="64"/>
      </left>
      <right/>
      <top/>
      <bottom style="thin">
        <color auto="1"/>
      </bottom>
      <diagonal/>
    </border>
    <border>
      <left/>
      <right style="thin">
        <color indexed="64"/>
      </right>
      <top/>
      <bottom style="thin">
        <color indexed="64"/>
      </bottom>
      <diagonal/>
    </border>
    <border>
      <left style="thin">
        <color indexed="64"/>
      </left>
      <right style="thin">
        <color auto="1"/>
      </right>
      <top/>
      <bottom/>
      <diagonal/>
    </border>
    <border>
      <left style="thin">
        <color indexed="8"/>
      </left>
      <right style="thin">
        <color indexed="8"/>
      </right>
      <top style="thin">
        <color indexed="8"/>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style="thin">
        <color indexed="64"/>
      </left>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indexed="8"/>
      </left>
      <right style="thin">
        <color indexed="8"/>
      </right>
      <top style="thin">
        <color indexed="8"/>
      </top>
      <bottom style="thin">
        <color indexed="8"/>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theme="0" tint="-0.499984740745262"/>
      </left>
      <right/>
      <top style="thin">
        <color theme="0" tint="-0.499984740745262"/>
      </top>
      <bottom style="thin">
        <color indexed="64"/>
      </bottom>
      <diagonal/>
    </border>
    <border>
      <left/>
      <right style="thin">
        <color indexed="8"/>
      </right>
      <top style="thin">
        <color theme="0" tint="-0.499984740745262"/>
      </top>
      <bottom style="thin">
        <color indexed="64"/>
      </bottom>
      <diagonal/>
    </border>
    <border>
      <left style="thin">
        <color indexed="8"/>
      </left>
      <right style="thin">
        <color indexed="8"/>
      </right>
      <top style="thin">
        <color indexed="8"/>
      </top>
      <bottom style="thin">
        <color indexed="64"/>
      </bottom>
      <diagonal/>
    </border>
    <border>
      <left/>
      <right/>
      <top/>
      <bottom style="thin">
        <color indexed="64"/>
      </bottom>
      <diagonal/>
    </border>
    <border>
      <left style="thin">
        <color indexed="64"/>
      </left>
      <right style="thin">
        <color theme="0" tint="-0.499984740745262"/>
      </right>
      <top style="thin">
        <color indexed="64"/>
      </top>
      <bottom style="medium">
        <color indexed="64"/>
      </bottom>
      <diagonal/>
    </border>
    <border>
      <left style="thin">
        <color theme="0" tint="-0.499984740745262"/>
      </left>
      <right style="thin">
        <color theme="0" tint="-0.499984740745262"/>
      </right>
      <top style="thin">
        <color indexed="64"/>
      </top>
      <bottom style="medium">
        <color indexed="64"/>
      </bottom>
      <diagonal/>
    </border>
    <border>
      <left style="thin">
        <color theme="0" tint="-0.499984740745262"/>
      </left>
      <right/>
      <top style="thin">
        <color indexed="64"/>
      </top>
      <bottom style="medium">
        <color indexed="64"/>
      </bottom>
      <diagonal/>
    </border>
    <border>
      <left/>
      <right style="thin">
        <color theme="0" tint="-0.499984740745262"/>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top style="thin">
        <color indexed="64"/>
      </top>
      <bottom style="thin">
        <color theme="0" tint="-0.499984740745262"/>
      </bottom>
      <diagonal/>
    </border>
    <border>
      <left/>
      <right style="thin">
        <color indexed="8"/>
      </right>
      <top style="medium">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right style="thin">
        <color indexed="64"/>
      </right>
      <top style="medium">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theme="0" tint="-0.499984740745262"/>
      </left>
      <right style="thin">
        <color theme="0" tint="-0.499984740745262"/>
      </right>
      <top/>
      <bottom style="medium">
        <color theme="0" tint="-0.499984740745262"/>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thin">
        <color indexed="8"/>
      </top>
      <bottom/>
      <diagonal/>
    </border>
    <border>
      <left/>
      <right style="thin">
        <color indexed="8"/>
      </right>
      <top/>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hair">
        <color indexed="8"/>
      </bottom>
      <diagonal/>
    </border>
    <border>
      <left/>
      <right style="thin">
        <color indexed="64"/>
      </right>
      <top/>
      <bottom/>
      <diagonal/>
    </border>
    <border>
      <left style="thin">
        <color indexed="8"/>
      </left>
      <right style="thin">
        <color indexed="64"/>
      </right>
      <top style="thin">
        <color indexed="8"/>
      </top>
      <bottom style="thin">
        <color indexed="8"/>
      </bottom>
      <diagonal/>
    </border>
    <border>
      <left style="thin">
        <color indexed="8"/>
      </left>
      <right style="thin">
        <color indexed="64"/>
      </right>
      <top/>
      <bottom style="thin">
        <color indexed="8"/>
      </bottom>
      <diagonal/>
    </border>
    <border>
      <left/>
      <right style="thin">
        <color indexed="64"/>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bottom style="thin">
        <color indexed="8"/>
      </bottom>
      <diagonal/>
    </border>
    <border>
      <left/>
      <right style="thin">
        <color indexed="64"/>
      </right>
      <top/>
      <bottom style="thin">
        <color indexed="8"/>
      </bottom>
      <diagonal/>
    </border>
    <border>
      <left style="medium">
        <color theme="0" tint="-0.499984740745262"/>
      </left>
      <right/>
      <top style="medium">
        <color theme="0" tint="-0.499984740745262"/>
      </top>
      <bottom style="thin">
        <color theme="0" tint="-0.499984740745262"/>
      </bottom>
      <diagonal/>
    </border>
    <border>
      <left style="thin">
        <color theme="0" tint="-0.499984740745262"/>
      </left>
      <right/>
      <top style="medium">
        <color theme="0" tint="-0.499984740745262"/>
      </top>
      <bottom style="medium">
        <color theme="0" tint="-0.499984740745262"/>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medium">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thin">
        <color indexed="8"/>
      </left>
      <right style="medium">
        <color indexed="64"/>
      </right>
      <top style="medium">
        <color indexed="8"/>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theme="0" tint="-0.499984740745262"/>
      </right>
      <top style="medium">
        <color theme="0" tint="-0.499984740745262"/>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medium">
        <color theme="0" tint="-0.499984740745262"/>
      </left>
      <right/>
      <top/>
      <bottom style="medium">
        <color theme="0" tint="-0.499984740745262"/>
      </bottom>
      <diagonal/>
    </border>
    <border>
      <left/>
      <right/>
      <top style="medium">
        <color theme="0" tint="-0.499984740745262"/>
      </top>
      <bottom style="thin">
        <color theme="0"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diagonal/>
    </border>
    <border>
      <left style="thin">
        <color theme="0" tint="-0.499984740745262"/>
      </left>
      <right style="thin">
        <color indexed="64"/>
      </right>
      <top style="thin">
        <color theme="0" tint="-0.499984740745262"/>
      </top>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style="thin">
        <color indexed="64"/>
      </right>
      <top style="thin">
        <color indexed="64"/>
      </top>
      <bottom style="thin">
        <color indexed="64"/>
      </bottom>
      <diagonal/>
    </border>
    <border>
      <left style="thin">
        <color theme="0" tint="-0.499984740745262"/>
      </left>
      <right style="thin">
        <color theme="0" tint="-0.499984740745262"/>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style="thin">
        <color auto="1"/>
      </top>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style="thin">
        <color theme="1" tint="0.34998626667073579"/>
      </left>
      <right/>
      <top/>
      <bottom/>
      <diagonal/>
    </border>
  </borders>
  <cellStyleXfs count="6262">
    <xf numFmtId="0" fontId="0" fillId="0" borderId="0"/>
    <xf numFmtId="0" fontId="6" fillId="2" borderId="0" applyNumberFormat="0" applyBorder="0" applyProtection="0"/>
    <xf numFmtId="0" fontId="6" fillId="3" borderId="0" applyNumberFormat="0" applyBorder="0" applyProtection="0"/>
    <xf numFmtId="0" fontId="6" fillId="4" borderId="0" applyNumberFormat="0" applyBorder="0" applyProtection="0"/>
    <xf numFmtId="0" fontId="6" fillId="5" borderId="0" applyNumberFormat="0" applyBorder="0" applyProtection="0"/>
    <xf numFmtId="0" fontId="6" fillId="2" borderId="0" applyNumberFormat="0" applyBorder="0" applyProtection="0"/>
    <xf numFmtId="0" fontId="6" fillId="6" borderId="0" applyNumberFormat="0" applyBorder="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7" fillId="7" borderId="1"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8" fillId="7"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9" fillId="8" borderId="2" applyNumberFormat="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0" fillId="0" borderId="3" applyNumberFormat="0" applyFill="0" applyProtection="0"/>
    <xf numFmtId="0" fontId="11" fillId="0" borderId="0" applyNumberFormat="0" applyFill="0" applyBorder="0" applyProtection="0"/>
    <xf numFmtId="0" fontId="99" fillId="0" borderId="0" applyBorder="0" applyProtection="0"/>
    <xf numFmtId="0" fontId="13" fillId="0" borderId="0" applyNumberFormat="0" applyFill="0" applyBorder="0" applyProtection="0"/>
    <xf numFmtId="0" fontId="12" fillId="9" borderId="0" applyNumberFormat="0" applyBorder="0" applyProtection="0"/>
    <xf numFmtId="0" fontId="26" fillId="0" borderId="0" applyNumberFormat="0" applyFill="0" applyBorder="0" applyProtection="0"/>
    <xf numFmtId="0" fontId="100" fillId="0" borderId="0" applyBorder="0" applyProtection="0"/>
    <xf numFmtId="0" fontId="13" fillId="0" borderId="0" applyNumberFormat="0" applyFill="0" applyBorder="0" applyProtection="0"/>
    <xf numFmtId="0" fontId="13" fillId="0" borderId="0" applyNumberFormat="0" applyFill="0" applyBorder="0" applyProtection="0"/>
    <xf numFmtId="43" fontId="3" fillId="0" borderId="0" applyFont="0" applyFill="0" applyBorder="0" applyAlignment="0" applyProtection="0"/>
    <xf numFmtId="164" fontId="87" fillId="0" borderId="0" applyFill="0" applyBorder="0" applyProtection="0"/>
    <xf numFmtId="165" fontId="87" fillId="0" borderId="0" applyFill="0" applyBorder="0" applyProtection="0"/>
    <xf numFmtId="164" fontId="87" fillId="0" borderId="0" applyFill="0" applyBorder="0" applyProtection="0"/>
    <xf numFmtId="0" fontId="13" fillId="0" borderId="0" applyNumberFormat="0" applyFill="0" applyBorder="0" applyProtection="0"/>
    <xf numFmtId="0" fontId="13" fillId="0" borderId="0" applyNumberFormat="0" applyFill="0" applyBorder="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3" fillId="0" borderId="0" applyNumberFormat="0" applyFill="0" applyBorder="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0" fillId="0" borderId="0" applyBorder="0" applyProtection="0"/>
    <xf numFmtId="0" fontId="26" fillId="0" borderId="0" applyNumberFormat="0" applyFill="0" applyBorder="0" applyProtection="0"/>
    <xf numFmtId="0" fontId="14" fillId="8" borderId="0" applyNumberFormat="0" applyBorder="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1" borderId="4" applyNumberFormat="0" applyProtection="0"/>
    <xf numFmtId="0" fontId="87" fillId="11" borderId="4" applyNumberFormat="0" applyProtection="0"/>
    <xf numFmtId="0" fontId="87" fillId="10"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1"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87" fillId="10" borderId="4" applyNumberFormat="0" applyProtection="0"/>
    <xf numFmtId="0" fontId="13" fillId="0" borderId="0" applyNumberFormat="0" applyFill="0" applyBorder="0" applyProtection="0"/>
    <xf numFmtId="9" fontId="87" fillId="0" borderId="0" applyFill="0" applyBorder="0" applyProtection="0"/>
    <xf numFmtId="0" fontId="13" fillId="0" borderId="0" applyNumberFormat="0" applyFill="0" applyBorder="0" applyProtection="0"/>
    <xf numFmtId="0" fontId="13" fillId="0" borderId="0" applyNumberFormat="0" applyFill="0" applyBorder="0" applyProtection="0"/>
    <xf numFmtId="0" fontId="13" fillId="0" borderId="0" applyNumberFormat="0" applyFill="0" applyBorder="0" applyProtection="0"/>
    <xf numFmtId="0" fontId="90" fillId="0" borderId="0" applyBorder="0" applyProtection="0"/>
    <xf numFmtId="0" fontId="13" fillId="0" borderId="0" applyNumberFormat="0" applyFill="0" applyBorder="0" applyProtection="0"/>
    <xf numFmtId="0" fontId="15" fillId="12" borderId="0" applyNumberFormat="0" applyBorder="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1" fillId="0" borderId="0"/>
    <xf numFmtId="0" fontId="87" fillId="0" borderId="0"/>
    <xf numFmtId="0" fontId="87" fillId="0" borderId="0"/>
    <xf numFmtId="0" fontId="91" fillId="0" borderId="0"/>
    <xf numFmtId="0" fontId="87" fillId="0" borderId="0"/>
    <xf numFmtId="0" fontId="98" fillId="0" borderId="0"/>
    <xf numFmtId="0" fontId="98" fillId="0" borderId="0"/>
    <xf numFmtId="0" fontId="98" fillId="0" borderId="0"/>
    <xf numFmtId="0" fontId="98" fillId="0" borderId="0"/>
    <xf numFmtId="0" fontId="98" fillId="0" borderId="0"/>
    <xf numFmtId="0" fontId="98" fillId="0" borderId="0"/>
    <xf numFmtId="0" fontId="87" fillId="0" borderId="0"/>
    <xf numFmtId="0" fontId="88" fillId="0" borderId="0"/>
    <xf numFmtId="0" fontId="87" fillId="0" borderId="0"/>
    <xf numFmtId="0" fontId="87" fillId="0" borderId="0"/>
    <xf numFmtId="0" fontId="16" fillId="0" borderId="0"/>
    <xf numFmtId="0" fontId="16" fillId="0" borderId="0"/>
    <xf numFmtId="0" fontId="16" fillId="0" borderId="0"/>
    <xf numFmtId="0" fontId="16" fillId="0" borderId="0"/>
    <xf numFmtId="0" fontId="87" fillId="0" borderId="0"/>
    <xf numFmtId="0" fontId="16" fillId="0" borderId="0"/>
    <xf numFmtId="0" fontId="87"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87" fillId="0" borderId="0"/>
    <xf numFmtId="0" fontId="20" fillId="0" borderId="0" applyNumberFormat="0" applyFill="0" applyBorder="0" applyProtection="0"/>
    <xf numFmtId="0" fontId="21" fillId="0" borderId="5" applyNumberFormat="0" applyFill="0" applyProtection="0"/>
    <xf numFmtId="0" fontId="20" fillId="0" borderId="0" applyNumberFormat="0" applyFill="0" applyBorder="0" applyProtection="0"/>
    <xf numFmtId="0" fontId="22" fillId="0" borderId="6" applyNumberFormat="0" applyFill="0" applyProtection="0"/>
    <xf numFmtId="0" fontId="23" fillId="0" borderId="7" applyNumberFormat="0" applyFill="0" applyProtection="0"/>
    <xf numFmtId="0" fontId="23" fillId="0" borderId="7" applyNumberFormat="0" applyFill="0" applyProtection="0"/>
    <xf numFmtId="0" fontId="23" fillId="0" borderId="7" applyNumberFormat="0" applyFill="0" applyProtection="0"/>
    <xf numFmtId="0" fontId="23" fillId="0" borderId="7" applyNumberFormat="0" applyFill="0" applyProtection="0"/>
    <xf numFmtId="0" fontId="23" fillId="0" borderId="0" applyNumberFormat="0" applyFill="0" applyBorder="0" applyProtection="0"/>
    <xf numFmtId="0" fontId="17" fillId="0" borderId="8" applyNumberFormat="0" applyFill="0" applyProtection="0"/>
    <xf numFmtId="44" fontId="87" fillId="0" borderId="0" applyFont="0" applyFill="0" applyBorder="0" applyAlignment="0" applyProtection="0"/>
    <xf numFmtId="172" fontId="88" fillId="0" borderId="0" applyBorder="0" applyProtection="0"/>
    <xf numFmtId="44" fontId="87" fillId="0" borderId="0" applyFont="0" applyFill="0" applyBorder="0" applyAlignment="0" applyProtection="0"/>
    <xf numFmtId="0" fontId="18" fillId="0" borderId="0" applyNumberFormat="0" applyFill="0" applyBorder="0" applyProtection="0"/>
    <xf numFmtId="0" fontId="19" fillId="13" borderId="9"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0" borderId="298" applyNumberFormat="0" applyProtection="0"/>
    <xf numFmtId="0" fontId="87" fillId="10" borderId="298" applyNumberForma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7" fillId="7" borderId="295"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8" fillId="7"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9" fillId="8" borderId="296" applyNumberFormat="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0" fontId="10" fillId="0" borderId="297" applyNumberForma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1" borderId="298" applyNumberFormat="0" applyProtection="0"/>
    <xf numFmtId="0" fontId="87" fillId="11" borderId="298" applyNumberFormat="0" applyProtection="0"/>
    <xf numFmtId="0" fontId="87" fillId="10"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1"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87" fillId="10" borderId="298" applyNumberForma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cellStyleXfs>
  <cellXfs count="2734">
    <xf numFmtId="0" fontId="0" fillId="0" borderId="0" xfId="0"/>
    <xf numFmtId="0" fontId="24" fillId="0" borderId="0" xfId="0" applyFont="1"/>
    <xf numFmtId="0" fontId="24" fillId="15" borderId="0" xfId="0" applyFont="1" applyFill="1"/>
    <xf numFmtId="0" fontId="0" fillId="0" borderId="11" xfId="0" applyFont="1" applyBorder="1" applyAlignment="1">
      <alignment horizontal="center" vertical="center"/>
    </xf>
    <xf numFmtId="0" fontId="24" fillId="0" borderId="11" xfId="0" applyFont="1" applyBorder="1"/>
    <xf numFmtId="0" fontId="24" fillId="0" borderId="0" xfId="0" applyFont="1" applyFill="1" applyBorder="1"/>
    <xf numFmtId="0" fontId="0" fillId="0" borderId="0" xfId="0" applyFill="1" applyBorder="1"/>
    <xf numFmtId="0" fontId="87" fillId="15" borderId="0" xfId="2821" applyFill="1"/>
    <xf numFmtId="0" fontId="0" fillId="15" borderId="0" xfId="0" applyFill="1"/>
    <xf numFmtId="0" fontId="87" fillId="15" borderId="0" xfId="2821" applyFill="1" applyProtection="1"/>
    <xf numFmtId="0" fontId="0" fillId="0" borderId="0" xfId="0" applyProtection="1"/>
    <xf numFmtId="0" fontId="0" fillId="0" borderId="0" xfId="0" applyProtection="1">
      <protection locked="0"/>
    </xf>
    <xf numFmtId="0" fontId="40" fillId="15" borderId="0" xfId="2821" applyFont="1" applyFill="1" applyAlignment="1">
      <alignment vertical="center"/>
    </xf>
    <xf numFmtId="0" fontId="0" fillId="0" borderId="0" xfId="2821" applyFont="1"/>
    <xf numFmtId="0" fontId="25" fillId="0" borderId="0" xfId="0" applyFont="1"/>
    <xf numFmtId="0" fontId="0" fillId="0" borderId="0" xfId="0" applyAlignment="1">
      <alignment horizontal="center"/>
    </xf>
    <xf numFmtId="0" fontId="0" fillId="0" borderId="0" xfId="0" applyAlignment="1">
      <alignment horizontal="left"/>
    </xf>
    <xf numFmtId="0" fontId="0" fillId="10" borderId="0" xfId="0" applyFill="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14" borderId="43" xfId="0" applyFill="1" applyBorder="1"/>
    <xf numFmtId="0" fontId="0" fillId="14" borderId="44" xfId="0" applyFill="1" applyBorder="1"/>
    <xf numFmtId="0" fontId="0" fillId="14" borderId="43" xfId="0" applyFill="1" applyBorder="1" applyAlignment="1">
      <alignment horizontal="center"/>
    </xf>
    <xf numFmtId="0" fontId="0" fillId="14" borderId="45" xfId="0" applyFill="1" applyBorder="1" applyAlignment="1">
      <alignment horizontal="center"/>
    </xf>
    <xf numFmtId="0" fontId="0" fillId="14" borderId="43" xfId="0" applyFill="1" applyBorder="1" applyAlignment="1">
      <alignment horizontal="center" vertical="center"/>
    </xf>
    <xf numFmtId="0" fontId="0" fillId="14" borderId="45" xfId="0" applyFill="1" applyBorder="1" applyAlignment="1">
      <alignment horizontal="center" vertical="center"/>
    </xf>
    <xf numFmtId="0" fontId="0" fillId="14" borderId="46" xfId="0" applyFill="1" applyBorder="1" applyAlignment="1">
      <alignment horizontal="center" vertical="center"/>
    </xf>
    <xf numFmtId="0" fontId="0" fillId="14" borderId="12" xfId="0" applyFont="1" applyFill="1" applyBorder="1" applyAlignment="1">
      <alignment horizontal="center" vertical="center"/>
    </xf>
    <xf numFmtId="0" fontId="0" fillId="14" borderId="44" xfId="0" applyFill="1" applyBorder="1" applyAlignment="1">
      <alignment horizontal="center"/>
    </xf>
    <xf numFmtId="0" fontId="0" fillId="0" borderId="11" xfId="0" applyBorder="1" applyAlignment="1">
      <alignment horizontal="left" vertical="center"/>
    </xf>
    <xf numFmtId="3" fontId="0" fillId="0" borderId="11" xfId="0" applyNumberFormat="1" applyFill="1" applyBorder="1" applyAlignment="1">
      <alignment horizontal="center" vertical="center"/>
    </xf>
    <xf numFmtId="3" fontId="0" fillId="0" borderId="12" xfId="0" applyNumberFormat="1" applyBorder="1" applyAlignment="1">
      <alignment horizontal="center" vertical="center"/>
    </xf>
    <xf numFmtId="1" fontId="0" fillId="0" borderId="35" xfId="0" applyNumberFormat="1" applyBorder="1" applyAlignment="1">
      <alignment horizontal="center" vertical="center"/>
    </xf>
    <xf numFmtId="1" fontId="0" fillId="0" borderId="17" xfId="0" applyNumberFormat="1" applyBorder="1" applyAlignment="1">
      <alignment horizontal="center" vertical="center"/>
    </xf>
    <xf numFmtId="1" fontId="0" fillId="0" borderId="11" xfId="0" applyNumberFormat="1" applyBorder="1" applyAlignment="1">
      <alignment horizontal="center" vertical="center"/>
    </xf>
    <xf numFmtId="1" fontId="0" fillId="0" borderId="23" xfId="0" applyNumberFormat="1" applyBorder="1" applyAlignment="1">
      <alignment horizontal="center" vertical="center"/>
    </xf>
    <xf numFmtId="3" fontId="0" fillId="0" borderId="55" xfId="0" applyNumberFormat="1" applyBorder="1" applyAlignment="1">
      <alignment horizontal="center" vertical="center"/>
    </xf>
    <xf numFmtId="167" fontId="0" fillId="0" borderId="17" xfId="0" applyNumberFormat="1" applyBorder="1" applyAlignment="1">
      <alignment horizontal="center" vertical="center"/>
    </xf>
    <xf numFmtId="167" fontId="0" fillId="0" borderId="11" xfId="0" applyNumberFormat="1" applyBorder="1" applyAlignment="1">
      <alignment horizontal="center" vertical="center"/>
    </xf>
    <xf numFmtId="167" fontId="0" fillId="0" borderId="23" xfId="0" applyNumberFormat="1" applyBorder="1" applyAlignment="1">
      <alignment horizontal="center" vertical="center"/>
    </xf>
    <xf numFmtId="167" fontId="0" fillId="0" borderId="48" xfId="0" applyNumberFormat="1" applyBorder="1" applyAlignment="1">
      <alignment horizontal="center" vertical="center"/>
    </xf>
    <xf numFmtId="3" fontId="0" fillId="0" borderId="48" xfId="0" applyNumberFormat="1" applyBorder="1" applyAlignment="1">
      <alignment horizontal="center" vertical="center"/>
    </xf>
    <xf numFmtId="0" fontId="0" fillId="0" borderId="17" xfId="0" applyBorder="1" applyAlignment="1">
      <alignment horizontal="center" vertical="center"/>
    </xf>
    <xf numFmtId="0" fontId="0" fillId="0" borderId="23" xfId="0" applyBorder="1" applyAlignment="1">
      <alignment horizontal="center" vertical="center"/>
    </xf>
    <xf numFmtId="3" fontId="0" fillId="0" borderId="52" xfId="0" applyNumberFormat="1" applyBorder="1" applyAlignment="1">
      <alignment horizontal="center" vertical="center"/>
    </xf>
    <xf numFmtId="3" fontId="0" fillId="0" borderId="35" xfId="0" applyNumberFormat="1" applyBorder="1" applyAlignment="1">
      <alignment horizontal="center" vertical="center"/>
    </xf>
    <xf numFmtId="3" fontId="0" fillId="0" borderId="36" xfId="0" applyNumberFormat="1" applyBorder="1" applyAlignment="1">
      <alignment horizontal="center" vertical="center"/>
    </xf>
    <xf numFmtId="4" fontId="0" fillId="0" borderId="39" xfId="0" applyNumberFormat="1" applyBorder="1" applyAlignment="1">
      <alignment horizontal="center" vertical="center"/>
    </xf>
    <xf numFmtId="1" fontId="0" fillId="0" borderId="56" xfId="0" applyNumberFormat="1" applyBorder="1" applyAlignment="1">
      <alignment horizontal="center" vertical="center"/>
    </xf>
    <xf numFmtId="167" fontId="0" fillId="0" borderId="35" xfId="0" applyNumberFormat="1" applyBorder="1" applyAlignment="1">
      <alignment horizontal="center" vertical="center"/>
    </xf>
    <xf numFmtId="167" fontId="0" fillId="0" borderId="52" xfId="0" applyNumberFormat="1" applyBorder="1" applyAlignment="1">
      <alignment horizontal="center" vertical="center"/>
    </xf>
    <xf numFmtId="167" fontId="0" fillId="0" borderId="12" xfId="0" applyNumberFormat="1" applyBorder="1" applyAlignment="1">
      <alignment horizontal="center" vertical="center"/>
    </xf>
    <xf numFmtId="2" fontId="0" fillId="0" borderId="35" xfId="0" applyNumberFormat="1" applyBorder="1" applyAlignment="1">
      <alignment horizontal="center" vertical="center"/>
    </xf>
    <xf numFmtId="167" fontId="0" fillId="0" borderId="11" xfId="0" applyNumberFormat="1" applyBorder="1" applyAlignment="1">
      <alignment horizontal="center"/>
    </xf>
    <xf numFmtId="2" fontId="0" fillId="0" borderId="11" xfId="0" applyNumberFormat="1" applyBorder="1" applyAlignment="1">
      <alignment horizontal="center" vertical="center"/>
    </xf>
    <xf numFmtId="167" fontId="0" fillId="0" borderId="36" xfId="0" applyNumberFormat="1" applyBorder="1" applyAlignment="1">
      <alignment horizontal="center"/>
    </xf>
    <xf numFmtId="0" fontId="0" fillId="0" borderId="11" xfId="0" applyBorder="1"/>
    <xf numFmtId="0" fontId="24" fillId="0" borderId="12" xfId="0" applyFont="1" applyBorder="1"/>
    <xf numFmtId="0" fontId="0" fillId="0" borderId="3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35" xfId="0" applyBorder="1" applyAlignment="1">
      <alignment horizontal="center" vertical="center"/>
    </xf>
    <xf numFmtId="0" fontId="0" fillId="0" borderId="36" xfId="0" applyBorder="1" applyAlignment="1">
      <alignment horizontal="center" vertical="center"/>
    </xf>
    <xf numFmtId="167" fontId="0" fillId="0" borderId="36" xfId="0" applyNumberFormat="1" applyBorder="1" applyAlignment="1">
      <alignment horizontal="center" vertical="center"/>
    </xf>
    <xf numFmtId="0" fontId="25" fillId="0" borderId="23" xfId="0" applyFont="1" applyBorder="1" applyAlignment="1">
      <alignment horizontal="left" vertical="center"/>
    </xf>
    <xf numFmtId="0" fontId="25" fillId="0" borderId="12" xfId="0" applyFont="1" applyBorder="1" applyAlignment="1">
      <alignment horizontal="center" vertical="center"/>
    </xf>
    <xf numFmtId="0" fontId="25" fillId="0" borderId="11" xfId="0" applyFont="1" applyBorder="1" applyAlignment="1">
      <alignment horizontal="center" vertical="center"/>
    </xf>
    <xf numFmtId="0" fontId="0" fillId="14" borderId="51" xfId="0" applyFill="1" applyBorder="1" applyAlignment="1">
      <alignment horizontal="center" vertical="center"/>
    </xf>
    <xf numFmtId="0" fontId="0" fillId="14" borderId="0" xfId="0" applyFill="1" applyBorder="1" applyAlignment="1">
      <alignment horizontal="center" vertical="center"/>
    </xf>
    <xf numFmtId="0" fontId="0" fillId="14" borderId="58" xfId="0" applyFill="1" applyBorder="1" applyAlignment="1">
      <alignment horizontal="center" vertical="center"/>
    </xf>
    <xf numFmtId="0" fontId="10" fillId="0" borderId="11" xfId="0" applyFont="1" applyBorder="1" applyAlignment="1">
      <alignment horizontal="left" vertical="center"/>
    </xf>
    <xf numFmtId="0" fontId="35" fillId="0" borderId="11" xfId="0" applyFont="1" applyBorder="1" applyAlignment="1">
      <alignment horizontal="center" vertical="center"/>
    </xf>
    <xf numFmtId="0" fontId="43" fillId="0" borderId="11" xfId="0" applyFont="1" applyFill="1" applyBorder="1" applyAlignment="1">
      <alignment horizontal="center"/>
    </xf>
    <xf numFmtId="0" fontId="0" fillId="0" borderId="20" xfId="0" applyFont="1" applyBorder="1" applyAlignment="1">
      <alignment horizontal="center" vertical="center"/>
    </xf>
    <xf numFmtId="0" fontId="0" fillId="0" borderId="17" xfId="0" applyBorder="1" applyAlignment="1">
      <alignment horizontal="left" vertical="center"/>
    </xf>
    <xf numFmtId="3" fontId="43" fillId="0" borderId="17" xfId="0" applyNumberFormat="1" applyFont="1" applyFill="1" applyBorder="1" applyAlignment="1">
      <alignment horizontal="center"/>
    </xf>
    <xf numFmtId="0" fontId="43" fillId="0" borderId="17" xfId="0" applyFont="1" applyFill="1" applyBorder="1" applyAlignment="1">
      <alignment horizontal="center"/>
    </xf>
    <xf numFmtId="0" fontId="35" fillId="15" borderId="0" xfId="2821" applyFont="1" applyFill="1" applyBorder="1" applyAlignment="1"/>
    <xf numFmtId="0" fontId="66" fillId="0" borderId="0" xfId="0" applyFont="1" applyAlignment="1">
      <alignment horizontal="center" vertical="center"/>
    </xf>
    <xf numFmtId="0" fontId="27" fillId="15" borderId="11" xfId="0" applyFont="1" applyFill="1" applyBorder="1" applyAlignment="1" applyProtection="1">
      <alignment horizontal="right" vertical="center"/>
    </xf>
    <xf numFmtId="0" fontId="0" fillId="0" borderId="0" xfId="0" applyAlignment="1">
      <alignment horizontal="left" vertical="center"/>
    </xf>
    <xf numFmtId="166" fontId="0" fillId="0" borderId="0" xfId="0" applyNumberFormat="1" applyAlignment="1">
      <alignment horizontal="center" vertical="center"/>
    </xf>
    <xf numFmtId="0" fontId="27" fillId="0" borderId="11" xfId="0" applyFont="1" applyBorder="1" applyAlignment="1">
      <alignment horizontal="left" vertical="center"/>
    </xf>
    <xf numFmtId="0" fontId="0" fillId="0" borderId="16" xfId="0" applyBorder="1" applyAlignment="1">
      <alignment horizontal="center" vertical="center"/>
    </xf>
    <xf numFmtId="4" fontId="0" fillId="0" borderId="64" xfId="0" applyNumberFormat="1" applyFill="1" applyBorder="1" applyAlignment="1">
      <alignment horizontal="center" vertical="center"/>
    </xf>
    <xf numFmtId="0" fontId="0" fillId="0" borderId="0" xfId="0" applyFont="1" applyAlignment="1">
      <alignment horizontal="right" vertical="center"/>
    </xf>
    <xf numFmtId="0" fontId="0" fillId="0" borderId="12" xfId="0" applyBorder="1" applyAlignment="1">
      <alignment horizontal="center" vertical="center"/>
    </xf>
    <xf numFmtId="0" fontId="27" fillId="0" borderId="12" xfId="0" applyFont="1" applyBorder="1" applyAlignment="1">
      <alignment horizontal="left" vertical="center"/>
    </xf>
    <xf numFmtId="0" fontId="0" fillId="0" borderId="17" xfId="0" applyBorder="1"/>
    <xf numFmtId="0" fontId="0" fillId="0" borderId="12" xfId="0" applyBorder="1" applyAlignment="1">
      <alignment horizontal="left" vertical="center"/>
    </xf>
    <xf numFmtId="0" fontId="0" fillId="17" borderId="17" xfId="0" applyFont="1" applyFill="1" applyBorder="1" applyAlignment="1">
      <alignment horizontal="center" vertical="center"/>
    </xf>
    <xf numFmtId="0" fontId="0" fillId="14" borderId="48" xfId="0" applyFill="1" applyBorder="1" applyAlignment="1">
      <alignment horizontal="center" vertical="center"/>
    </xf>
    <xf numFmtId="3" fontId="0" fillId="14" borderId="43" xfId="0" applyNumberFormat="1" applyFill="1" applyBorder="1" applyAlignment="1">
      <alignment horizontal="center" vertical="center"/>
    </xf>
    <xf numFmtId="0" fontId="0" fillId="0" borderId="23" xfId="0" applyBorder="1"/>
    <xf numFmtId="0" fontId="10" fillId="0" borderId="0" xfId="0" applyFont="1"/>
    <xf numFmtId="0" fontId="30" fillId="15" borderId="0" xfId="2821" applyFont="1" applyFill="1" applyAlignment="1"/>
    <xf numFmtId="0" fontId="0" fillId="17" borderId="11" xfId="0" applyFont="1" applyFill="1" applyBorder="1"/>
    <xf numFmtId="0" fontId="0" fillId="17" borderId="11" xfId="0" applyFont="1" applyFill="1" applyBorder="1" applyAlignment="1">
      <alignment horizontal="center" vertical="center"/>
    </xf>
    <xf numFmtId="3" fontId="0" fillId="0" borderId="11" xfId="0" applyNumberFormat="1" applyBorder="1" applyAlignment="1">
      <alignment horizontal="center"/>
    </xf>
    <xf numFmtId="0" fontId="0" fillId="0" borderId="53" xfId="0" applyFont="1" applyBorder="1" applyAlignment="1">
      <alignment horizontal="center" vertical="center"/>
    </xf>
    <xf numFmtId="0" fontId="0" fillId="0" borderId="54" xfId="0" applyBorder="1" applyAlignment="1">
      <alignment horizontal="center" vertical="center"/>
    </xf>
    <xf numFmtId="0" fontId="0" fillId="14" borderId="45" xfId="0" applyFont="1" applyFill="1" applyBorder="1"/>
    <xf numFmtId="0" fontId="0" fillId="14" borderId="32" xfId="0" applyFont="1" applyFill="1" applyBorder="1" applyAlignment="1">
      <alignment horizontal="left" vertical="center"/>
    </xf>
    <xf numFmtId="2" fontId="0" fillId="0" borderId="0" xfId="0" applyNumberFormat="1" applyAlignment="1">
      <alignment horizontal="center" vertical="center"/>
    </xf>
    <xf numFmtId="0" fontId="0" fillId="17" borderId="23" xfId="0" applyFill="1" applyBorder="1" applyAlignment="1">
      <alignment horizontal="center" vertical="center"/>
    </xf>
    <xf numFmtId="0" fontId="0" fillId="14" borderId="11" xfId="0" applyFont="1" applyFill="1" applyBorder="1" applyAlignment="1">
      <alignment horizontal="center" vertical="center"/>
    </xf>
    <xf numFmtId="0" fontId="25" fillId="0" borderId="0" xfId="0" applyFont="1" applyBorder="1" applyAlignment="1">
      <alignment horizontal="center" vertical="center"/>
    </xf>
    <xf numFmtId="0" fontId="24" fillId="0" borderId="20" xfId="0" applyFont="1" applyBorder="1"/>
    <xf numFmtId="0" fontId="0" fillId="0" borderId="20" xfId="0" applyBorder="1" applyAlignment="1">
      <alignment horizontal="center"/>
    </xf>
    <xf numFmtId="0" fontId="0" fillId="0" borderId="75" xfId="0" applyBorder="1" applyAlignment="1">
      <alignment horizontal="center" vertical="center"/>
    </xf>
    <xf numFmtId="0" fontId="0" fillId="0" borderId="76" xfId="0" applyBorder="1" applyAlignment="1">
      <alignment horizontal="center" vertical="center"/>
    </xf>
    <xf numFmtId="0" fontId="25" fillId="0" borderId="66" xfId="0" applyFont="1" applyBorder="1" applyAlignment="1">
      <alignment horizontal="left" vertical="center"/>
    </xf>
    <xf numFmtId="0" fontId="24" fillId="0" borderId="16" xfId="0" applyFont="1" applyBorder="1"/>
    <xf numFmtId="167" fontId="0" fillId="0" borderId="16" xfId="0" applyNumberFormat="1"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53" xfId="0" applyBorder="1" applyAlignment="1">
      <alignment horizontal="center"/>
    </xf>
    <xf numFmtId="167" fontId="0" fillId="0" borderId="53" xfId="0" applyNumberFormat="1" applyBorder="1" applyAlignment="1">
      <alignment horizontal="center"/>
    </xf>
    <xf numFmtId="2" fontId="0" fillId="0" borderId="16" xfId="0" applyNumberFormat="1" applyBorder="1" applyAlignment="1">
      <alignment horizontal="center" vertical="center"/>
    </xf>
    <xf numFmtId="2" fontId="0" fillId="0" borderId="54" xfId="0" applyNumberFormat="1" applyBorder="1" applyAlignment="1">
      <alignment horizontal="center" vertical="center"/>
    </xf>
    <xf numFmtId="2" fontId="0" fillId="0" borderId="53" xfId="0" applyNumberFormat="1" applyBorder="1" applyAlignment="1">
      <alignment horizontal="center" vertical="center"/>
    </xf>
    <xf numFmtId="0" fontId="25" fillId="0" borderId="72" xfId="0" applyFont="1" applyBorder="1" applyAlignment="1">
      <alignment horizontal="left" vertical="center"/>
    </xf>
    <xf numFmtId="167" fontId="0" fillId="0" borderId="12" xfId="0" applyNumberFormat="1" applyBorder="1" applyAlignment="1">
      <alignment horizontal="center"/>
    </xf>
    <xf numFmtId="167" fontId="0" fillId="0" borderId="35" xfId="0" applyNumberFormat="1" applyBorder="1" applyAlignment="1">
      <alignment horizontal="center"/>
    </xf>
    <xf numFmtId="2" fontId="0" fillId="0" borderId="36" xfId="0" applyNumberFormat="1" applyBorder="1" applyAlignment="1">
      <alignment horizontal="center" vertical="center"/>
    </xf>
    <xf numFmtId="0" fontId="0" fillId="14" borderId="0" xfId="0" applyFont="1" applyFill="1" applyBorder="1" applyAlignment="1">
      <alignment horizontal="center" vertical="center"/>
    </xf>
    <xf numFmtId="0" fontId="0" fillId="18" borderId="0" xfId="0" applyFill="1" applyBorder="1" applyAlignment="1">
      <alignment horizontal="center" vertical="center"/>
    </xf>
    <xf numFmtId="0" fontId="0" fillId="0" borderId="12" xfId="0" applyFont="1" applyBorder="1" applyAlignment="1">
      <alignment horizontal="left" vertical="center"/>
    </xf>
    <xf numFmtId="0" fontId="32" fillId="0" borderId="23" xfId="2821" applyFont="1" applyFill="1" applyBorder="1" applyAlignment="1" applyProtection="1">
      <alignment horizontal="center" vertical="center" wrapText="1"/>
      <protection hidden="1"/>
    </xf>
    <xf numFmtId="0" fontId="32" fillId="14" borderId="37" xfId="2821" applyFont="1" applyFill="1" applyBorder="1" applyAlignment="1" applyProtection="1">
      <alignment horizontal="center" vertical="center" wrapText="1"/>
      <protection hidden="1"/>
    </xf>
    <xf numFmtId="0" fontId="32" fillId="0" borderId="17" xfId="2821" applyFont="1" applyFill="1" applyBorder="1" applyAlignment="1" applyProtection="1">
      <alignment horizontal="center" vertical="center" wrapText="1"/>
      <protection hidden="1"/>
    </xf>
    <xf numFmtId="0" fontId="32" fillId="0" borderId="12" xfId="2821" applyFont="1" applyFill="1" applyBorder="1" applyAlignment="1" applyProtection="1">
      <alignment horizontal="center" vertical="center" wrapText="1"/>
      <protection hidden="1"/>
    </xf>
    <xf numFmtId="0" fontId="32" fillId="14" borderId="39" xfId="2821" applyFont="1" applyFill="1" applyBorder="1" applyAlignment="1" applyProtection="1">
      <alignment horizontal="center" vertical="center" wrapText="1"/>
      <protection hidden="1"/>
    </xf>
    <xf numFmtId="0" fontId="32" fillId="14" borderId="77" xfId="2821" applyFont="1" applyFill="1" applyBorder="1" applyAlignment="1" applyProtection="1">
      <alignment horizontal="center" vertical="center" wrapText="1"/>
      <protection hidden="1"/>
    </xf>
    <xf numFmtId="0" fontId="32" fillId="14" borderId="22" xfId="2821" applyFont="1" applyFill="1" applyBorder="1" applyAlignment="1" applyProtection="1">
      <alignment horizontal="center" vertical="center" wrapText="1"/>
      <protection hidden="1"/>
    </xf>
    <xf numFmtId="0" fontId="32" fillId="0" borderId="11" xfId="2821" applyFont="1" applyFill="1" applyBorder="1" applyAlignment="1" applyProtection="1">
      <alignment horizontal="center" vertical="center" wrapText="1"/>
      <protection hidden="1"/>
    </xf>
    <xf numFmtId="49" fontId="0" fillId="0" borderId="17" xfId="0" applyNumberFormat="1" applyBorder="1" applyAlignment="1">
      <alignment horizontal="right" vertical="center"/>
    </xf>
    <xf numFmtId="167" fontId="0" fillId="0" borderId="17" xfId="2821" applyNumberFormat="1" applyFont="1" applyFill="1" applyBorder="1" applyAlignment="1">
      <alignment horizontal="center" vertical="center"/>
    </xf>
    <xf numFmtId="167" fontId="0" fillId="0" borderId="23" xfId="2821" applyNumberFormat="1" applyFont="1" applyFill="1" applyBorder="1" applyAlignment="1">
      <alignment horizontal="center" vertical="center"/>
    </xf>
    <xf numFmtId="167" fontId="0" fillId="14" borderId="55" xfId="2821" applyNumberFormat="1" applyFont="1" applyFill="1" applyBorder="1" applyAlignment="1">
      <alignment horizontal="center" vertical="center"/>
    </xf>
    <xf numFmtId="2" fontId="0" fillId="14" borderId="52" xfId="2821" applyNumberFormat="1" applyFont="1" applyFill="1" applyBorder="1" applyAlignment="1">
      <alignment horizontal="center" vertical="center"/>
    </xf>
    <xf numFmtId="2" fontId="0" fillId="14" borderId="11" xfId="2821" applyNumberFormat="1" applyFont="1" applyFill="1" applyBorder="1" applyAlignment="1">
      <alignment horizontal="center" vertical="center"/>
    </xf>
    <xf numFmtId="2" fontId="0" fillId="14" borderId="56" xfId="2821" applyNumberFormat="1" applyFont="1" applyFill="1" applyBorder="1" applyAlignment="1">
      <alignment horizontal="center" vertical="center"/>
    </xf>
    <xf numFmtId="167" fontId="0" fillId="0" borderId="11" xfId="2821" applyNumberFormat="1" applyFont="1" applyFill="1" applyBorder="1" applyAlignment="1">
      <alignment horizontal="center" vertical="center"/>
    </xf>
    <xf numFmtId="0" fontId="0" fillId="15" borderId="11" xfId="0" applyFont="1" applyFill="1" applyBorder="1" applyAlignment="1">
      <alignment horizontal="center" vertical="center"/>
    </xf>
    <xf numFmtId="1" fontId="0" fillId="0" borderId="24" xfId="0" applyNumberFormat="1" applyBorder="1" applyAlignment="1">
      <alignment horizontal="center" vertical="center"/>
    </xf>
    <xf numFmtId="0" fontId="70" fillId="14" borderId="0" xfId="0" applyFont="1" applyFill="1" applyAlignment="1">
      <alignment horizontal="left" vertical="center"/>
    </xf>
    <xf numFmtId="0" fontId="0" fillId="14" borderId="0" xfId="0" applyFill="1" applyAlignment="1">
      <alignment horizontal="center" vertical="center"/>
    </xf>
    <xf numFmtId="0" fontId="10" fillId="14" borderId="0" xfId="0" applyFont="1" applyFill="1" applyAlignment="1">
      <alignment horizontal="right" vertical="center"/>
    </xf>
    <xf numFmtId="1" fontId="10" fillId="14" borderId="37" xfId="0" applyNumberFormat="1" applyFont="1" applyFill="1" applyBorder="1" applyAlignment="1">
      <alignment horizontal="center" vertical="center"/>
    </xf>
    <xf numFmtId="1" fontId="68" fillId="0" borderId="61" xfId="0" applyNumberFormat="1" applyFont="1" applyBorder="1" applyAlignment="1">
      <alignment horizontal="left" vertical="center"/>
    </xf>
    <xf numFmtId="1" fontId="68" fillId="0" borderId="0" xfId="0" applyNumberFormat="1" applyFont="1" applyBorder="1" applyAlignment="1">
      <alignment horizontal="left" vertical="center"/>
    </xf>
    <xf numFmtId="1" fontId="10" fillId="14" borderId="61" xfId="0" applyNumberFormat="1" applyFont="1" applyFill="1" applyBorder="1" applyAlignment="1">
      <alignment horizontal="center" vertical="center"/>
    </xf>
    <xf numFmtId="0" fontId="0" fillId="14" borderId="0" xfId="0" applyFont="1" applyFill="1" applyAlignment="1">
      <alignment horizontal="right" vertical="center"/>
    </xf>
    <xf numFmtId="0" fontId="68" fillId="0" borderId="0" xfId="0" applyFont="1" applyAlignment="1">
      <alignment horizontal="center" vertical="center"/>
    </xf>
    <xf numFmtId="0" fontId="0" fillId="0" borderId="0" xfId="0" applyAlignment="1">
      <alignment horizontal="center" vertical="center" shrinkToFit="1"/>
    </xf>
    <xf numFmtId="1" fontId="10" fillId="14" borderId="47" xfId="0" applyNumberFormat="1" applyFont="1" applyFill="1" applyBorder="1" applyAlignment="1">
      <alignment horizontal="center" vertical="center"/>
    </xf>
    <xf numFmtId="0" fontId="0" fillId="14" borderId="0" xfId="0" applyFill="1"/>
    <xf numFmtId="2" fontId="0" fillId="15" borderId="11" xfId="0" applyNumberFormat="1" applyFill="1" applyBorder="1" applyAlignment="1">
      <alignment horizontal="center" vertical="center"/>
    </xf>
    <xf numFmtId="0" fontId="40" fillId="15" borderId="11" xfId="0" applyFont="1" applyFill="1" applyBorder="1" applyAlignment="1">
      <alignment horizontal="center" vertical="center"/>
    </xf>
    <xf numFmtId="0" fontId="16" fillId="15" borderId="11" xfId="0" applyFont="1" applyFill="1" applyBorder="1"/>
    <xf numFmtId="2" fontId="16" fillId="15" borderId="11" xfId="0" applyNumberFormat="1" applyFont="1" applyFill="1" applyBorder="1" applyAlignment="1">
      <alignment horizontal="center"/>
    </xf>
    <xf numFmtId="0" fontId="33" fillId="14" borderId="0" xfId="0" applyFont="1" applyFill="1" applyBorder="1" applyAlignment="1">
      <alignment horizontal="left" vertical="center"/>
    </xf>
    <xf numFmtId="0" fontId="0" fillId="14" borderId="0" xfId="0" applyFill="1" applyProtection="1"/>
    <xf numFmtId="0" fontId="0" fillId="15" borderId="0" xfId="0" applyFont="1" applyFill="1" applyAlignment="1">
      <alignment wrapText="1"/>
    </xf>
    <xf numFmtId="0" fontId="16" fillId="14" borderId="0" xfId="2193" applyNumberFormat="1" applyFont="1" applyFill="1" applyBorder="1" applyAlignment="1" applyProtection="1"/>
    <xf numFmtId="9" fontId="16" fillId="15" borderId="11" xfId="2765" applyFont="1" applyFill="1" applyBorder="1" applyAlignment="1" applyProtection="1">
      <alignment horizontal="center" vertical="center"/>
      <protection hidden="1"/>
    </xf>
    <xf numFmtId="2" fontId="33" fillId="15" borderId="11" xfId="0" applyNumberFormat="1" applyFont="1" applyFill="1" applyBorder="1" applyAlignment="1" applyProtection="1">
      <alignment horizontal="center" vertical="center"/>
    </xf>
    <xf numFmtId="0" fontId="0" fillId="0" borderId="12" xfId="0" applyFill="1" applyBorder="1"/>
    <xf numFmtId="0" fontId="27" fillId="0" borderId="11" xfId="0" applyFont="1" applyFill="1" applyBorder="1" applyAlignment="1">
      <alignment horizontal="right"/>
    </xf>
    <xf numFmtId="0" fontId="0" fillId="0" borderId="11" xfId="0" applyFill="1" applyBorder="1" applyAlignment="1">
      <alignment horizontal="center"/>
    </xf>
    <xf numFmtId="0" fontId="0" fillId="0" borderId="0" xfId="0" applyFill="1" applyProtection="1"/>
    <xf numFmtId="0" fontId="0" fillId="0" borderId="0" xfId="0" applyFill="1"/>
    <xf numFmtId="0" fontId="0" fillId="0" borderId="0" xfId="0" applyFont="1" applyFill="1" applyAlignment="1" applyProtection="1">
      <alignment horizontal="center"/>
    </xf>
    <xf numFmtId="0" fontId="33" fillId="0" borderId="0" xfId="0" applyFont="1" applyFill="1" applyBorder="1" applyAlignment="1">
      <alignment horizontal="left" vertical="center"/>
    </xf>
    <xf numFmtId="0" fontId="40" fillId="0" borderId="11" xfId="0" applyFont="1" applyFill="1" applyBorder="1" applyAlignment="1">
      <alignment horizontal="center" vertical="center"/>
    </xf>
    <xf numFmtId="0" fontId="0" fillId="0" borderId="11" xfId="0" applyFont="1" applyFill="1" applyBorder="1"/>
    <xf numFmtId="1" fontId="33" fillId="0" borderId="17" xfId="0" applyNumberFormat="1" applyFont="1" applyFill="1" applyBorder="1" applyAlignment="1" applyProtection="1">
      <alignment horizontal="center" vertical="center"/>
    </xf>
    <xf numFmtId="1" fontId="33" fillId="0" borderId="11" xfId="0" applyNumberFormat="1" applyFont="1" applyFill="1" applyBorder="1" applyAlignment="1" applyProtection="1">
      <alignment horizontal="center" vertical="center"/>
    </xf>
    <xf numFmtId="9" fontId="16" fillId="0" borderId="11" xfId="2765" applyFont="1" applyFill="1" applyBorder="1" applyAlignment="1" applyProtection="1">
      <alignment horizontal="center" vertical="center"/>
      <protection hidden="1"/>
    </xf>
    <xf numFmtId="1" fontId="33" fillId="15" borderId="11" xfId="0" applyNumberFormat="1" applyFont="1" applyFill="1" applyBorder="1" applyAlignment="1" applyProtection="1">
      <alignment horizontal="center" vertical="center"/>
    </xf>
    <xf numFmtId="1" fontId="33" fillId="15" borderId="17" xfId="0" applyNumberFormat="1" applyFont="1" applyFill="1" applyBorder="1" applyAlignment="1" applyProtection="1">
      <alignment horizontal="center" vertical="center"/>
    </xf>
    <xf numFmtId="1" fontId="33" fillId="15" borderId="16" xfId="0" applyNumberFormat="1" applyFont="1" applyFill="1" applyBorder="1" applyAlignment="1" applyProtection="1">
      <alignment horizontal="center" vertical="center"/>
    </xf>
    <xf numFmtId="9" fontId="16" fillId="0" borderId="20" xfId="2765" applyFont="1" applyFill="1" applyBorder="1" applyAlignment="1" applyProtection="1">
      <alignment horizontal="center" vertical="center"/>
      <protection hidden="1"/>
    </xf>
    <xf numFmtId="1" fontId="33" fillId="15" borderId="20" xfId="0" applyNumberFormat="1" applyFont="1" applyFill="1" applyBorder="1" applyAlignment="1" applyProtection="1">
      <alignment horizontal="center" vertical="center"/>
    </xf>
    <xf numFmtId="9" fontId="16" fillId="15" borderId="20" xfId="2765" applyFont="1" applyFill="1" applyBorder="1" applyAlignment="1" applyProtection="1">
      <alignment horizontal="center" vertical="center"/>
      <protection hidden="1"/>
    </xf>
    <xf numFmtId="1" fontId="33" fillId="15" borderId="12" xfId="0" applyNumberFormat="1" applyFont="1" applyFill="1" applyBorder="1" applyAlignment="1" applyProtection="1">
      <alignment horizontal="center" vertical="center"/>
    </xf>
    <xf numFmtId="0" fontId="0" fillId="14" borderId="20" xfId="0" applyFont="1" applyFill="1" applyBorder="1"/>
    <xf numFmtId="1" fontId="33" fillId="15" borderId="65" xfId="0" applyNumberFormat="1" applyFont="1" applyFill="1" applyBorder="1" applyAlignment="1" applyProtection="1">
      <alignment horizontal="center" vertical="center"/>
    </xf>
    <xf numFmtId="0" fontId="10" fillId="14" borderId="61" xfId="0" applyFont="1" applyFill="1" applyBorder="1" applyAlignment="1">
      <alignment vertical="center"/>
    </xf>
    <xf numFmtId="167" fontId="33" fillId="15" borderId="43" xfId="0" applyNumberFormat="1" applyFont="1" applyFill="1" applyBorder="1" applyAlignment="1" applyProtection="1">
      <alignment horizontal="center" vertical="center"/>
    </xf>
    <xf numFmtId="167" fontId="33" fillId="15" borderId="79" xfId="0" applyNumberFormat="1" applyFont="1" applyFill="1" applyBorder="1" applyAlignment="1" applyProtection="1">
      <alignment horizontal="center" vertical="center"/>
    </xf>
    <xf numFmtId="167" fontId="33" fillId="15" borderId="45" xfId="0" applyNumberFormat="1" applyFont="1" applyFill="1" applyBorder="1" applyAlignment="1" applyProtection="1">
      <alignment horizontal="center" vertical="center"/>
    </xf>
    <xf numFmtId="9" fontId="0" fillId="15" borderId="33" xfId="0" applyNumberFormat="1" applyFill="1" applyBorder="1" applyAlignment="1" applyProtection="1">
      <alignment horizontal="center"/>
    </xf>
    <xf numFmtId="167" fontId="33" fillId="15" borderId="61" xfId="0" applyNumberFormat="1" applyFont="1" applyFill="1" applyBorder="1" applyAlignment="1" applyProtection="1">
      <alignment horizontal="center" vertical="center"/>
    </xf>
    <xf numFmtId="2" fontId="33" fillId="15" borderId="16" xfId="0" applyNumberFormat="1" applyFont="1" applyFill="1" applyBorder="1" applyAlignment="1" applyProtection="1">
      <alignment horizontal="center" vertical="center"/>
    </xf>
    <xf numFmtId="2" fontId="0" fillId="15" borderId="16" xfId="0" applyNumberFormat="1" applyFill="1" applyBorder="1" applyAlignment="1" applyProtection="1">
      <alignment horizontal="center"/>
    </xf>
    <xf numFmtId="0" fontId="33" fillId="15" borderId="16" xfId="0" applyFont="1" applyFill="1" applyBorder="1" applyAlignment="1" applyProtection="1">
      <alignment horizontal="center" vertical="center"/>
    </xf>
    <xf numFmtId="2" fontId="0" fillId="15" borderId="16" xfId="0" applyNumberFormat="1" applyFill="1" applyBorder="1" applyAlignment="1">
      <alignment horizontal="center"/>
    </xf>
    <xf numFmtId="0" fontId="33" fillId="15" borderId="16" xfId="0" applyFont="1" applyFill="1" applyBorder="1" applyAlignment="1">
      <alignment horizontal="center" vertical="center"/>
    </xf>
    <xf numFmtId="2" fontId="0" fillId="15" borderId="11" xfId="0" applyNumberFormat="1" applyFill="1" applyBorder="1" applyAlignment="1" applyProtection="1">
      <alignment horizontal="center"/>
    </xf>
    <xf numFmtId="0" fontId="33" fillId="15" borderId="11" xfId="0" applyFont="1" applyFill="1" applyBorder="1" applyAlignment="1" applyProtection="1">
      <alignment horizontal="center" vertical="center"/>
    </xf>
    <xf numFmtId="2" fontId="0" fillId="15" borderId="11" xfId="0" applyNumberFormat="1" applyFill="1" applyBorder="1" applyAlignment="1">
      <alignment horizontal="center"/>
    </xf>
    <xf numFmtId="0" fontId="33" fillId="15" borderId="11" xfId="0" applyFont="1" applyFill="1" applyBorder="1" applyAlignment="1">
      <alignment horizontal="center" vertical="center"/>
    </xf>
    <xf numFmtId="2" fontId="0" fillId="15" borderId="20" xfId="0" applyNumberFormat="1" applyFill="1" applyBorder="1" applyAlignment="1" applyProtection="1">
      <alignment horizontal="center"/>
    </xf>
    <xf numFmtId="9" fontId="33" fillId="15" borderId="22" xfId="2765" applyFont="1" applyFill="1" applyBorder="1" applyAlignment="1" applyProtection="1">
      <alignment horizontal="center" vertical="center"/>
    </xf>
    <xf numFmtId="167" fontId="33" fillId="15" borderId="22" xfId="0" applyNumberFormat="1" applyFont="1" applyFill="1" applyBorder="1" applyAlignment="1" applyProtection="1">
      <alignment horizontal="center" vertical="center"/>
    </xf>
    <xf numFmtId="167" fontId="33" fillId="15" borderId="38" xfId="0" applyNumberFormat="1" applyFont="1" applyFill="1" applyBorder="1" applyAlignment="1" applyProtection="1">
      <alignment horizontal="center" vertical="center"/>
    </xf>
    <xf numFmtId="0" fontId="33" fillId="0" borderId="0" xfId="0" applyFont="1" applyFill="1" applyBorder="1" applyAlignment="1">
      <alignment horizontal="right" vertical="center"/>
    </xf>
    <xf numFmtId="166" fontId="33" fillId="15" borderId="11" xfId="0" applyNumberFormat="1" applyFont="1" applyFill="1" applyBorder="1" applyAlignment="1">
      <alignment horizontal="center" vertical="center"/>
    </xf>
    <xf numFmtId="0" fontId="0" fillId="0" borderId="0" xfId="0" applyBorder="1" applyProtection="1">
      <protection locked="0"/>
    </xf>
    <xf numFmtId="0" fontId="0" fillId="0" borderId="0" xfId="0" applyAlignment="1">
      <alignment shrinkToFit="1"/>
    </xf>
    <xf numFmtId="167" fontId="0" fillId="0" borderId="0" xfId="0" applyNumberFormat="1" applyFont="1" applyFill="1" applyBorder="1" applyAlignment="1" applyProtection="1">
      <alignment horizontal="center" vertical="center" wrapText="1"/>
    </xf>
    <xf numFmtId="0" fontId="40" fillId="19" borderId="0" xfId="2821" applyFont="1" applyFill="1" applyAlignment="1" applyProtection="1">
      <alignment horizontal="right" vertical="center"/>
      <protection locked="0"/>
    </xf>
    <xf numFmtId="0" fontId="27" fillId="0" borderId="15" xfId="0" applyFont="1" applyBorder="1" applyAlignment="1" applyProtection="1">
      <alignment vertical="center"/>
      <protection locked="0"/>
    </xf>
    <xf numFmtId="14" fontId="40" fillId="0" borderId="19" xfId="0" applyNumberFormat="1" applyFont="1" applyBorder="1" applyAlignment="1" applyProtection="1">
      <alignment horizontal="center" vertical="center"/>
      <protection locked="0"/>
    </xf>
    <xf numFmtId="0" fontId="0" fillId="0" borderId="15" xfId="0" applyFont="1" applyBorder="1" applyAlignment="1" applyProtection="1">
      <alignment vertical="center"/>
      <protection locked="0"/>
    </xf>
    <xf numFmtId="0" fontId="47" fillId="19" borderId="0" xfId="2821" applyFont="1" applyFill="1" applyAlignment="1" applyProtection="1">
      <alignment horizontal="left" vertical="center" indent="1"/>
    </xf>
    <xf numFmtId="0" fontId="49" fillId="19" borderId="0" xfId="2821" applyFont="1" applyFill="1" applyBorder="1" applyAlignment="1" applyProtection="1">
      <alignment horizontal="left" vertical="center" indent="1"/>
    </xf>
    <xf numFmtId="0" fontId="40" fillId="19" borderId="0" xfId="2821" applyFont="1" applyFill="1" applyAlignment="1" applyProtection="1">
      <alignment horizontal="left" vertical="center" indent="1"/>
      <protection locked="0"/>
    </xf>
    <xf numFmtId="0" fontId="55" fillId="19" borderId="0" xfId="0" applyFont="1" applyFill="1" applyBorder="1" applyAlignment="1" applyProtection="1">
      <alignment horizontal="left" vertical="center" indent="1"/>
    </xf>
    <xf numFmtId="0" fontId="0" fillId="19" borderId="0" xfId="0" applyFill="1" applyBorder="1" applyAlignment="1" applyProtection="1">
      <alignment horizontal="left" indent="1"/>
    </xf>
    <xf numFmtId="0" fontId="10" fillId="19" borderId="0" xfId="0" applyFont="1" applyFill="1" applyBorder="1" applyAlignment="1" applyProtection="1">
      <alignment horizontal="left" indent="1"/>
    </xf>
    <xf numFmtId="0" fontId="34" fillId="19" borderId="0" xfId="0" applyFont="1" applyFill="1" applyBorder="1" applyAlignment="1" applyProtection="1">
      <alignment horizontal="left" indent="1"/>
    </xf>
    <xf numFmtId="0" fontId="55" fillId="19" borderId="0" xfId="0" applyFont="1" applyFill="1" applyAlignment="1" applyProtection="1">
      <alignment horizontal="left" vertical="center" indent="1"/>
    </xf>
    <xf numFmtId="0" fontId="0" fillId="19" borderId="0" xfId="0" applyFill="1" applyAlignment="1" applyProtection="1">
      <alignment horizontal="left" indent="1"/>
    </xf>
    <xf numFmtId="0" fontId="89" fillId="21" borderId="11" xfId="2821" applyFont="1" applyFill="1" applyBorder="1" applyAlignment="1" applyProtection="1">
      <alignment horizontal="center" vertical="center"/>
    </xf>
    <xf numFmtId="0" fontId="0" fillId="22" borderId="0" xfId="0" applyFill="1" applyProtection="1"/>
    <xf numFmtId="0" fontId="0" fillId="19" borderId="0" xfId="0" applyFill="1" applyProtection="1"/>
    <xf numFmtId="0" fontId="92" fillId="21" borderId="11" xfId="2821" applyFont="1" applyFill="1" applyBorder="1" applyAlignment="1" applyProtection="1">
      <alignment horizontal="center" vertical="center"/>
    </xf>
    <xf numFmtId="0" fontId="46" fillId="0" borderId="11" xfId="0" applyFont="1" applyBorder="1" applyAlignment="1">
      <alignment horizontal="center" vertical="center"/>
    </xf>
    <xf numFmtId="0" fontId="28" fillId="0" borderId="65" xfId="0" applyFont="1" applyBorder="1" applyAlignment="1">
      <alignment horizontal="center" vertical="center"/>
    </xf>
    <xf numFmtId="0" fontId="0" fillId="0" borderId="65" xfId="0" applyFont="1" applyBorder="1" applyAlignment="1">
      <alignment vertical="center"/>
    </xf>
    <xf numFmtId="0" fontId="51" fillId="0" borderId="15" xfId="0" applyFont="1" applyBorder="1" applyAlignment="1" applyProtection="1">
      <alignment vertical="center"/>
      <protection locked="0"/>
    </xf>
    <xf numFmtId="14" fontId="28" fillId="0" borderId="19" xfId="0" applyNumberFormat="1" applyFont="1" applyBorder="1" applyAlignment="1" applyProtection="1">
      <alignment horizontal="center" vertical="center"/>
      <protection locked="0"/>
    </xf>
    <xf numFmtId="0" fontId="87" fillId="19" borderId="0" xfId="2821" applyFill="1" applyProtection="1"/>
    <xf numFmtId="0" fontId="46" fillId="19" borderId="0" xfId="2821" applyFont="1" applyFill="1" applyProtection="1"/>
    <xf numFmtId="168" fontId="40" fillId="0" borderId="19" xfId="0" applyNumberFormat="1" applyFont="1" applyBorder="1" applyAlignment="1" applyProtection="1">
      <alignment horizontal="center" vertical="center" shrinkToFit="1"/>
      <protection locked="0"/>
    </xf>
    <xf numFmtId="14" fontId="40" fillId="0" borderId="14" xfId="0" applyNumberFormat="1" applyFont="1" applyBorder="1" applyAlignment="1" applyProtection="1">
      <alignment horizontal="center" vertical="center"/>
      <protection locked="0"/>
    </xf>
    <xf numFmtId="0" fontId="0" fillId="0" borderId="13" xfId="0" applyFont="1" applyBorder="1" applyAlignment="1" applyProtection="1">
      <alignment vertical="center"/>
      <protection locked="0"/>
    </xf>
    <xf numFmtId="0" fontId="40" fillId="11" borderId="10" xfId="2821" applyFont="1" applyFill="1" applyBorder="1" applyAlignment="1" applyProtection="1">
      <alignment horizontal="left" vertical="center"/>
    </xf>
    <xf numFmtId="0" fontId="87" fillId="9" borderId="12" xfId="2821" applyFill="1" applyBorder="1" applyProtection="1"/>
    <xf numFmtId="0" fontId="24" fillId="0" borderId="0" xfId="0" applyFont="1" applyFill="1"/>
    <xf numFmtId="0" fontId="0" fillId="0" borderId="0" xfId="0" applyFont="1" applyFill="1"/>
    <xf numFmtId="0" fontId="0" fillId="0" borderId="0" xfId="0" applyAlignment="1"/>
    <xf numFmtId="0" fontId="53" fillId="24" borderId="0" xfId="2821" applyFont="1" applyFill="1" applyBorder="1" applyAlignment="1">
      <alignment horizontal="center" vertical="center"/>
    </xf>
    <xf numFmtId="0" fontId="102" fillId="23" borderId="0" xfId="2821" applyFont="1" applyFill="1" applyBorder="1"/>
    <xf numFmtId="0" fontId="57" fillId="25" borderId="87" xfId="2278" applyNumberFormat="1" applyFont="1" applyFill="1" applyBorder="1" applyAlignment="1" applyProtection="1">
      <alignment horizontal="center" vertical="center"/>
    </xf>
    <xf numFmtId="0" fontId="40" fillId="19" borderId="0" xfId="2821" applyFont="1" applyFill="1" applyProtection="1"/>
    <xf numFmtId="0" fontId="49" fillId="19" borderId="0" xfId="2821" applyFont="1" applyFill="1" applyBorder="1" applyAlignment="1" applyProtection="1">
      <alignment vertical="center"/>
    </xf>
    <xf numFmtId="0" fontId="28" fillId="26" borderId="10" xfId="2821" applyFont="1" applyFill="1" applyBorder="1" applyAlignment="1" applyProtection="1">
      <alignment horizontal="left" vertical="center"/>
    </xf>
    <xf numFmtId="0" fontId="40" fillId="26" borderId="66" xfId="2821" applyFont="1" applyFill="1" applyBorder="1" applyAlignment="1" applyProtection="1">
      <alignment horizontal="left" vertical="center"/>
    </xf>
    <xf numFmtId="0" fontId="40" fillId="26" borderId="65" xfId="2821" applyFont="1" applyFill="1" applyBorder="1" applyAlignment="1" applyProtection="1">
      <alignment horizontal="left" vertical="center"/>
    </xf>
    <xf numFmtId="0" fontId="40" fillId="19" borderId="0" xfId="2821" applyFont="1" applyFill="1" applyBorder="1" applyAlignment="1" applyProtection="1">
      <alignment horizontal="left" vertical="center" wrapText="1"/>
    </xf>
    <xf numFmtId="0" fontId="28" fillId="27" borderId="10" xfId="2821" applyFont="1" applyFill="1" applyBorder="1" applyAlignment="1" applyProtection="1">
      <alignment vertical="center"/>
    </xf>
    <xf numFmtId="0" fontId="87" fillId="27" borderId="66" xfId="2821" applyFill="1" applyBorder="1" applyProtection="1"/>
    <xf numFmtId="0" fontId="56" fillId="27" borderId="65" xfId="2278" applyNumberFormat="1" applyFont="1" applyFill="1" applyBorder="1" applyAlignment="1" applyProtection="1">
      <alignment horizontal="right" vertical="center"/>
    </xf>
    <xf numFmtId="0" fontId="56" fillId="27" borderId="13" xfId="2278" applyNumberFormat="1" applyFont="1" applyFill="1" applyBorder="1" applyAlignment="1" applyProtection="1">
      <alignment horizontal="center" vertical="center"/>
    </xf>
    <xf numFmtId="0" fontId="33" fillId="28" borderId="80" xfId="2821" applyFont="1" applyFill="1" applyBorder="1" applyAlignment="1" applyProtection="1">
      <alignment vertical="center"/>
    </xf>
    <xf numFmtId="0" fontId="87" fillId="28" borderId="81" xfId="2821" applyFill="1" applyBorder="1" applyProtection="1"/>
    <xf numFmtId="0" fontId="0" fillId="29" borderId="81" xfId="0" applyFill="1" applyBorder="1"/>
    <xf numFmtId="0" fontId="46" fillId="26" borderId="10" xfId="2821" applyFont="1" applyFill="1" applyBorder="1" applyAlignment="1" applyProtection="1">
      <alignment horizontal="left" vertical="center"/>
    </xf>
    <xf numFmtId="0" fontId="0" fillId="26" borderId="66" xfId="0" applyFill="1" applyBorder="1" applyProtection="1"/>
    <xf numFmtId="0" fontId="87" fillId="26" borderId="65" xfId="2821" applyFill="1" applyBorder="1" applyProtection="1"/>
    <xf numFmtId="0" fontId="103" fillId="24" borderId="0" xfId="0" applyFont="1" applyFill="1" applyBorder="1" applyAlignment="1">
      <alignment horizontal="left" vertical="center"/>
    </xf>
    <xf numFmtId="0" fontId="40" fillId="0" borderId="94" xfId="0" applyFont="1" applyFill="1" applyBorder="1" applyAlignment="1">
      <alignment horizontal="center" vertical="center"/>
    </xf>
    <xf numFmtId="0" fontId="28" fillId="0" borderId="94" xfId="0" applyFont="1" applyFill="1" applyBorder="1" applyAlignment="1">
      <alignment horizontal="center" vertical="center"/>
    </xf>
    <xf numFmtId="0" fontId="40" fillId="0" borderId="94" xfId="0" applyFont="1" applyFill="1" applyBorder="1" applyAlignment="1">
      <alignment horizontal="left" vertical="center" indent="1"/>
    </xf>
    <xf numFmtId="0" fontId="109" fillId="24" borderId="0" xfId="0" applyFont="1" applyFill="1" applyBorder="1" applyAlignment="1">
      <alignment vertical="center"/>
    </xf>
    <xf numFmtId="0" fontId="120" fillId="29" borderId="95" xfId="0" applyFont="1" applyFill="1" applyBorder="1" applyAlignment="1" applyProtection="1">
      <alignment horizontal="left" vertical="center" indent="1"/>
    </xf>
    <xf numFmtId="0" fontId="120" fillId="29" borderId="96" xfId="0" applyFont="1" applyFill="1" applyBorder="1" applyAlignment="1" applyProtection="1">
      <alignment horizontal="left" vertical="center" indent="1"/>
    </xf>
    <xf numFmtId="0" fontId="120" fillId="29" borderId="97" xfId="0" applyFont="1" applyFill="1" applyBorder="1" applyAlignment="1" applyProtection="1">
      <alignment horizontal="left" vertical="center" indent="1"/>
    </xf>
    <xf numFmtId="0" fontId="120" fillId="29" borderId="96" xfId="0" applyFont="1" applyFill="1" applyBorder="1" applyAlignment="1" applyProtection="1">
      <alignment horizontal="left" vertical="center"/>
    </xf>
    <xf numFmtId="0" fontId="120" fillId="29" borderId="97" xfId="0" applyFont="1" applyFill="1" applyBorder="1" applyAlignment="1" applyProtection="1">
      <alignment horizontal="left" vertical="center"/>
    </xf>
    <xf numFmtId="0" fontId="32" fillId="11" borderId="94" xfId="0" applyFont="1" applyFill="1" applyBorder="1" applyAlignment="1" applyProtection="1">
      <alignment horizontal="center" vertical="center"/>
      <protection locked="0"/>
    </xf>
    <xf numFmtId="3" fontId="32" fillId="11" borderId="94" xfId="0" applyNumberFormat="1" applyFont="1" applyFill="1" applyBorder="1" applyAlignment="1" applyProtection="1">
      <alignment horizontal="center" vertical="center"/>
      <protection locked="0"/>
    </xf>
    <xf numFmtId="0" fontId="122" fillId="24" borderId="0" xfId="0" applyFont="1" applyFill="1" applyBorder="1" applyAlignment="1">
      <alignment horizontal="left" vertical="center"/>
    </xf>
    <xf numFmtId="167" fontId="30" fillId="29" borderId="94" xfId="0" applyNumberFormat="1" applyFont="1" applyFill="1" applyBorder="1" applyAlignment="1" applyProtection="1">
      <alignment horizontal="center" vertical="center"/>
    </xf>
    <xf numFmtId="0" fontId="32" fillId="29" borderId="0" xfId="0" applyFont="1" applyFill="1" applyBorder="1" applyAlignment="1" applyProtection="1">
      <alignment vertical="center"/>
    </xf>
    <xf numFmtId="2" fontId="30" fillId="29" borderId="94" xfId="0" applyNumberFormat="1" applyFont="1" applyFill="1" applyBorder="1" applyAlignment="1" applyProtection="1">
      <alignment horizontal="center" vertical="center"/>
    </xf>
    <xf numFmtId="166" fontId="30" fillId="29" borderId="94" xfId="0" applyNumberFormat="1" applyFont="1" applyFill="1" applyBorder="1" applyAlignment="1" applyProtection="1">
      <alignment horizontal="center" vertical="center"/>
    </xf>
    <xf numFmtId="0" fontId="32" fillId="29" borderId="0" xfId="0" applyFont="1" applyFill="1" applyBorder="1" applyAlignment="1" applyProtection="1">
      <alignment horizontal="center" vertical="center"/>
    </xf>
    <xf numFmtId="3" fontId="30" fillId="29" borderId="94" xfId="0" applyNumberFormat="1" applyFont="1" applyFill="1" applyBorder="1" applyAlignment="1" applyProtection="1">
      <alignment horizontal="center" vertical="center"/>
    </xf>
    <xf numFmtId="0" fontId="0" fillId="0" borderId="0" xfId="0" applyFill="1" applyBorder="1" applyAlignment="1"/>
    <xf numFmtId="0" fontId="2" fillId="29" borderId="94" xfId="0" applyFont="1" applyFill="1" applyBorder="1" applyAlignment="1">
      <alignment horizontal="center" vertical="center" wrapText="1"/>
    </xf>
    <xf numFmtId="0" fontId="24" fillId="29" borderId="94" xfId="0" applyFont="1" applyFill="1" applyBorder="1" applyAlignment="1" applyProtection="1">
      <alignment horizontal="center" vertical="center" wrapText="1"/>
    </xf>
    <xf numFmtId="0" fontId="37" fillId="29" borderId="94" xfId="0" applyFont="1" applyFill="1" applyBorder="1" applyAlignment="1" applyProtection="1">
      <alignment horizontal="center" vertical="center" wrapText="1"/>
    </xf>
    <xf numFmtId="0" fontId="35" fillId="29" borderId="94" xfId="0" applyFont="1" applyFill="1" applyBorder="1" applyAlignment="1" applyProtection="1">
      <alignment horizontal="center" vertical="center" wrapText="1"/>
    </xf>
    <xf numFmtId="0" fontId="35" fillId="29" borderId="94" xfId="0" applyFont="1" applyFill="1" applyBorder="1" applyAlignment="1">
      <alignment horizontal="center" vertical="center" wrapText="1"/>
    </xf>
    <xf numFmtId="0" fontId="0" fillId="0" borderId="94" xfId="0" applyFont="1" applyFill="1" applyBorder="1" applyAlignment="1">
      <alignment horizontal="center" vertical="center"/>
    </xf>
    <xf numFmtId="0" fontId="27" fillId="29" borderId="94" xfId="0" applyFont="1" applyFill="1" applyBorder="1" applyAlignment="1" applyProtection="1">
      <alignment horizontal="left" vertical="center"/>
    </xf>
    <xf numFmtId="0" fontId="0" fillId="29" borderId="94" xfId="0" applyFill="1" applyBorder="1" applyAlignment="1" applyProtection="1">
      <alignment horizontal="left"/>
    </xf>
    <xf numFmtId="0" fontId="33" fillId="0" borderId="94" xfId="0" applyFont="1" applyFill="1" applyBorder="1" applyAlignment="1" applyProtection="1">
      <alignment horizontal="center" vertical="center"/>
    </xf>
    <xf numFmtId="2" fontId="2" fillId="0" borderId="94" xfId="0" applyNumberFormat="1" applyFont="1" applyFill="1" applyBorder="1" applyAlignment="1" applyProtection="1">
      <alignment horizontal="center" vertical="center"/>
    </xf>
    <xf numFmtId="9" fontId="24" fillId="0" borderId="94" xfId="2765" applyFont="1" applyFill="1" applyBorder="1" applyAlignment="1" applyProtection="1">
      <alignment horizontal="center" vertical="center"/>
      <protection hidden="1"/>
    </xf>
    <xf numFmtId="0" fontId="2" fillId="0" borderId="94" xfId="0" applyFont="1" applyFill="1" applyBorder="1" applyAlignment="1">
      <alignment horizontal="center" vertical="center"/>
    </xf>
    <xf numFmtId="0" fontId="0" fillId="29" borderId="94" xfId="0" applyFont="1" applyFill="1" applyBorder="1" applyAlignment="1" applyProtection="1">
      <alignment horizontal="left" vertical="center"/>
    </xf>
    <xf numFmtId="0" fontId="27" fillId="29" borderId="94" xfId="0" applyFont="1" applyFill="1" applyBorder="1" applyAlignment="1" applyProtection="1">
      <alignment horizontal="left" vertical="top"/>
    </xf>
    <xf numFmtId="0" fontId="0" fillId="29" borderId="94" xfId="0" applyFill="1" applyBorder="1" applyAlignment="1" applyProtection="1">
      <alignment horizontal="left" vertical="top"/>
    </xf>
    <xf numFmtId="0" fontId="33" fillId="0" borderId="94" xfId="0" applyFont="1" applyFill="1" applyBorder="1" applyAlignment="1" applyProtection="1">
      <alignment horizontal="center" vertical="top"/>
    </xf>
    <xf numFmtId="2" fontId="2" fillId="0" borderId="94" xfId="0" applyNumberFormat="1" applyFont="1" applyFill="1" applyBorder="1" applyAlignment="1" applyProtection="1">
      <alignment horizontal="center" vertical="top"/>
    </xf>
    <xf numFmtId="9" fontId="24" fillId="0" borderId="94" xfId="2765" applyFont="1" applyFill="1" applyBorder="1" applyAlignment="1" applyProtection="1">
      <alignment horizontal="center" vertical="top"/>
      <protection hidden="1"/>
    </xf>
    <xf numFmtId="0" fontId="2" fillId="0" borderId="94" xfId="0" applyFont="1" applyFill="1" applyBorder="1" applyAlignment="1">
      <alignment horizontal="center" vertical="top"/>
    </xf>
    <xf numFmtId="170" fontId="38" fillId="33" borderId="94" xfId="2196" applyNumberFormat="1" applyFont="1" applyFill="1" applyBorder="1" applyAlignment="1" applyProtection="1">
      <alignment horizontal="left" vertical="center"/>
      <protection locked="0" hidden="1"/>
    </xf>
    <xf numFmtId="0" fontId="0" fillId="0" borderId="94" xfId="0" applyFont="1" applyFill="1" applyBorder="1" applyAlignment="1">
      <alignment horizontal="left" vertical="center"/>
    </xf>
    <xf numFmtId="0" fontId="2" fillId="0" borderId="94" xfId="0" applyFont="1" applyFill="1" applyBorder="1" applyAlignment="1" applyProtection="1">
      <alignment horizontal="center" vertical="center"/>
    </xf>
    <xf numFmtId="0" fontId="24" fillId="29" borderId="114" xfId="0" applyFont="1" applyFill="1" applyBorder="1" applyAlignment="1">
      <alignment horizontal="center" vertical="center"/>
    </xf>
    <xf numFmtId="0" fontId="24" fillId="29" borderId="94" xfId="0" applyFont="1" applyFill="1" applyBorder="1" applyAlignment="1">
      <alignment horizontal="center" vertical="center"/>
    </xf>
    <xf numFmtId="0" fontId="24" fillId="29" borderId="115" xfId="0" applyFont="1" applyFill="1" applyBorder="1" applyAlignment="1">
      <alignment horizontal="center" vertical="center"/>
    </xf>
    <xf numFmtId="3" fontId="24" fillId="0" borderId="94" xfId="0" applyNumberFormat="1" applyFont="1" applyFill="1" applyBorder="1" applyAlignment="1">
      <alignment horizontal="center" vertical="center"/>
    </xf>
    <xf numFmtId="3" fontId="24" fillId="0" borderId="115" xfId="0" applyNumberFormat="1" applyFont="1" applyFill="1" applyBorder="1" applyAlignment="1">
      <alignment horizontal="center" vertical="center"/>
    </xf>
    <xf numFmtId="3" fontId="24" fillId="0" borderId="114" xfId="0" applyNumberFormat="1" applyFont="1" applyFill="1" applyBorder="1" applyAlignment="1">
      <alignment horizontal="center" vertical="center"/>
    </xf>
    <xf numFmtId="0" fontId="24" fillId="29" borderId="112" xfId="0" applyFont="1" applyFill="1" applyBorder="1" applyAlignment="1">
      <alignment horizontal="center" vertical="center" shrinkToFit="1"/>
    </xf>
    <xf numFmtId="0" fontId="24" fillId="29" borderId="111" xfId="0" applyFont="1" applyFill="1" applyBorder="1" applyAlignment="1">
      <alignment horizontal="right" vertical="center"/>
    </xf>
    <xf numFmtId="0" fontId="24" fillId="29" borderId="111" xfId="0" applyFont="1" applyFill="1" applyBorder="1" applyAlignment="1">
      <alignment horizontal="center" vertical="center" shrinkToFit="1"/>
    </xf>
    <xf numFmtId="0" fontId="24" fillId="29" borderId="113" xfId="0" applyFont="1" applyFill="1" applyBorder="1" applyAlignment="1">
      <alignment horizontal="center" vertical="center" shrinkToFit="1"/>
    </xf>
    <xf numFmtId="167" fontId="24" fillId="29" borderId="114" xfId="0" applyNumberFormat="1" applyFont="1" applyFill="1" applyBorder="1" applyAlignment="1">
      <alignment horizontal="center" vertical="center" shrinkToFit="1"/>
    </xf>
    <xf numFmtId="167" fontId="24" fillId="29" borderId="94" xfId="0" applyNumberFormat="1" applyFont="1" applyFill="1" applyBorder="1" applyAlignment="1">
      <alignment horizontal="center" vertical="center" shrinkToFit="1"/>
    </xf>
    <xf numFmtId="167" fontId="24" fillId="29" borderId="115" xfId="0" applyNumberFormat="1" applyFont="1" applyFill="1" applyBorder="1" applyAlignment="1">
      <alignment horizontal="center" vertical="center" shrinkToFit="1"/>
    </xf>
    <xf numFmtId="0" fontId="24" fillId="0" borderId="0" xfId="0" applyFont="1" applyFill="1" applyBorder="1" applyProtection="1">
      <protection locked="0"/>
    </xf>
    <xf numFmtId="0" fontId="24" fillId="0" borderId="0" xfId="0" applyFont="1" applyFill="1" applyBorder="1" applyAlignment="1" applyProtection="1">
      <alignment shrinkToFit="1"/>
      <protection locked="0"/>
    </xf>
    <xf numFmtId="0" fontId="10" fillId="0" borderId="0" xfId="0" applyFont="1" applyFill="1" applyBorder="1" applyAlignment="1" applyProtection="1">
      <alignment horizontal="right" vertical="center" indent="1"/>
      <protection locked="0"/>
    </xf>
    <xf numFmtId="3" fontId="24" fillId="29" borderId="114" xfId="0" applyNumberFormat="1" applyFont="1" applyFill="1" applyBorder="1" applyAlignment="1">
      <alignment horizontal="center" vertical="center"/>
    </xf>
    <xf numFmtId="3" fontId="24" fillId="29" borderId="94" xfId="0" applyNumberFormat="1" applyFont="1" applyFill="1" applyBorder="1" applyAlignment="1">
      <alignment horizontal="center" vertical="center"/>
    </xf>
    <xf numFmtId="3" fontId="24" fillId="29" borderId="115" xfId="0" applyNumberFormat="1" applyFont="1" applyFill="1" applyBorder="1" applyAlignment="1">
      <alignment horizontal="center" vertical="center"/>
    </xf>
    <xf numFmtId="0" fontId="10" fillId="0" borderId="0" xfId="0" applyFont="1" applyFill="1" applyAlignment="1">
      <alignment horizontal="right" vertical="center" indent="1"/>
    </xf>
    <xf numFmtId="167" fontId="24" fillId="29" borderId="117" xfId="0" applyNumberFormat="1" applyFont="1" applyFill="1" applyBorder="1" applyAlignment="1">
      <alignment horizontal="center" vertical="center" shrinkToFit="1"/>
    </xf>
    <xf numFmtId="167" fontId="24" fillId="29" borderId="116" xfId="0" applyNumberFormat="1" applyFont="1" applyFill="1" applyBorder="1" applyAlignment="1">
      <alignment horizontal="center" vertical="center" shrinkToFit="1"/>
    </xf>
    <xf numFmtId="167" fontId="24" fillId="29" borderId="118" xfId="0" applyNumberFormat="1" applyFont="1" applyFill="1" applyBorder="1" applyAlignment="1">
      <alignment horizontal="center" vertical="center" shrinkToFit="1"/>
    </xf>
    <xf numFmtId="0" fontId="0" fillId="0" borderId="18" xfId="0" applyFont="1" applyFill="1" applyBorder="1" applyAlignment="1" applyProtection="1">
      <alignment horizontal="center" vertical="center" wrapText="1"/>
    </xf>
    <xf numFmtId="0" fontId="124" fillId="29" borderId="96" xfId="0" applyFont="1" applyFill="1" applyBorder="1" applyAlignment="1" applyProtection="1">
      <alignment horizontal="left" vertical="center"/>
    </xf>
    <xf numFmtId="0" fontId="0" fillId="11" borderId="94" xfId="0" applyFill="1" applyBorder="1" applyAlignment="1" applyProtection="1">
      <alignment horizontal="center" vertical="center"/>
      <protection locked="0"/>
    </xf>
    <xf numFmtId="10" fontId="87" fillId="19" borderId="94" xfId="2765" applyNumberFormat="1" applyFill="1" applyBorder="1" applyAlignment="1" applyProtection="1">
      <alignment horizontal="center" vertical="center"/>
    </xf>
    <xf numFmtId="2" fontId="0" fillId="19" borderId="94" xfId="0" applyNumberFormat="1" applyFill="1" applyBorder="1" applyAlignment="1">
      <alignment horizontal="center" vertical="center"/>
    </xf>
    <xf numFmtId="0" fontId="40" fillId="0" borderId="0" xfId="0" applyFont="1" applyFill="1" applyBorder="1" applyAlignment="1">
      <alignment horizontal="left"/>
    </xf>
    <xf numFmtId="169" fontId="87" fillId="11" borderId="94" xfId="2765" applyNumberFormat="1" applyFill="1" applyBorder="1" applyAlignment="1" applyProtection="1">
      <alignment horizontal="center" vertical="center"/>
      <protection locked="0"/>
    </xf>
    <xf numFmtId="0" fontId="34" fillId="29" borderId="96" xfId="0" applyFont="1" applyFill="1" applyBorder="1" applyAlignment="1" applyProtection="1">
      <alignment horizontal="left" vertical="center"/>
    </xf>
    <xf numFmtId="0" fontId="0" fillId="19" borderId="94" xfId="0" applyFont="1" applyFill="1" applyBorder="1" applyAlignment="1">
      <alignment horizontal="center" vertical="center"/>
    </xf>
    <xf numFmtId="0" fontId="48" fillId="19" borderId="94" xfId="0" applyFont="1" applyFill="1" applyBorder="1" applyAlignment="1">
      <alignment horizontal="center" vertical="center"/>
    </xf>
    <xf numFmtId="0" fontId="40" fillId="19" borderId="94" xfId="0" applyFont="1" applyFill="1" applyBorder="1" applyAlignment="1">
      <alignment horizontal="center" vertical="center"/>
    </xf>
    <xf numFmtId="0" fontId="31" fillId="0" borderId="12" xfId="0" applyFont="1" applyFill="1" applyBorder="1" applyAlignment="1">
      <alignment horizontal="left" vertical="center"/>
    </xf>
    <xf numFmtId="0" fontId="0" fillId="0" borderId="94" xfId="0" applyBorder="1" applyAlignment="1">
      <alignment horizontal="center" vertical="center"/>
    </xf>
    <xf numFmtId="0" fontId="0" fillId="0" borderId="0" xfId="0"/>
    <xf numFmtId="0" fontId="51" fillId="0" borderId="0" xfId="0" applyFont="1" applyFill="1"/>
    <xf numFmtId="0" fontId="2" fillId="38" borderId="94" xfId="0" applyFont="1" applyFill="1" applyBorder="1" applyAlignment="1">
      <alignment horizontal="center" vertical="center" wrapText="1"/>
    </xf>
    <xf numFmtId="0" fontId="2" fillId="38" borderId="97" xfId="0" applyFont="1" applyFill="1" applyBorder="1"/>
    <xf numFmtId="0" fontId="2" fillId="38" borderId="95" xfId="0" applyFont="1" applyFill="1" applyBorder="1"/>
    <xf numFmtId="0" fontId="2" fillId="38" borderId="94" xfId="0" applyFont="1" applyFill="1" applyBorder="1"/>
    <xf numFmtId="0" fontId="2" fillId="38" borderId="94" xfId="0" applyFont="1" applyFill="1" applyBorder="1" applyAlignment="1">
      <alignment horizontal="center" vertical="center"/>
    </xf>
    <xf numFmtId="0" fontId="2" fillId="38" borderId="97" xfId="0" applyFont="1" applyFill="1" applyBorder="1" applyAlignment="1">
      <alignment horizontal="center" vertical="center"/>
    </xf>
    <xf numFmtId="0" fontId="33" fillId="29" borderId="94" xfId="0" applyFont="1" applyFill="1" applyBorder="1" applyAlignment="1"/>
    <xf numFmtId="0" fontId="2" fillId="29" borderId="94" xfId="0" applyFont="1" applyFill="1" applyBorder="1" applyAlignment="1">
      <alignment horizontal="center"/>
    </xf>
    <xf numFmtId="1" fontId="24" fillId="0" borderId="94" xfId="0" applyNumberFormat="1" applyFont="1" applyFill="1" applyBorder="1" applyAlignment="1" applyProtection="1">
      <alignment horizontal="center"/>
    </xf>
    <xf numFmtId="0" fontId="40" fillId="0" borderId="97" xfId="0" applyFont="1" applyFill="1" applyBorder="1" applyAlignment="1">
      <alignment horizontal="left" vertical="center" indent="1"/>
    </xf>
    <xf numFmtId="0" fontId="27" fillId="0" borderId="94" xfId="0" applyFont="1" applyFill="1" applyBorder="1" applyAlignment="1">
      <alignment horizontal="center" vertical="center"/>
    </xf>
    <xf numFmtId="0" fontId="31" fillId="0" borderId="94" xfId="0" applyFont="1" applyFill="1" applyBorder="1" applyAlignment="1">
      <alignment horizontal="center" vertical="center"/>
    </xf>
    <xf numFmtId="0" fontId="87" fillId="0" borderId="94" xfId="2796" applyFont="1" applyFill="1" applyBorder="1" applyAlignment="1">
      <alignment vertical="center"/>
    </xf>
    <xf numFmtId="0" fontId="27" fillId="0" borderId="94" xfId="2796" applyFont="1" applyFill="1" applyBorder="1" applyAlignment="1">
      <alignment horizontal="center" vertical="center"/>
    </xf>
    <xf numFmtId="0" fontId="31" fillId="0" borderId="0" xfId="2796" applyFont="1" applyFill="1" applyBorder="1" applyAlignment="1">
      <alignment horizontal="center" vertical="center"/>
    </xf>
    <xf numFmtId="0" fontId="33" fillId="0" borderId="0" xfId="2796" applyFont="1" applyFill="1"/>
    <xf numFmtId="0" fontId="45" fillId="0" borderId="0" xfId="0" applyFont="1" applyFill="1" applyAlignment="1">
      <alignment vertical="center"/>
    </xf>
    <xf numFmtId="0" fontId="33" fillId="0" borderId="94" xfId="0" applyFont="1" applyFill="1" applyBorder="1" applyAlignment="1">
      <alignment horizontal="center"/>
    </xf>
    <xf numFmtId="0" fontId="33" fillId="0" borderId="94" xfId="0" applyFont="1" applyFill="1" applyBorder="1" applyAlignment="1">
      <alignment horizontal="center" vertical="center"/>
    </xf>
    <xf numFmtId="0" fontId="27" fillId="0" borderId="94" xfId="0" applyFont="1" applyFill="1" applyBorder="1" applyAlignment="1"/>
    <xf numFmtId="0" fontId="33" fillId="0" borderId="94" xfId="0" applyFont="1" applyFill="1" applyBorder="1"/>
    <xf numFmtId="0" fontId="33" fillId="0" borderId="94" xfId="0" applyFont="1" applyFill="1" applyBorder="1" applyAlignment="1">
      <alignment vertical="center"/>
    </xf>
    <xf numFmtId="0" fontId="27" fillId="0" borderId="0" xfId="0" applyFont="1" applyFill="1" applyAlignment="1">
      <alignment vertical="center"/>
    </xf>
    <xf numFmtId="0" fontId="130" fillId="40" borderId="0" xfId="0" applyFont="1" applyFill="1" applyAlignment="1">
      <alignment vertical="center"/>
    </xf>
    <xf numFmtId="0" fontId="102" fillId="40" borderId="0" xfId="0" applyFont="1" applyFill="1"/>
    <xf numFmtId="0" fontId="102" fillId="40" borderId="0" xfId="0" applyFont="1" applyFill="1" applyAlignment="1">
      <alignment horizontal="center"/>
    </xf>
    <xf numFmtId="0" fontId="102" fillId="40" borderId="0" xfId="0" applyFont="1" applyFill="1" applyAlignment="1">
      <alignment horizontal="center" vertical="center"/>
    </xf>
    <xf numFmtId="0" fontId="0" fillId="40" borderId="0" xfId="0" applyFill="1" applyAlignment="1">
      <alignment horizontal="center" vertical="center"/>
    </xf>
    <xf numFmtId="0" fontId="0" fillId="40" borderId="0" xfId="0" applyFill="1" applyAlignment="1">
      <alignment horizontal="left" vertical="center"/>
    </xf>
    <xf numFmtId="0" fontId="25" fillId="0" borderId="23" xfId="0" applyFont="1" applyFill="1" applyBorder="1" applyAlignment="1">
      <alignment horizontal="left" vertical="center"/>
    </xf>
    <xf numFmtId="0" fontId="24" fillId="0" borderId="12" xfId="0" applyFont="1" applyFill="1" applyBorder="1"/>
    <xf numFmtId="0" fontId="0" fillId="37" borderId="11" xfId="0" applyFill="1" applyBorder="1"/>
    <xf numFmtId="0" fontId="0" fillId="37" borderId="12" xfId="0" applyFont="1" applyFill="1" applyBorder="1"/>
    <xf numFmtId="0" fontId="0" fillId="37" borderId="21" xfId="0" applyFill="1" applyBorder="1" applyAlignment="1">
      <alignment horizontal="center" vertical="center"/>
    </xf>
    <xf numFmtId="0" fontId="36" fillId="37" borderId="77" xfId="0" applyFont="1" applyFill="1" applyBorder="1" applyAlignment="1">
      <alignment horizontal="center" vertical="center" wrapText="1"/>
    </xf>
    <xf numFmtId="0" fontId="0" fillId="37" borderId="123" xfId="0" applyFont="1" applyFill="1" applyBorder="1" applyAlignment="1">
      <alignment horizontal="left" vertical="center"/>
    </xf>
    <xf numFmtId="0" fontId="0" fillId="37" borderId="124" xfId="0" applyFont="1" applyFill="1" applyBorder="1" applyAlignment="1">
      <alignment horizontal="center" vertical="center"/>
    </xf>
    <xf numFmtId="0" fontId="0" fillId="37" borderId="125" xfId="0" applyFont="1" applyFill="1" applyBorder="1" applyAlignment="1">
      <alignment horizontal="center" vertical="center"/>
    </xf>
    <xf numFmtId="0" fontId="0" fillId="37" borderId="126" xfId="0" applyFont="1" applyFill="1" applyBorder="1" applyAlignment="1" applyProtection="1">
      <alignment horizontal="center" vertical="center"/>
    </xf>
    <xf numFmtId="0" fontId="0" fillId="37" borderId="127" xfId="0" applyFont="1" applyFill="1" applyBorder="1" applyAlignment="1" applyProtection="1">
      <alignment horizontal="center" vertical="center"/>
    </xf>
    <xf numFmtId="0" fontId="0" fillId="37" borderId="123" xfId="0" applyFont="1" applyFill="1" applyBorder="1" applyAlignment="1" applyProtection="1">
      <alignment horizontal="left" vertical="center"/>
    </xf>
    <xf numFmtId="0" fontId="0" fillId="37" borderId="124" xfId="0" applyFont="1" applyFill="1" applyBorder="1" applyAlignment="1" applyProtection="1">
      <alignment horizontal="center" vertical="center"/>
    </xf>
    <xf numFmtId="0" fontId="0" fillId="37" borderId="125" xfId="0" applyFont="1" applyFill="1" applyBorder="1" applyAlignment="1" applyProtection="1">
      <alignment horizontal="center" vertical="center"/>
    </xf>
    <xf numFmtId="0" fontId="0" fillId="37" borderId="128" xfId="0" applyFont="1" applyFill="1" applyBorder="1" applyAlignment="1">
      <alignment horizontal="center" vertical="center"/>
    </xf>
    <xf numFmtId="0" fontId="0" fillId="37" borderId="126" xfId="0" applyFont="1" applyFill="1" applyBorder="1" applyAlignment="1">
      <alignment horizontal="center" vertical="center"/>
    </xf>
    <xf numFmtId="0" fontId="0" fillId="37" borderId="127" xfId="0" applyFont="1" applyFill="1" applyBorder="1" applyAlignment="1">
      <alignment horizontal="center" vertical="center"/>
    </xf>
    <xf numFmtId="0" fontId="0" fillId="37" borderId="128" xfId="0" applyFont="1" applyFill="1" applyBorder="1" applyAlignment="1">
      <alignment horizontal="left" vertical="center"/>
    </xf>
    <xf numFmtId="0" fontId="0" fillId="37" borderId="129" xfId="0" applyFont="1" applyFill="1" applyBorder="1" applyAlignment="1">
      <alignment horizontal="left" vertical="center"/>
    </xf>
    <xf numFmtId="0" fontId="0" fillId="37" borderId="17" xfId="0" applyFont="1" applyFill="1" applyBorder="1" applyAlignment="1">
      <alignment horizontal="left" vertical="center"/>
    </xf>
    <xf numFmtId="0" fontId="0" fillId="37" borderId="24" xfId="0" applyFont="1" applyFill="1" applyBorder="1" applyAlignment="1">
      <alignment horizontal="center"/>
    </xf>
    <xf numFmtId="0" fontId="0" fillId="37" borderId="25" xfId="0" applyFont="1" applyFill="1" applyBorder="1" applyAlignment="1">
      <alignment horizontal="center"/>
    </xf>
    <xf numFmtId="0" fontId="0" fillId="37" borderId="26" xfId="0" applyFont="1" applyFill="1" applyBorder="1" applyAlignment="1">
      <alignment horizontal="center"/>
    </xf>
    <xf numFmtId="0" fontId="0" fillId="37" borderId="24" xfId="0" applyFont="1" applyFill="1" applyBorder="1" applyAlignment="1">
      <alignment horizontal="center" vertical="center"/>
    </xf>
    <xf numFmtId="0" fontId="0" fillId="37" borderId="25" xfId="0" applyFont="1" applyFill="1" applyBorder="1" applyAlignment="1">
      <alignment horizontal="center" vertical="center"/>
    </xf>
    <xf numFmtId="0" fontId="0" fillId="37" borderId="34" xfId="0" applyFont="1" applyFill="1" applyBorder="1" applyAlignment="1">
      <alignment horizontal="center" vertical="center"/>
    </xf>
    <xf numFmtId="0" fontId="0" fillId="37" borderId="35" xfId="0" applyFont="1" applyFill="1" applyBorder="1" applyAlignment="1">
      <alignment horizontal="center" vertical="center"/>
    </xf>
    <xf numFmtId="0" fontId="18" fillId="37" borderId="12" xfId="0" applyFont="1" applyFill="1" applyBorder="1" applyAlignment="1">
      <alignment horizontal="center" vertical="center"/>
    </xf>
    <xf numFmtId="0" fontId="0" fillId="37" borderId="130" xfId="0" applyFont="1" applyFill="1" applyBorder="1" applyAlignment="1">
      <alignment horizontal="center" vertical="center"/>
    </xf>
    <xf numFmtId="0" fontId="0" fillId="37" borderId="131" xfId="0" applyFont="1" applyFill="1" applyBorder="1" applyAlignment="1">
      <alignment horizontal="center" vertical="center"/>
    </xf>
    <xf numFmtId="0" fontId="0" fillId="37" borderId="132" xfId="0" applyFont="1" applyFill="1" applyBorder="1" applyAlignment="1">
      <alignment horizontal="center" vertical="center"/>
    </xf>
    <xf numFmtId="0" fontId="0" fillId="37" borderId="133" xfId="0" applyFont="1" applyFill="1" applyBorder="1" applyAlignment="1">
      <alignment horizontal="center" vertical="center"/>
    </xf>
    <xf numFmtId="0" fontId="0" fillId="37" borderId="130" xfId="0" applyFont="1" applyFill="1" applyBorder="1" applyAlignment="1" applyProtection="1">
      <alignment horizontal="center" vertical="center"/>
    </xf>
    <xf numFmtId="0" fontId="0" fillId="37" borderId="131" xfId="0" applyFont="1" applyFill="1" applyBorder="1" applyAlignment="1" applyProtection="1">
      <alignment horizontal="center" vertical="center"/>
    </xf>
    <xf numFmtId="0" fontId="0" fillId="37" borderId="132" xfId="0" applyFont="1" applyFill="1" applyBorder="1" applyAlignment="1" applyProtection="1">
      <alignment horizontal="center" vertical="center"/>
    </xf>
    <xf numFmtId="0" fontId="0" fillId="37" borderId="134" xfId="0" applyFont="1" applyFill="1" applyBorder="1" applyAlignment="1" applyProtection="1">
      <alignment horizontal="center" vertical="center"/>
    </xf>
    <xf numFmtId="0" fontId="0" fillId="37" borderId="135" xfId="0" applyFont="1" applyFill="1" applyBorder="1" applyAlignment="1">
      <alignment horizontal="center" vertical="center"/>
    </xf>
    <xf numFmtId="0" fontId="0" fillId="37" borderId="28" xfId="0" applyFont="1" applyFill="1" applyBorder="1" applyAlignment="1">
      <alignment horizontal="center" vertical="center"/>
    </xf>
    <xf numFmtId="0" fontId="0" fillId="38" borderId="43" xfId="0" applyFill="1" applyBorder="1"/>
    <xf numFmtId="0" fontId="0" fillId="38" borderId="44" xfId="0" applyFill="1" applyBorder="1"/>
    <xf numFmtId="0" fontId="0" fillId="38" borderId="43" xfId="0" applyFill="1" applyBorder="1" applyAlignment="1">
      <alignment horizontal="center"/>
    </xf>
    <xf numFmtId="0" fontId="0" fillId="38" borderId="45" xfId="0" applyFill="1" applyBorder="1" applyAlignment="1">
      <alignment horizontal="center"/>
    </xf>
    <xf numFmtId="0" fontId="0" fillId="38" borderId="67" xfId="0" applyFill="1" applyBorder="1" applyAlignment="1">
      <alignment horizontal="center"/>
    </xf>
    <xf numFmtId="0" fontId="0" fillId="38" borderId="59" xfId="0" applyFill="1" applyBorder="1" applyAlignment="1">
      <alignment horizontal="center" vertical="center"/>
    </xf>
    <xf numFmtId="0" fontId="0" fillId="38" borderId="67" xfId="0" applyFill="1" applyBorder="1" applyAlignment="1">
      <alignment horizontal="center" vertical="center"/>
    </xf>
    <xf numFmtId="0" fontId="0" fillId="38" borderId="60" xfId="0" applyFill="1" applyBorder="1" applyAlignment="1">
      <alignment horizontal="center" vertical="center"/>
    </xf>
    <xf numFmtId="0" fontId="0" fillId="38" borderId="33" xfId="0" applyFont="1" applyFill="1" applyBorder="1" applyAlignment="1">
      <alignment horizontal="left" vertical="center"/>
    </xf>
    <xf numFmtId="0" fontId="0" fillId="38" borderId="44" xfId="0" applyFill="1" applyBorder="1" applyAlignment="1">
      <alignment horizontal="center"/>
    </xf>
    <xf numFmtId="0" fontId="0" fillId="38" borderId="43" xfId="0" applyFill="1" applyBorder="1" applyAlignment="1">
      <alignment horizontal="center" vertical="center"/>
    </xf>
    <xf numFmtId="0" fontId="0" fillId="38" borderId="45" xfId="0" applyFill="1" applyBorder="1" applyAlignment="1">
      <alignment horizontal="center" vertical="center"/>
    </xf>
    <xf numFmtId="0" fontId="0" fillId="38" borderId="46" xfId="0" applyFill="1" applyBorder="1" applyAlignment="1">
      <alignment horizontal="center" vertical="center"/>
    </xf>
    <xf numFmtId="0" fontId="0" fillId="38" borderId="32" xfId="0" applyFill="1" applyBorder="1" applyAlignment="1">
      <alignment horizontal="center" vertical="center"/>
    </xf>
    <xf numFmtId="0" fontId="0" fillId="37" borderId="11" xfId="0" applyFont="1" applyFill="1" applyBorder="1" applyAlignment="1">
      <alignment horizontal="center" vertical="center" wrapText="1"/>
    </xf>
    <xf numFmtId="0" fontId="0" fillId="38" borderId="57" xfId="0" applyFill="1" applyBorder="1" applyAlignment="1">
      <alignment horizontal="center" vertical="center"/>
    </xf>
    <xf numFmtId="0" fontId="0" fillId="38" borderId="41" xfId="0" applyFill="1" applyBorder="1" applyAlignment="1">
      <alignment horizontal="center" vertical="center"/>
    </xf>
    <xf numFmtId="0" fontId="0" fillId="38" borderId="42" xfId="0" applyFill="1" applyBorder="1" applyAlignment="1">
      <alignment horizontal="center" vertical="center"/>
    </xf>
    <xf numFmtId="0" fontId="0" fillId="38" borderId="51" xfId="0" applyFill="1" applyBorder="1" applyAlignment="1">
      <alignment horizontal="center" vertical="center"/>
    </xf>
    <xf numFmtId="0" fontId="0" fillId="38" borderId="0" xfId="0" applyFill="1" applyBorder="1" applyAlignment="1">
      <alignment horizontal="center" vertical="center"/>
    </xf>
    <xf numFmtId="0" fontId="0" fillId="38" borderId="58" xfId="0" applyFill="1" applyBorder="1" applyAlignment="1">
      <alignment horizontal="center" vertical="center"/>
    </xf>
    <xf numFmtId="0" fontId="0" fillId="38" borderId="49" xfId="0" applyFont="1" applyFill="1" applyBorder="1" applyAlignment="1">
      <alignment horizontal="center" vertical="center"/>
    </xf>
    <xf numFmtId="0" fontId="0" fillId="38" borderId="30" xfId="0" applyFill="1" applyBorder="1" applyAlignment="1">
      <alignment horizontal="center" vertical="center"/>
    </xf>
    <xf numFmtId="0" fontId="0" fillId="38" borderId="68" xfId="0" applyFill="1" applyBorder="1" applyAlignment="1">
      <alignment horizontal="center" vertical="center"/>
    </xf>
    <xf numFmtId="0" fontId="0" fillId="19" borderId="69" xfId="0" applyFill="1" applyBorder="1" applyAlignment="1"/>
    <xf numFmtId="0" fontId="69" fillId="19" borderId="62" xfId="0" applyFont="1" applyFill="1" applyBorder="1" applyAlignment="1">
      <alignment horizontal="center"/>
    </xf>
    <xf numFmtId="0" fontId="0" fillId="19" borderId="70" xfId="0" applyFill="1" applyBorder="1" applyAlignment="1"/>
    <xf numFmtId="2" fontId="0" fillId="19" borderId="41" xfId="0" applyNumberFormat="1" applyFill="1" applyBorder="1" applyAlignment="1"/>
    <xf numFmtId="2" fontId="0" fillId="19" borderId="42" xfId="0" applyNumberFormat="1" applyFill="1" applyBorder="1" applyAlignment="1"/>
    <xf numFmtId="0" fontId="0" fillId="19" borderId="71" xfId="0" applyFill="1" applyBorder="1" applyAlignment="1"/>
    <xf numFmtId="0" fontId="0" fillId="19" borderId="0" xfId="0" applyFill="1" applyBorder="1" applyAlignment="1"/>
    <xf numFmtId="0" fontId="0" fillId="19" borderId="64" xfId="0" applyFill="1" applyBorder="1" applyAlignment="1"/>
    <xf numFmtId="2" fontId="69" fillId="19" borderId="11" xfId="0" applyNumberFormat="1" applyFont="1" applyFill="1" applyBorder="1" applyAlignment="1">
      <alignment horizontal="center"/>
    </xf>
    <xf numFmtId="2" fontId="69" fillId="19" borderId="36" xfId="0" applyNumberFormat="1" applyFont="1" applyFill="1" applyBorder="1" applyAlignment="1">
      <alignment horizontal="center"/>
    </xf>
    <xf numFmtId="0" fontId="69" fillId="19" borderId="11" xfId="0" applyFont="1" applyFill="1" applyBorder="1" applyAlignment="1">
      <alignment horizontal="center"/>
    </xf>
    <xf numFmtId="2" fontId="0" fillId="19" borderId="0" xfId="0" applyNumberFormat="1" applyFill="1" applyBorder="1" applyAlignment="1"/>
    <xf numFmtId="2" fontId="0" fillId="19" borderId="58" xfId="0" applyNumberFormat="1" applyFill="1" applyBorder="1" applyAlignment="1"/>
    <xf numFmtId="0" fontId="69" fillId="19" borderId="36" xfId="0" applyFont="1" applyFill="1" applyBorder="1" applyAlignment="1">
      <alignment horizontal="center"/>
    </xf>
    <xf numFmtId="0" fontId="0" fillId="19" borderId="73" xfId="0" applyFill="1" applyBorder="1" applyAlignment="1"/>
    <xf numFmtId="0" fontId="0" fillId="19" borderId="30" xfId="0" applyFill="1" applyBorder="1" applyAlignment="1"/>
    <xf numFmtId="0" fontId="0" fillId="19" borderId="74" xfId="0" applyFill="1" applyBorder="1" applyAlignment="1"/>
    <xf numFmtId="2" fontId="69" fillId="19" borderId="25" xfId="0" applyNumberFormat="1" applyFont="1" applyFill="1" applyBorder="1" applyAlignment="1">
      <alignment horizontal="center"/>
    </xf>
    <xf numFmtId="2" fontId="69" fillId="19" borderId="34" xfId="0" applyNumberFormat="1" applyFont="1" applyFill="1" applyBorder="1" applyAlignment="1">
      <alignment horizontal="center"/>
    </xf>
    <xf numFmtId="0" fontId="0" fillId="38" borderId="45" xfId="0" applyFont="1" applyFill="1" applyBorder="1"/>
    <xf numFmtId="0" fontId="0" fillId="38" borderId="32" xfId="0" applyFont="1" applyFill="1" applyBorder="1" applyAlignment="1">
      <alignment horizontal="left" vertical="center"/>
    </xf>
    <xf numFmtId="0" fontId="0" fillId="38" borderId="11" xfId="0" applyFont="1" applyFill="1" applyBorder="1" applyAlignment="1">
      <alignment horizontal="center" vertical="center"/>
    </xf>
    <xf numFmtId="0" fontId="0" fillId="38" borderId="0" xfId="0" applyFont="1" applyFill="1" applyBorder="1" applyAlignment="1">
      <alignment horizontal="center" vertical="center"/>
    </xf>
    <xf numFmtId="0" fontId="0" fillId="0" borderId="11" xfId="0" applyFill="1" applyBorder="1"/>
    <xf numFmtId="0" fontId="0" fillId="0" borderId="35" xfId="0" applyFill="1" applyBorder="1" applyAlignment="1">
      <alignment horizontal="center"/>
    </xf>
    <xf numFmtId="0" fontId="0" fillId="0" borderId="12" xfId="0" applyFill="1" applyBorder="1" applyAlignment="1">
      <alignment horizontal="center"/>
    </xf>
    <xf numFmtId="0" fontId="0" fillId="0" borderId="35" xfId="0" applyFill="1" applyBorder="1" applyAlignment="1">
      <alignment horizontal="center" vertical="center"/>
    </xf>
    <xf numFmtId="0" fontId="0" fillId="0" borderId="11" xfId="0" applyFont="1" applyFill="1" applyBorder="1" applyAlignment="1">
      <alignment horizontal="center" vertical="center"/>
    </xf>
    <xf numFmtId="0" fontId="0" fillId="0" borderId="36" xfId="0" applyFill="1" applyBorder="1" applyAlignment="1">
      <alignment horizontal="center" vertical="center"/>
    </xf>
    <xf numFmtId="0" fontId="0" fillId="0" borderId="51" xfId="0" applyFill="1" applyBorder="1" applyAlignment="1">
      <alignment horizontal="center" vertical="center"/>
    </xf>
    <xf numFmtId="0" fontId="0" fillId="0" borderId="0" xfId="0" applyFill="1" applyBorder="1" applyAlignment="1">
      <alignment horizontal="center" vertical="center"/>
    </xf>
    <xf numFmtId="0" fontId="0" fillId="0" borderId="58" xfId="0" applyFill="1" applyBorder="1" applyAlignment="1">
      <alignment horizontal="center" vertical="center"/>
    </xf>
    <xf numFmtId="2" fontId="0" fillId="0" borderId="35" xfId="0" applyNumberFormat="1" applyFill="1" applyBorder="1" applyAlignment="1">
      <alignment horizontal="center" vertical="center"/>
    </xf>
    <xf numFmtId="2" fontId="0" fillId="0" borderId="11" xfId="0" applyNumberFormat="1" applyFont="1" applyFill="1" applyBorder="1" applyAlignment="1">
      <alignment horizontal="center" vertical="center"/>
    </xf>
    <xf numFmtId="173" fontId="0" fillId="0" borderId="36" xfId="0" applyNumberFormat="1" applyFill="1" applyBorder="1" applyAlignment="1">
      <alignment horizontal="center" vertical="center"/>
    </xf>
    <xf numFmtId="2" fontId="0" fillId="0" borderId="36" xfId="0" applyNumberFormat="1" applyFill="1" applyBorder="1" applyAlignment="1">
      <alignment horizontal="center" vertical="center"/>
    </xf>
    <xf numFmtId="0" fontId="24" fillId="0" borderId="11" xfId="0" applyFont="1" applyFill="1" applyBorder="1"/>
    <xf numFmtId="0" fontId="0" fillId="0" borderId="36" xfId="0" applyFont="1" applyFill="1" applyBorder="1" applyAlignment="1">
      <alignment horizontal="center" vertical="center"/>
    </xf>
    <xf numFmtId="167" fontId="0" fillId="0" borderId="11" xfId="0" applyNumberFormat="1" applyFont="1" applyBorder="1" applyAlignment="1">
      <alignment horizontal="center" vertical="center"/>
    </xf>
    <xf numFmtId="167" fontId="0" fillId="0" borderId="20" xfId="0" applyNumberFormat="1" applyBorder="1" applyAlignment="1">
      <alignment horizontal="center"/>
    </xf>
    <xf numFmtId="167" fontId="0" fillId="0" borderId="10" xfId="0" applyNumberFormat="1" applyBorder="1" applyAlignment="1">
      <alignment horizontal="center"/>
    </xf>
    <xf numFmtId="167" fontId="0" fillId="0" borderId="20" xfId="0" applyNumberFormat="1" applyFont="1" applyBorder="1" applyAlignment="1">
      <alignment horizontal="center" vertical="center"/>
    </xf>
    <xf numFmtId="167" fontId="0" fillId="0" borderId="76" xfId="0" applyNumberFormat="1" applyBorder="1" applyAlignment="1">
      <alignment horizontal="center" vertical="center"/>
    </xf>
    <xf numFmtId="167" fontId="0" fillId="0" borderId="75" xfId="0" applyNumberFormat="1" applyBorder="1" applyAlignment="1">
      <alignment horizontal="center" vertical="center"/>
    </xf>
    <xf numFmtId="0" fontId="0" fillId="29" borderId="0" xfId="0" applyFill="1"/>
    <xf numFmtId="0" fontId="0" fillId="29" borderId="11" xfId="0" applyFont="1" applyFill="1" applyBorder="1" applyAlignment="1">
      <alignment horizontal="left" vertical="center" wrapText="1"/>
    </xf>
    <xf numFmtId="0" fontId="0" fillId="29" borderId="11" xfId="0" applyFont="1" applyFill="1" applyBorder="1" applyAlignment="1">
      <alignment horizontal="center" vertical="center" wrapText="1"/>
    </xf>
    <xf numFmtId="0" fontId="25" fillId="29" borderId="11" xfId="0" applyFont="1" applyFill="1" applyBorder="1" applyAlignment="1">
      <alignment horizontal="center" vertical="center" wrapText="1"/>
    </xf>
    <xf numFmtId="0" fontId="0" fillId="29" borderId="12" xfId="0" applyFont="1" applyFill="1" applyBorder="1" applyAlignment="1">
      <alignment horizontal="center" vertical="center" wrapText="1"/>
    </xf>
    <xf numFmtId="0" fontId="0" fillId="29" borderId="21" xfId="0" applyFont="1" applyFill="1" applyBorder="1" applyAlignment="1">
      <alignment horizontal="center" vertical="center" wrapText="1"/>
    </xf>
    <xf numFmtId="0" fontId="0" fillId="29" borderId="62" xfId="0" applyFont="1" applyFill="1" applyBorder="1" applyAlignment="1">
      <alignment horizontal="center" vertical="center" wrapText="1"/>
    </xf>
    <xf numFmtId="0" fontId="0" fillId="29" borderId="22" xfId="0" applyFont="1" applyFill="1" applyBorder="1" applyAlignment="1">
      <alignment horizontal="center" vertical="center" wrapText="1"/>
    </xf>
    <xf numFmtId="0" fontId="0" fillId="29" borderId="17" xfId="0" applyFont="1" applyFill="1" applyBorder="1" applyAlignment="1">
      <alignment horizontal="center" vertical="center" wrapText="1"/>
    </xf>
    <xf numFmtId="0" fontId="0" fillId="0" borderId="11" xfId="0" applyFill="1" applyBorder="1" applyAlignment="1">
      <alignment horizontal="left" vertical="center"/>
    </xf>
    <xf numFmtId="0" fontId="0" fillId="0" borderId="11" xfId="0" applyFill="1" applyBorder="1" applyAlignment="1">
      <alignment horizontal="center" vertical="center"/>
    </xf>
    <xf numFmtId="166" fontId="0" fillId="0" borderId="11" xfId="0" applyNumberFormat="1" applyFill="1" applyBorder="1" applyAlignment="1">
      <alignment horizontal="center" vertical="center"/>
    </xf>
    <xf numFmtId="166" fontId="0" fillId="0" borderId="12" xfId="0" applyNumberFormat="1" applyFill="1" applyBorder="1" applyAlignment="1">
      <alignment horizontal="center" vertical="center"/>
    </xf>
    <xf numFmtId="166" fontId="0" fillId="0" borderId="35" xfId="0" applyNumberFormat="1" applyFill="1" applyBorder="1" applyAlignment="1">
      <alignment horizontal="center" vertical="center"/>
    </xf>
    <xf numFmtId="166" fontId="0" fillId="0" borderId="36" xfId="0" applyNumberFormat="1" applyFill="1" applyBorder="1" applyAlignment="1">
      <alignment horizontal="center" vertical="center"/>
    </xf>
    <xf numFmtId="166" fontId="0" fillId="0" borderId="17" xfId="0" applyNumberFormat="1" applyFill="1" applyBorder="1" applyAlignment="1">
      <alignment horizontal="center" vertical="center"/>
    </xf>
    <xf numFmtId="1" fontId="0" fillId="0" borderId="11" xfId="0" applyNumberFormat="1" applyFill="1" applyBorder="1" applyAlignment="1">
      <alignment horizontal="center" vertical="center"/>
    </xf>
    <xf numFmtId="0" fontId="0" fillId="0" borderId="12" xfId="0" applyFill="1" applyBorder="1" applyAlignment="1">
      <alignment horizontal="center" vertical="center"/>
    </xf>
    <xf numFmtId="4" fontId="0" fillId="0" borderId="17" xfId="0" applyNumberFormat="1" applyFill="1" applyBorder="1" applyAlignment="1">
      <alignment horizontal="center" vertical="center"/>
    </xf>
    <xf numFmtId="0" fontId="0" fillId="0" borderId="0" xfId="0" applyFill="1" applyAlignment="1">
      <alignment horizontal="center"/>
    </xf>
    <xf numFmtId="1" fontId="0" fillId="0" borderId="12" xfId="0" applyNumberFormat="1" applyFill="1" applyBorder="1" applyAlignment="1">
      <alignment horizontal="center" vertical="center"/>
    </xf>
    <xf numFmtId="0" fontId="0" fillId="29" borderId="137" xfId="0" applyFont="1" applyFill="1" applyBorder="1" applyAlignment="1">
      <alignment horizontal="center" vertical="center"/>
    </xf>
    <xf numFmtId="0" fontId="0" fillId="29" borderId="138" xfId="0" applyFont="1" applyFill="1" applyBorder="1" applyAlignment="1">
      <alignment horizontal="center" vertical="center"/>
    </xf>
    <xf numFmtId="1" fontId="0" fillId="29" borderId="130" xfId="0" applyNumberFormat="1" applyFill="1" applyBorder="1" applyAlignment="1">
      <alignment horizontal="center" vertical="center"/>
    </xf>
    <xf numFmtId="1" fontId="0" fillId="29" borderId="142" xfId="0" applyNumberFormat="1" applyFill="1" applyBorder="1" applyAlignment="1">
      <alignment horizontal="center" vertical="center"/>
    </xf>
    <xf numFmtId="169" fontId="0" fillId="0" borderId="11" xfId="0" applyNumberFormat="1" applyFont="1" applyFill="1" applyBorder="1" applyAlignment="1">
      <alignment horizontal="center" vertical="center"/>
    </xf>
    <xf numFmtId="169" fontId="0" fillId="0" borderId="12" xfId="0" applyNumberFormat="1" applyFill="1" applyBorder="1" applyAlignment="1">
      <alignment horizontal="center" vertical="center"/>
    </xf>
    <xf numFmtId="169" fontId="0" fillId="0" borderId="35" xfId="0" applyNumberFormat="1" applyFill="1" applyBorder="1" applyAlignment="1">
      <alignment horizontal="center" vertical="center"/>
    </xf>
    <xf numFmtId="169" fontId="0" fillId="0" borderId="11" xfId="0" applyNumberFormat="1" applyFill="1" applyBorder="1" applyAlignment="1">
      <alignment horizontal="center" vertical="center"/>
    </xf>
    <xf numFmtId="169" fontId="0" fillId="0" borderId="36" xfId="0" applyNumberFormat="1" applyFill="1" applyBorder="1" applyAlignment="1">
      <alignment horizontal="center" vertical="center"/>
    </xf>
    <xf numFmtId="0" fontId="0" fillId="0" borderId="17" xfId="0" applyFill="1" applyBorder="1" applyAlignment="1">
      <alignment horizontal="center" vertical="center"/>
    </xf>
    <xf numFmtId="0" fontId="0" fillId="0" borderId="20" xfId="0" applyFont="1" applyFill="1" applyBorder="1" applyAlignment="1">
      <alignment horizontal="center" vertical="center"/>
    </xf>
    <xf numFmtId="0" fontId="0" fillId="0" borderId="10" xfId="0" applyFill="1" applyBorder="1" applyAlignment="1">
      <alignment horizontal="center" vertical="center"/>
    </xf>
    <xf numFmtId="0" fontId="10" fillId="0" borderId="11" xfId="0" applyFont="1" applyFill="1" applyBorder="1" applyAlignment="1">
      <alignment horizontal="center"/>
    </xf>
    <xf numFmtId="0" fontId="10" fillId="0" borderId="12" xfId="0" applyFont="1" applyFill="1" applyBorder="1" applyAlignment="1">
      <alignment horizontal="center"/>
    </xf>
    <xf numFmtId="0" fontId="10" fillId="0" borderId="24" xfId="0" applyFont="1" applyFill="1" applyBorder="1" applyAlignment="1">
      <alignment horizontal="center"/>
    </xf>
    <xf numFmtId="0" fontId="10" fillId="0" borderId="25" xfId="0" applyFont="1" applyFill="1" applyBorder="1" applyAlignment="1">
      <alignment horizontal="center"/>
    </xf>
    <xf numFmtId="0" fontId="10" fillId="0" borderId="34" xfId="0" applyFont="1" applyFill="1" applyBorder="1" applyAlignment="1">
      <alignment horizontal="center" vertical="center"/>
    </xf>
    <xf numFmtId="0" fontId="10" fillId="0" borderId="17" xfId="0" applyFont="1" applyFill="1" applyBorder="1" applyAlignment="1">
      <alignment horizontal="center" vertical="center"/>
    </xf>
    <xf numFmtId="0" fontId="0" fillId="0" borderId="25" xfId="0" applyFill="1" applyBorder="1" applyAlignment="1">
      <alignment horizontal="center" vertical="center"/>
    </xf>
    <xf numFmtId="0" fontId="0" fillId="0" borderId="0" xfId="0" applyFill="1" applyAlignment="1">
      <alignment horizontal="center" vertical="center"/>
    </xf>
    <xf numFmtId="0" fontId="0" fillId="0" borderId="43" xfId="0" applyFill="1" applyBorder="1" applyAlignment="1">
      <alignment horizontal="center" vertical="center"/>
    </xf>
    <xf numFmtId="0" fontId="0" fillId="0" borderId="46" xfId="0" applyFill="1" applyBorder="1" applyAlignment="1">
      <alignment horizontal="center" vertical="center"/>
    </xf>
    <xf numFmtId="0" fontId="0" fillId="41" borderId="21" xfId="0" applyFont="1" applyFill="1" applyBorder="1" applyAlignment="1">
      <alignment horizontal="center" vertical="center" wrapText="1"/>
    </xf>
    <xf numFmtId="0" fontId="0" fillId="41" borderId="62" xfId="0" applyFont="1" applyFill="1" applyBorder="1" applyAlignment="1">
      <alignment horizontal="center" vertical="center" wrapText="1"/>
    </xf>
    <xf numFmtId="0" fontId="0" fillId="41" borderId="22" xfId="0" applyFont="1" applyFill="1" applyBorder="1" applyAlignment="1">
      <alignment horizontal="center" vertical="center" wrapText="1"/>
    </xf>
    <xf numFmtId="0" fontId="0" fillId="41" borderId="35" xfId="0" applyFill="1" applyBorder="1" applyAlignment="1">
      <alignment horizontal="center" vertical="center"/>
    </xf>
    <xf numFmtId="0" fontId="0" fillId="41" borderId="11" xfId="0" applyFill="1" applyBorder="1" applyAlignment="1">
      <alignment horizontal="center" vertical="center"/>
    </xf>
    <xf numFmtId="0" fontId="0" fillId="41" borderId="36" xfId="0" applyFill="1" applyBorder="1" applyAlignment="1">
      <alignment horizontal="center" vertical="center"/>
    </xf>
    <xf numFmtId="167" fontId="0" fillId="41" borderId="35" xfId="0" applyNumberFormat="1" applyFill="1" applyBorder="1" applyAlignment="1">
      <alignment horizontal="center" vertical="center"/>
    </xf>
    <xf numFmtId="1" fontId="0" fillId="41" borderId="11" xfId="0" applyNumberFormat="1" applyFill="1" applyBorder="1" applyAlignment="1">
      <alignment horizontal="center" vertical="center"/>
    </xf>
    <xf numFmtId="1" fontId="0" fillId="41" borderId="36" xfId="0" applyNumberFormat="1" applyFill="1" applyBorder="1" applyAlignment="1">
      <alignment horizontal="center" vertical="center"/>
    </xf>
    <xf numFmtId="0" fontId="0" fillId="37" borderId="11" xfId="0" applyFill="1" applyBorder="1" applyAlignment="1">
      <alignment horizontal="center"/>
    </xf>
    <xf numFmtId="0" fontId="0" fillId="37" borderId="11" xfId="0" applyFill="1" applyBorder="1" applyAlignment="1">
      <alignment horizontal="center" vertical="center"/>
    </xf>
    <xf numFmtId="0" fontId="0" fillId="37" borderId="12" xfId="0" applyFill="1" applyBorder="1" applyAlignment="1">
      <alignment horizontal="left" vertical="center"/>
    </xf>
    <xf numFmtId="0" fontId="0" fillId="0" borderId="0" xfId="0" applyFill="1" applyAlignment="1">
      <alignment horizontal="left" vertical="center"/>
    </xf>
    <xf numFmtId="0" fontId="0" fillId="26" borderId="0" xfId="0" applyFill="1" applyAlignment="1">
      <alignment horizontal="center" vertical="center"/>
    </xf>
    <xf numFmtId="0" fontId="66" fillId="26" borderId="0" xfId="0" applyFont="1" applyFill="1" applyAlignment="1">
      <alignment horizontal="right"/>
    </xf>
    <xf numFmtId="0" fontId="66" fillId="26" borderId="0" xfId="0" applyFont="1" applyFill="1" applyAlignment="1">
      <alignment horizontal="left"/>
    </xf>
    <xf numFmtId="0" fontId="33" fillId="0"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protection locked="0"/>
    </xf>
    <xf numFmtId="0" fontId="0" fillId="0" borderId="23" xfId="0" applyFill="1" applyBorder="1" applyAlignment="1">
      <alignment horizontal="center" vertical="center"/>
    </xf>
    <xf numFmtId="0" fontId="0" fillId="0" borderId="16" xfId="0" applyFill="1" applyBorder="1" applyAlignment="1">
      <alignment horizontal="center" vertical="center"/>
    </xf>
    <xf numFmtId="0" fontId="0" fillId="0" borderId="15" xfId="0" applyFill="1" applyBorder="1" applyAlignment="1">
      <alignment horizontal="center" vertical="center"/>
    </xf>
    <xf numFmtId="0" fontId="0" fillId="0" borderId="17"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48" xfId="0" applyFill="1" applyBorder="1" applyAlignment="1">
      <alignment horizontal="center" vertical="center"/>
    </xf>
    <xf numFmtId="0" fontId="0" fillId="0" borderId="52" xfId="0" applyFill="1" applyBorder="1" applyAlignment="1">
      <alignment horizontal="center" vertical="center"/>
    </xf>
    <xf numFmtId="3" fontId="0" fillId="0" borderId="61" xfId="0" applyNumberFormat="1" applyFill="1" applyBorder="1" applyAlignment="1">
      <alignment horizontal="center" vertical="center"/>
    </xf>
    <xf numFmtId="1" fontId="0" fillId="0" borderId="17" xfId="0" applyNumberFormat="1" applyFill="1" applyBorder="1" applyAlignment="1">
      <alignment horizontal="center" vertical="center"/>
    </xf>
    <xf numFmtId="1" fontId="0" fillId="0" borderId="20" xfId="0" applyNumberFormat="1" applyFill="1" applyBorder="1" applyAlignment="1">
      <alignment horizontal="center" vertical="center"/>
    </xf>
    <xf numFmtId="3" fontId="0" fillId="0" borderId="37" xfId="0" applyNumberFormat="1" applyFill="1" applyBorder="1" applyAlignment="1">
      <alignment horizontal="center" vertical="center"/>
    </xf>
    <xf numFmtId="3" fontId="0" fillId="0" borderId="43" xfId="0" applyNumberFormat="1" applyFill="1" applyBorder="1" applyAlignment="1">
      <alignment horizontal="center" vertical="center"/>
    </xf>
    <xf numFmtId="3" fontId="0" fillId="0" borderId="45" xfId="0" applyNumberFormat="1" applyFill="1" applyBorder="1" applyAlignment="1">
      <alignment horizontal="center" vertical="center"/>
    </xf>
    <xf numFmtId="0" fontId="0" fillId="0" borderId="31" xfId="0" applyFill="1" applyBorder="1" applyAlignment="1">
      <alignment horizontal="center" vertical="center"/>
    </xf>
    <xf numFmtId="0" fontId="0" fillId="0" borderId="32" xfId="0" applyFill="1" applyBorder="1" applyAlignment="1">
      <alignment horizontal="center" vertical="center"/>
    </xf>
    <xf numFmtId="0" fontId="10" fillId="0" borderId="32" xfId="0" applyFont="1" applyFill="1" applyBorder="1" applyAlignment="1">
      <alignment horizontal="right" vertical="center"/>
    </xf>
    <xf numFmtId="0" fontId="0" fillId="0" borderId="57" xfId="0" applyFill="1" applyBorder="1" applyAlignment="1">
      <alignment horizontal="center" vertical="center"/>
    </xf>
    <xf numFmtId="0" fontId="0" fillId="0" borderId="41" xfId="0" applyFill="1" applyBorder="1" applyAlignment="1">
      <alignment horizontal="center" vertical="center"/>
    </xf>
    <xf numFmtId="3" fontId="0" fillId="0" borderId="31" xfId="0" applyNumberFormat="1" applyFill="1" applyBorder="1" applyAlignment="1">
      <alignment horizontal="center" vertical="center"/>
    </xf>
    <xf numFmtId="0" fontId="0" fillId="0" borderId="12" xfId="0" applyFont="1" applyFill="1" applyBorder="1" applyAlignment="1">
      <alignment horizontal="left" vertical="center"/>
    </xf>
    <xf numFmtId="0" fontId="18" fillId="0" borderId="56" xfId="0" applyFont="1" applyFill="1" applyBorder="1" applyAlignment="1">
      <alignment horizontal="left" vertical="center"/>
    </xf>
    <xf numFmtId="1" fontId="10" fillId="0" borderId="31" xfId="0" applyNumberFormat="1" applyFont="1" applyFill="1" applyBorder="1" applyAlignment="1">
      <alignment horizontal="center" vertical="center"/>
    </xf>
    <xf numFmtId="0" fontId="27" fillId="0" borderId="12" xfId="0" applyFont="1" applyFill="1" applyBorder="1" applyAlignment="1">
      <alignment horizontal="left" vertical="center"/>
    </xf>
    <xf numFmtId="0" fontId="0" fillId="0" borderId="20" xfId="0" applyFill="1" applyBorder="1" applyAlignment="1">
      <alignment horizontal="center" vertical="center"/>
    </xf>
    <xf numFmtId="0" fontId="34" fillId="0" borderId="0" xfId="0" applyFont="1" applyFill="1" applyAlignment="1">
      <alignment horizontal="left" vertical="center"/>
    </xf>
    <xf numFmtId="0" fontId="0" fillId="0" borderId="23" xfId="0" applyFill="1" applyBorder="1" applyAlignment="1">
      <alignment horizontal="left" vertical="center"/>
    </xf>
    <xf numFmtId="0" fontId="0" fillId="0" borderId="17" xfId="0" applyFill="1" applyBorder="1" applyAlignment="1">
      <alignment horizontal="left" vertical="center"/>
    </xf>
    <xf numFmtId="0" fontId="0" fillId="0" borderId="66" xfId="0" applyFill="1" applyBorder="1" applyAlignment="1">
      <alignment horizontal="center" vertical="center"/>
    </xf>
    <xf numFmtId="0" fontId="0" fillId="0" borderId="66" xfId="0" applyFont="1" applyFill="1" applyBorder="1" applyAlignment="1">
      <alignment horizontal="left" vertical="center"/>
    </xf>
    <xf numFmtId="0" fontId="0" fillId="0" borderId="65" xfId="0" applyFill="1" applyBorder="1" applyAlignment="1">
      <alignment horizontal="left" vertical="center"/>
    </xf>
    <xf numFmtId="0" fontId="31" fillId="0" borderId="11" xfId="0" applyFont="1" applyFill="1" applyBorder="1" applyAlignment="1" applyProtection="1">
      <alignment horizontal="right" vertical="center"/>
      <protection locked="0"/>
    </xf>
    <xf numFmtId="0" fontId="28" fillId="0" borderId="12" xfId="0" applyFont="1" applyFill="1" applyBorder="1" applyAlignment="1" applyProtection="1">
      <alignment horizontal="center" vertical="center"/>
      <protection locked="0"/>
    </xf>
    <xf numFmtId="0" fontId="0" fillId="0" borderId="11"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0" fillId="0" borderId="12" xfId="0" applyFont="1" applyFill="1" applyBorder="1" applyAlignment="1" applyProtection="1">
      <alignment horizontal="center" vertical="center"/>
    </xf>
    <xf numFmtId="0" fontId="10" fillId="0" borderId="11" xfId="0" applyFont="1" applyFill="1" applyBorder="1" applyAlignment="1">
      <alignment horizontal="center" vertical="center"/>
    </xf>
    <xf numFmtId="0" fontId="31" fillId="0" borderId="12" xfId="0" applyFont="1" applyFill="1" applyBorder="1" applyAlignment="1" applyProtection="1">
      <alignment horizontal="right" vertical="center"/>
      <protection locked="0"/>
    </xf>
    <xf numFmtId="1" fontId="0" fillId="0" borderId="12" xfId="0" applyNumberFormat="1" applyFont="1" applyFill="1" applyBorder="1" applyAlignment="1" applyProtection="1">
      <alignment horizontal="center" vertical="center"/>
      <protection hidden="1"/>
    </xf>
    <xf numFmtId="167" fontId="0" fillId="0" borderId="11" xfId="0" applyNumberFormat="1" applyFont="1" applyFill="1" applyBorder="1" applyAlignment="1" applyProtection="1">
      <alignment horizontal="center" vertical="center"/>
      <protection hidden="1"/>
    </xf>
    <xf numFmtId="167" fontId="0" fillId="0" borderId="12" xfId="0" applyNumberFormat="1" applyFont="1" applyFill="1" applyBorder="1" applyAlignment="1" applyProtection="1">
      <alignment horizontal="center" vertical="center"/>
      <protection hidden="1"/>
    </xf>
    <xf numFmtId="167" fontId="0" fillId="0" borderId="11" xfId="0" applyNumberFormat="1" applyFill="1" applyBorder="1" applyAlignment="1">
      <alignment horizontal="center" vertical="center"/>
    </xf>
    <xf numFmtId="0" fontId="10" fillId="0" borderId="0" xfId="0" applyFont="1" applyFill="1" applyAlignment="1">
      <alignment horizontal="left" vertical="center"/>
    </xf>
    <xf numFmtId="0" fontId="0" fillId="0" borderId="14" xfId="0" applyFill="1" applyBorder="1" applyAlignment="1">
      <alignment horizontal="right" vertical="center"/>
    </xf>
    <xf numFmtId="0" fontId="0" fillId="0" borderId="72" xfId="0" applyFill="1" applyBorder="1" applyAlignment="1">
      <alignment horizontal="center" vertical="center"/>
    </xf>
    <xf numFmtId="167" fontId="10" fillId="0" borderId="11" xfId="0" applyNumberFormat="1" applyFont="1" applyFill="1" applyBorder="1" applyAlignment="1">
      <alignment horizontal="center" vertical="center"/>
    </xf>
    <xf numFmtId="167" fontId="10" fillId="0" borderId="11" xfId="0" applyNumberFormat="1" applyFont="1" applyFill="1" applyBorder="1" applyAlignment="1">
      <alignment horizontal="center" vertical="center" shrinkToFit="1"/>
    </xf>
    <xf numFmtId="166" fontId="40" fillId="0" borderId="11" xfId="0" applyNumberFormat="1" applyFont="1" applyFill="1" applyBorder="1" applyAlignment="1">
      <alignment horizontal="center" vertical="center" shrinkToFit="1"/>
    </xf>
    <xf numFmtId="167" fontId="0" fillId="0" borderId="33" xfId="0" applyNumberFormat="1" applyFill="1" applyBorder="1" applyAlignment="1">
      <alignment horizontal="center" vertical="center"/>
    </xf>
    <xf numFmtId="0" fontId="16" fillId="0" borderId="0" xfId="0" applyFont="1" applyFill="1" applyAlignment="1">
      <alignment horizontal="left" vertical="center"/>
    </xf>
    <xf numFmtId="166" fontId="16" fillId="0" borderId="11" xfId="0" applyNumberFormat="1" applyFont="1" applyFill="1" applyBorder="1" applyAlignment="1">
      <alignment horizontal="center" vertical="center"/>
    </xf>
    <xf numFmtId="4" fontId="16" fillId="0" borderId="64" xfId="0" applyNumberFormat="1" applyFont="1" applyFill="1" applyBorder="1" applyAlignment="1">
      <alignment horizontal="center" vertical="center"/>
    </xf>
    <xf numFmtId="0" fontId="0" fillId="0" borderId="33" xfId="0" applyFill="1" applyBorder="1" applyAlignment="1">
      <alignment horizontal="center" vertical="center"/>
    </xf>
    <xf numFmtId="167" fontId="10" fillId="0" borderId="37" xfId="0" applyNumberFormat="1" applyFont="1" applyFill="1" applyBorder="1" applyAlignment="1">
      <alignment horizontal="center" vertical="center"/>
    </xf>
    <xf numFmtId="0" fontId="0" fillId="0" borderId="23" xfId="0" applyFill="1" applyBorder="1"/>
    <xf numFmtId="166" fontId="68" fillId="0" borderId="61" xfId="0" applyNumberFormat="1" applyFont="1" applyFill="1" applyBorder="1" applyAlignment="1">
      <alignment horizontal="center" vertical="center" shrinkToFit="1"/>
    </xf>
    <xf numFmtId="0" fontId="68" fillId="0" borderId="36" xfId="0" applyFont="1" applyFill="1" applyBorder="1" applyAlignment="1">
      <alignment horizontal="left" vertical="center"/>
    </xf>
    <xf numFmtId="166" fontId="0" fillId="0" borderId="11" xfId="0" applyNumberFormat="1" applyFont="1" applyFill="1" applyBorder="1" applyAlignment="1">
      <alignment horizontal="center" vertical="center"/>
    </xf>
    <xf numFmtId="0" fontId="50" fillId="0" borderId="0" xfId="0" applyFont="1" applyFill="1" applyAlignment="1">
      <alignment horizontal="left" vertical="center"/>
    </xf>
    <xf numFmtId="0" fontId="25" fillId="0" borderId="0" xfId="0" applyFont="1" applyFill="1" applyAlignment="1">
      <alignment horizontal="left" vertical="center"/>
    </xf>
    <xf numFmtId="3" fontId="0" fillId="0" borderId="12" xfId="0" applyNumberFormat="1" applyFill="1" applyBorder="1" applyAlignment="1">
      <alignment horizontal="center" vertical="center"/>
    </xf>
    <xf numFmtId="166" fontId="16" fillId="0" borderId="12" xfId="0" applyNumberFormat="1" applyFont="1" applyFill="1" applyBorder="1" applyAlignment="1">
      <alignment horizontal="center" vertical="center"/>
    </xf>
    <xf numFmtId="166" fontId="16" fillId="0" borderId="61" xfId="0" applyNumberFormat="1" applyFont="1" applyFill="1" applyBorder="1" applyAlignment="1">
      <alignment horizontal="center" vertical="center"/>
    </xf>
    <xf numFmtId="3" fontId="0" fillId="0" borderId="16" xfId="0" applyNumberFormat="1" applyFill="1" applyBorder="1" applyAlignment="1">
      <alignment horizontal="center" vertical="center"/>
    </xf>
    <xf numFmtId="166" fontId="68" fillId="0" borderId="52" xfId="0" applyNumberFormat="1" applyFont="1" applyFill="1" applyBorder="1" applyAlignment="1">
      <alignment horizontal="center" vertical="center" shrinkToFit="1"/>
    </xf>
    <xf numFmtId="0" fontId="0" fillId="0" borderId="0" xfId="0" applyFont="1" applyFill="1" applyAlignment="1">
      <alignment horizontal="right" vertical="center"/>
    </xf>
    <xf numFmtId="0" fontId="16" fillId="0" borderId="11" xfId="0" applyFont="1" applyFill="1" applyBorder="1" applyAlignment="1">
      <alignment horizontal="center" vertical="center"/>
    </xf>
    <xf numFmtId="2" fontId="16" fillId="0" borderId="11" xfId="0" applyNumberFormat="1" applyFont="1" applyFill="1" applyBorder="1" applyAlignment="1">
      <alignment horizontal="center" vertical="center"/>
    </xf>
    <xf numFmtId="167" fontId="0" fillId="0" borderId="20" xfId="0" applyNumberFormat="1" applyFill="1" applyBorder="1" applyAlignment="1">
      <alignment horizontal="center" vertical="center"/>
    </xf>
    <xf numFmtId="167" fontId="0" fillId="0" borderId="11" xfId="0" applyNumberFormat="1" applyFill="1" applyBorder="1" applyAlignment="1">
      <alignment horizontal="center"/>
    </xf>
    <xf numFmtId="166" fontId="0" fillId="0" borderId="24" xfId="0" applyNumberFormat="1" applyFill="1" applyBorder="1" applyAlignment="1">
      <alignment horizontal="center" vertical="center"/>
    </xf>
    <xf numFmtId="166" fontId="0" fillId="0" borderId="25" xfId="0" applyNumberFormat="1" applyFill="1" applyBorder="1" applyAlignment="1">
      <alignment horizontal="center" vertical="center"/>
    </xf>
    <xf numFmtId="166" fontId="0" fillId="0" borderId="26" xfId="0" applyNumberFormat="1" applyFill="1" applyBorder="1" applyAlignment="1">
      <alignment horizontal="center" vertical="center"/>
    </xf>
    <xf numFmtId="166" fontId="0" fillId="0" borderId="27" xfId="0" applyNumberFormat="1" applyFill="1" applyBorder="1" applyAlignment="1">
      <alignment horizontal="center" vertical="center"/>
    </xf>
    <xf numFmtId="166" fontId="0" fillId="0" borderId="28" xfId="0" applyNumberFormat="1" applyFill="1" applyBorder="1" applyAlignment="1">
      <alignment horizontal="center" vertical="center"/>
    </xf>
    <xf numFmtId="0" fontId="0" fillId="0" borderId="28" xfId="0" applyFill="1" applyBorder="1" applyAlignment="1">
      <alignment horizontal="center" vertical="center"/>
    </xf>
    <xf numFmtId="0" fontId="0" fillId="0" borderId="26" xfId="0" applyFill="1" applyBorder="1" applyAlignment="1">
      <alignment horizontal="center" vertical="center"/>
    </xf>
    <xf numFmtId="0" fontId="0" fillId="0" borderId="29" xfId="0" applyFill="1" applyBorder="1" applyAlignment="1">
      <alignment horizontal="center" vertical="center"/>
    </xf>
    <xf numFmtId="0" fontId="0" fillId="0" borderId="59" xfId="0" applyFill="1" applyBorder="1" applyAlignment="1">
      <alignment horizontal="center" vertical="center"/>
    </xf>
    <xf numFmtId="0" fontId="0" fillId="0" borderId="60" xfId="0" applyFill="1" applyBorder="1" applyAlignment="1">
      <alignment horizontal="center" vertical="center"/>
    </xf>
    <xf numFmtId="0" fontId="0" fillId="0" borderId="44" xfId="0" applyFill="1" applyBorder="1" applyAlignment="1">
      <alignment horizontal="center" vertical="center"/>
    </xf>
    <xf numFmtId="0" fontId="0" fillId="0" borderId="27" xfId="0" applyFont="1" applyFill="1" applyBorder="1" applyAlignment="1">
      <alignment horizontal="right" vertical="center"/>
    </xf>
    <xf numFmtId="167" fontId="0" fillId="0" borderId="24" xfId="0" applyNumberFormat="1" applyFill="1" applyBorder="1" applyAlignment="1">
      <alignment horizontal="center" vertical="center"/>
    </xf>
    <xf numFmtId="167" fontId="0" fillId="0" borderId="25" xfId="0" applyNumberFormat="1" applyFill="1" applyBorder="1" applyAlignment="1">
      <alignment horizontal="center" vertical="center"/>
    </xf>
    <xf numFmtId="167" fontId="0" fillId="0" borderId="34" xfId="0" applyNumberFormat="1" applyFill="1" applyBorder="1" applyAlignment="1">
      <alignment horizontal="center" vertical="center"/>
    </xf>
    <xf numFmtId="167" fontId="0" fillId="0" borderId="27" xfId="0" applyNumberFormat="1" applyFill="1" applyBorder="1" applyAlignment="1">
      <alignment horizontal="center" vertical="center"/>
    </xf>
    <xf numFmtId="1" fontId="0" fillId="0" borderId="24" xfId="0" applyNumberFormat="1" applyFill="1" applyBorder="1" applyAlignment="1">
      <alignment horizontal="center" vertical="center"/>
    </xf>
    <xf numFmtId="1" fontId="0" fillId="0" borderId="25" xfId="0" applyNumberFormat="1" applyFill="1" applyBorder="1" applyAlignment="1">
      <alignment horizontal="center" vertical="center"/>
    </xf>
    <xf numFmtId="1" fontId="0" fillId="0" borderId="34" xfId="0" applyNumberFormat="1" applyFill="1" applyBorder="1" applyAlignment="1">
      <alignment horizontal="center" vertical="center"/>
    </xf>
    <xf numFmtId="1" fontId="27" fillId="0" borderId="31" xfId="0" applyNumberFormat="1" applyFont="1" applyFill="1" applyBorder="1" applyAlignment="1">
      <alignment horizontal="center" vertical="center"/>
    </xf>
    <xf numFmtId="1" fontId="27" fillId="0" borderId="61" xfId="0" applyNumberFormat="1" applyFont="1" applyFill="1" applyBorder="1" applyAlignment="1">
      <alignment horizontal="center" vertical="center"/>
    </xf>
    <xf numFmtId="167" fontId="27" fillId="0" borderId="37" xfId="0" applyNumberFormat="1" applyFont="1" applyFill="1" applyBorder="1" applyAlignment="1">
      <alignment horizontal="center" vertical="center"/>
    </xf>
    <xf numFmtId="166" fontId="0" fillId="0" borderId="0" xfId="0" applyNumberFormat="1" applyFill="1" applyAlignment="1">
      <alignment horizontal="center" vertical="center"/>
    </xf>
    <xf numFmtId="0" fontId="0" fillId="0" borderId="61" xfId="0" applyFont="1" applyFill="1" applyBorder="1" applyAlignment="1">
      <alignment horizontal="right" vertical="center"/>
    </xf>
    <xf numFmtId="167" fontId="0" fillId="0" borderId="28" xfId="0" applyNumberFormat="1" applyFill="1" applyBorder="1" applyAlignment="1">
      <alignment horizontal="center" vertical="center"/>
    </xf>
    <xf numFmtId="167" fontId="0" fillId="0" borderId="61" xfId="0" applyNumberFormat="1" applyFill="1" applyBorder="1" applyAlignment="1">
      <alignment horizontal="center" vertical="center"/>
    </xf>
    <xf numFmtId="167" fontId="0" fillId="0" borderId="28" xfId="0" applyNumberFormat="1" applyFont="1" applyFill="1" applyBorder="1" applyAlignment="1">
      <alignment horizontal="left" vertical="center"/>
    </xf>
    <xf numFmtId="0" fontId="0" fillId="0" borderId="0" xfId="0" applyFont="1" applyFill="1" applyAlignment="1">
      <alignment horizontal="right"/>
    </xf>
    <xf numFmtId="4" fontId="0" fillId="0" borderId="20" xfId="0" applyNumberFormat="1" applyFill="1" applyBorder="1"/>
    <xf numFmtId="0" fontId="34" fillId="0" borderId="12" xfId="0" applyFont="1" applyFill="1" applyBorder="1" applyAlignment="1" applyProtection="1">
      <alignment horizontal="left"/>
    </xf>
    <xf numFmtId="0" fontId="67" fillId="0" borderId="23" xfId="0" applyFont="1" applyFill="1" applyBorder="1" applyAlignment="1" applyProtection="1">
      <alignment horizontal="left"/>
    </xf>
    <xf numFmtId="0" fontId="28" fillId="0" borderId="23" xfId="0" applyFont="1" applyFill="1" applyBorder="1" applyAlignment="1" applyProtection="1">
      <alignment horizontal="left"/>
      <protection locked="0"/>
    </xf>
    <xf numFmtId="0" fontId="33" fillId="0" borderId="20" xfId="0" applyFont="1" applyFill="1" applyBorder="1" applyAlignment="1">
      <alignment horizontal="right" vertical="center"/>
    </xf>
    <xf numFmtId="166" fontId="40" fillId="0" borderId="62" xfId="0" applyNumberFormat="1" applyFont="1" applyFill="1" applyBorder="1" applyAlignment="1">
      <alignment horizontal="center" vertical="center"/>
    </xf>
    <xf numFmtId="166" fontId="33" fillId="0" borderId="62" xfId="0" applyNumberFormat="1" applyFont="1" applyFill="1" applyBorder="1" applyAlignment="1">
      <alignment horizontal="center" vertical="center"/>
    </xf>
    <xf numFmtId="166" fontId="40" fillId="0" borderId="22" xfId="0" applyNumberFormat="1" applyFont="1" applyFill="1" applyBorder="1" applyAlignment="1">
      <alignment horizontal="center" vertical="center"/>
    </xf>
    <xf numFmtId="167" fontId="0" fillId="0" borderId="63" xfId="0" applyNumberFormat="1" applyFill="1" applyBorder="1" applyAlignment="1">
      <alignment horizontal="center" vertical="center"/>
    </xf>
    <xf numFmtId="0" fontId="10" fillId="0" borderId="31" xfId="0" applyFont="1" applyFill="1" applyBorder="1" applyAlignment="1">
      <alignment horizontal="center" vertical="center"/>
    </xf>
    <xf numFmtId="1" fontId="10" fillId="0" borderId="32" xfId="0" applyNumberFormat="1" applyFont="1" applyFill="1" applyBorder="1" applyAlignment="1">
      <alignment horizontal="center"/>
    </xf>
    <xf numFmtId="0" fontId="10" fillId="0" borderId="32" xfId="0" applyFont="1" applyFill="1" applyBorder="1" applyAlignment="1">
      <alignment horizontal="center"/>
    </xf>
    <xf numFmtId="0" fontId="10" fillId="0" borderId="41" xfId="0" applyFont="1" applyFill="1" applyBorder="1" applyAlignment="1">
      <alignment horizontal="center"/>
    </xf>
    <xf numFmtId="0" fontId="10" fillId="0" borderId="57" xfId="0" applyFont="1" applyFill="1" applyBorder="1" applyAlignment="1">
      <alignment horizontal="center" vertical="center"/>
    </xf>
    <xf numFmtId="1" fontId="10" fillId="0" borderId="41" xfId="0" applyNumberFormat="1" applyFont="1" applyFill="1" applyBorder="1" applyAlignment="1">
      <alignment horizontal="center"/>
    </xf>
    <xf numFmtId="0" fontId="0" fillId="0" borderId="16" xfId="0" applyFont="1" applyFill="1" applyBorder="1" applyAlignment="1">
      <alignment horizontal="left" vertical="center"/>
    </xf>
    <xf numFmtId="0" fontId="0" fillId="0" borderId="19" xfId="0" applyFill="1" applyBorder="1" applyAlignment="1">
      <alignment horizontal="center" vertical="center"/>
    </xf>
    <xf numFmtId="0" fontId="0" fillId="0" borderId="17" xfId="0" applyFill="1" applyBorder="1" applyAlignment="1">
      <alignment horizontal="right"/>
    </xf>
    <xf numFmtId="0" fontId="0" fillId="0" borderId="23" xfId="2821" applyFont="1" applyFill="1" applyBorder="1" applyAlignment="1">
      <alignment vertical="center"/>
    </xf>
    <xf numFmtId="0" fontId="0" fillId="0" borderId="11" xfId="2821" applyFont="1" applyFill="1" applyBorder="1" applyAlignment="1">
      <alignment horizontal="right" vertical="center"/>
    </xf>
    <xf numFmtId="167" fontId="0" fillId="0" borderId="11" xfId="2821" applyNumberFormat="1" applyFont="1" applyFill="1" applyBorder="1" applyAlignment="1">
      <alignment horizontal="center" vertical="center" wrapText="1"/>
    </xf>
    <xf numFmtId="0" fontId="0" fillId="0" borderId="11" xfId="2821" applyFont="1" applyFill="1" applyBorder="1" applyAlignment="1">
      <alignment horizontal="center" vertical="center" wrapText="1"/>
    </xf>
    <xf numFmtId="0" fontId="0" fillId="0" borderId="65" xfId="0" applyFill="1" applyBorder="1" applyAlignment="1">
      <alignment horizontal="center" vertical="center"/>
    </xf>
    <xf numFmtId="1" fontId="0" fillId="0" borderId="23" xfId="0" applyNumberFormat="1" applyFill="1" applyBorder="1" applyAlignment="1">
      <alignment horizontal="center" vertical="center"/>
    </xf>
    <xf numFmtId="166" fontId="27" fillId="0" borderId="11" xfId="0" applyNumberFormat="1" applyFont="1" applyFill="1" applyBorder="1" applyAlignment="1">
      <alignment horizontal="center" vertical="center"/>
    </xf>
    <xf numFmtId="0" fontId="27" fillId="0" borderId="0" xfId="0" applyFont="1" applyFill="1" applyBorder="1" applyAlignment="1">
      <alignment horizontal="center"/>
    </xf>
    <xf numFmtId="0" fontId="0" fillId="0" borderId="65" xfId="0" applyFont="1" applyFill="1" applyBorder="1" applyAlignment="1">
      <alignment horizontal="center" vertical="center"/>
    </xf>
    <xf numFmtId="0" fontId="16" fillId="0" borderId="0" xfId="0" applyFont="1" applyFill="1" applyBorder="1" applyAlignment="1">
      <alignment horizontal="center" vertical="center" wrapText="1"/>
    </xf>
    <xf numFmtId="0" fontId="0" fillId="0" borderId="15" xfId="0" applyFont="1" applyFill="1" applyBorder="1" applyAlignment="1">
      <alignment horizontal="center" vertical="center"/>
    </xf>
    <xf numFmtId="0" fontId="27" fillId="0" borderId="20" xfId="0" applyFont="1" applyFill="1" applyBorder="1" applyAlignment="1">
      <alignment horizontal="left" vertical="center" indent="3"/>
    </xf>
    <xf numFmtId="0" fontId="27" fillId="0" borderId="66" xfId="0" applyFont="1" applyFill="1" applyBorder="1" applyAlignment="1">
      <alignment vertical="center"/>
    </xf>
    <xf numFmtId="0" fontId="27" fillId="0" borderId="65" xfId="0" applyFont="1" applyFill="1" applyBorder="1" applyAlignment="1">
      <alignment vertical="center"/>
    </xf>
    <xf numFmtId="166" fontId="27" fillId="0" borderId="58" xfId="0" applyNumberFormat="1" applyFont="1" applyFill="1" applyBorder="1" applyAlignment="1">
      <alignment horizontal="center" vertical="center"/>
    </xf>
    <xf numFmtId="0" fontId="27" fillId="0" borderId="31" xfId="0" applyFont="1" applyFill="1" applyBorder="1" applyAlignment="1">
      <alignment horizontal="left" vertical="center" indent="3"/>
    </xf>
    <xf numFmtId="0" fontId="27" fillId="0" borderId="32" xfId="0" applyFont="1" applyFill="1" applyBorder="1" applyAlignment="1">
      <alignment vertical="center"/>
    </xf>
    <xf numFmtId="0" fontId="0" fillId="0" borderId="13" xfId="0" applyFont="1" applyFill="1" applyBorder="1" applyAlignment="1">
      <alignment horizontal="center" vertical="center"/>
    </xf>
    <xf numFmtId="1" fontId="0" fillId="0" borderId="67" xfId="0" applyNumberFormat="1" applyFill="1" applyBorder="1" applyAlignment="1">
      <alignment horizontal="center" vertical="center"/>
    </xf>
    <xf numFmtId="3" fontId="0" fillId="0" borderId="49" xfId="0" applyNumberFormat="1" applyFill="1" applyBorder="1" applyAlignment="1">
      <alignment horizontal="center" vertical="center"/>
    </xf>
    <xf numFmtId="166" fontId="16" fillId="0" borderId="31" xfId="0" applyNumberFormat="1" applyFont="1" applyFill="1" applyBorder="1" applyAlignment="1">
      <alignment horizontal="center" vertical="center"/>
    </xf>
    <xf numFmtId="0" fontId="10" fillId="0" borderId="43" xfId="0" applyFont="1" applyFill="1" applyBorder="1" applyAlignment="1">
      <alignment horizontal="left" vertical="center"/>
    </xf>
    <xf numFmtId="0" fontId="0" fillId="0" borderId="32" xfId="0" applyFill="1" applyBorder="1"/>
    <xf numFmtId="3" fontId="16" fillId="0" borderId="31" xfId="0" applyNumberFormat="1" applyFont="1" applyFill="1" applyBorder="1" applyAlignment="1">
      <alignment horizontal="center" vertical="center"/>
    </xf>
    <xf numFmtId="0" fontId="0" fillId="38" borderId="11" xfId="0" applyFill="1" applyBorder="1" applyAlignment="1">
      <alignment horizontal="center" vertical="center"/>
    </xf>
    <xf numFmtId="0" fontId="0" fillId="38" borderId="23" xfId="0" applyFill="1" applyBorder="1" applyAlignment="1">
      <alignment horizontal="center" vertical="center"/>
    </xf>
    <xf numFmtId="0" fontId="0" fillId="38" borderId="24" xfId="0" applyFill="1" applyBorder="1" applyAlignment="1">
      <alignment horizontal="center" vertical="center"/>
    </xf>
    <xf numFmtId="0" fontId="0" fillId="38" borderId="25" xfId="0" applyFill="1" applyBorder="1" applyAlignment="1">
      <alignment horizontal="center" vertical="center"/>
    </xf>
    <xf numFmtId="0" fontId="0" fillId="38" borderId="26" xfId="0" applyFill="1" applyBorder="1" applyAlignment="1">
      <alignment horizontal="center" vertical="center"/>
    </xf>
    <xf numFmtId="0" fontId="0" fillId="38" borderId="27" xfId="0" applyFill="1" applyBorder="1" applyAlignment="1">
      <alignment horizontal="center" vertical="center"/>
    </xf>
    <xf numFmtId="0" fontId="0" fillId="38" borderId="28" xfId="0" applyFill="1" applyBorder="1" applyAlignment="1">
      <alignment horizontal="center" vertical="center"/>
    </xf>
    <xf numFmtId="0" fontId="0" fillId="38" borderId="29" xfId="0" applyFill="1" applyBorder="1" applyAlignment="1">
      <alignment horizontal="center" vertical="center"/>
    </xf>
    <xf numFmtId="14" fontId="31" fillId="38" borderId="0" xfId="0" applyNumberFormat="1" applyFont="1" applyFill="1" applyBorder="1" applyAlignment="1" applyProtection="1">
      <alignment horizontal="left" vertical="center"/>
      <protection locked="0"/>
    </xf>
    <xf numFmtId="14" fontId="0" fillId="38" borderId="0" xfId="0" applyNumberFormat="1" applyFont="1" applyFill="1" applyBorder="1" applyAlignment="1" applyProtection="1">
      <alignment horizontal="left" vertical="center"/>
      <protection locked="0"/>
    </xf>
    <xf numFmtId="0" fontId="27" fillId="29" borderId="30" xfId="0" applyFont="1" applyFill="1" applyBorder="1" applyAlignment="1"/>
    <xf numFmtId="0" fontId="10" fillId="29" borderId="31" xfId="0" applyFont="1" applyFill="1" applyBorder="1"/>
    <xf numFmtId="0" fontId="10" fillId="29" borderId="32" xfId="0" applyFont="1" applyFill="1" applyBorder="1"/>
    <xf numFmtId="0" fontId="10" fillId="29" borderId="33" xfId="0" applyFont="1" applyFill="1" applyBorder="1"/>
    <xf numFmtId="0" fontId="0" fillId="29" borderId="32" xfId="0" applyFill="1" applyBorder="1"/>
    <xf numFmtId="0" fontId="0" fillId="29" borderId="33" xfId="0" applyFill="1" applyBorder="1"/>
    <xf numFmtId="0" fontId="0" fillId="38" borderId="37" xfId="0" applyFont="1" applyFill="1" applyBorder="1" applyAlignment="1">
      <alignment horizontal="center" vertical="center"/>
    </xf>
    <xf numFmtId="0" fontId="0" fillId="38" borderId="38" xfId="0" applyFont="1" applyFill="1" applyBorder="1" applyAlignment="1">
      <alignment horizontal="center" vertical="center"/>
    </xf>
    <xf numFmtId="0" fontId="0" fillId="38" borderId="39" xfId="0" applyFont="1" applyFill="1" applyBorder="1" applyAlignment="1">
      <alignment horizontal="center" vertical="center"/>
    </xf>
    <xf numFmtId="0" fontId="27" fillId="38" borderId="39" xfId="0" applyFont="1" applyFill="1" applyBorder="1" applyAlignment="1" applyProtection="1">
      <alignment horizontal="center" vertical="center"/>
      <protection hidden="1"/>
    </xf>
    <xf numFmtId="0" fontId="32" fillId="38" borderId="39" xfId="0" applyFont="1" applyFill="1" applyBorder="1" applyAlignment="1">
      <alignment horizontal="left" vertical="center"/>
    </xf>
    <xf numFmtId="0" fontId="0" fillId="38" borderId="40" xfId="0" applyFill="1" applyBorder="1" applyAlignment="1">
      <alignment horizontal="center" vertical="center"/>
    </xf>
    <xf numFmtId="0" fontId="0" fillId="29" borderId="41" xfId="0" applyFont="1" applyFill="1" applyBorder="1"/>
    <xf numFmtId="0" fontId="0" fillId="29" borderId="42" xfId="0" applyFill="1" applyBorder="1"/>
    <xf numFmtId="0" fontId="0" fillId="38" borderId="35" xfId="0" applyFont="1" applyFill="1" applyBorder="1" applyAlignment="1">
      <alignment horizontal="center" vertical="center"/>
    </xf>
    <xf numFmtId="0" fontId="0" fillId="38" borderId="12" xfId="0" applyFont="1" applyFill="1" applyBorder="1" applyAlignment="1">
      <alignment horizontal="center" vertical="center"/>
    </xf>
    <xf numFmtId="0" fontId="0" fillId="38" borderId="47" xfId="0" applyFont="1" applyFill="1" applyBorder="1" applyAlignment="1">
      <alignment horizontal="center" vertical="center"/>
    </xf>
    <xf numFmtId="0" fontId="0" fillId="38" borderId="17" xfId="0" applyFont="1" applyFill="1" applyBorder="1" applyAlignment="1">
      <alignment horizontal="center" vertical="center"/>
    </xf>
    <xf numFmtId="0" fontId="10" fillId="38" borderId="48" xfId="0" applyFont="1" applyFill="1" applyBorder="1" applyAlignment="1">
      <alignment horizontal="center" vertical="center"/>
    </xf>
    <xf numFmtId="0" fontId="16" fillId="42" borderId="50" xfId="0" applyFont="1" applyFill="1" applyBorder="1" applyAlignment="1">
      <alignment horizontal="center" vertical="center" wrapText="1"/>
    </xf>
    <xf numFmtId="0" fontId="16" fillId="42" borderId="51" xfId="0" applyFont="1" applyFill="1" applyBorder="1" applyAlignment="1">
      <alignment horizontal="center" vertical="center" wrapText="1"/>
    </xf>
    <xf numFmtId="0" fontId="0" fillId="38" borderId="36" xfId="0" applyFont="1" applyFill="1" applyBorder="1" applyAlignment="1">
      <alignment horizontal="center" vertical="center"/>
    </xf>
    <xf numFmtId="0" fontId="0" fillId="38" borderId="35" xfId="0" applyFont="1" applyFill="1" applyBorder="1" applyAlignment="1">
      <alignment horizontal="center" vertical="center" wrapText="1"/>
    </xf>
    <xf numFmtId="0" fontId="0" fillId="38" borderId="11" xfId="0" applyFont="1" applyFill="1" applyBorder="1" applyAlignment="1">
      <alignment horizontal="center" vertical="center" wrapText="1"/>
    </xf>
    <xf numFmtId="0" fontId="0" fillId="38" borderId="36" xfId="0" applyFont="1" applyFill="1" applyBorder="1" applyAlignment="1">
      <alignment horizontal="center" vertical="center" wrapText="1"/>
    </xf>
    <xf numFmtId="0" fontId="27" fillId="38" borderId="52" xfId="0" applyFont="1" applyFill="1" applyBorder="1" applyAlignment="1" applyProtection="1">
      <alignment horizontal="center" vertical="center" wrapText="1"/>
      <protection hidden="1"/>
    </xf>
    <xf numFmtId="0" fontId="35" fillId="38" borderId="53" xfId="0" applyFont="1" applyFill="1" applyBorder="1" applyAlignment="1">
      <alignment horizontal="center" vertical="center" wrapText="1"/>
    </xf>
    <xf numFmtId="0" fontId="0" fillId="38" borderId="16" xfId="0" applyFont="1" applyFill="1" applyBorder="1" applyAlignment="1">
      <alignment horizontal="center" vertical="center" wrapText="1"/>
    </xf>
    <xf numFmtId="0" fontId="35" fillId="38" borderId="16" xfId="0" applyFont="1" applyFill="1" applyBorder="1" applyAlignment="1">
      <alignment horizontal="center" vertical="center" wrapText="1"/>
    </xf>
    <xf numFmtId="0" fontId="0" fillId="38" borderId="54" xfId="0" applyFont="1" applyFill="1" applyBorder="1" applyAlignment="1">
      <alignment horizontal="center" vertical="center" wrapText="1"/>
    </xf>
    <xf numFmtId="0" fontId="103" fillId="43" borderId="0" xfId="0" applyFont="1" applyFill="1" applyBorder="1" applyAlignment="1" applyProtection="1">
      <alignment horizontal="left" vertical="center"/>
    </xf>
    <xf numFmtId="0" fontId="31" fillId="46" borderId="94" xfId="0" applyFont="1" applyFill="1" applyBorder="1" applyAlignment="1">
      <alignment horizontal="right" vertical="center" indent="1"/>
    </xf>
    <xf numFmtId="166" fontId="31" fillId="0" borderId="94" xfId="0" applyNumberFormat="1" applyFont="1" applyFill="1" applyBorder="1" applyAlignment="1">
      <alignment horizontal="right" vertical="center" indent="1"/>
    </xf>
    <xf numFmtId="14" fontId="40" fillId="0" borderId="19" xfId="0" applyNumberFormat="1" applyFont="1" applyBorder="1" applyAlignment="1" applyProtection="1">
      <alignment horizontal="center" vertical="center" shrinkToFit="1"/>
      <protection locked="0"/>
    </xf>
    <xf numFmtId="0" fontId="0" fillId="0" borderId="0" xfId="0"/>
    <xf numFmtId="166" fontId="31" fillId="0" borderId="94" xfId="0" applyNumberFormat="1" applyFont="1" applyFill="1" applyBorder="1" applyAlignment="1">
      <alignment horizontal="right" vertical="center" indent="1" shrinkToFit="1"/>
    </xf>
    <xf numFmtId="0" fontId="32" fillId="47" borderId="0" xfId="0" applyFont="1" applyFill="1" applyBorder="1" applyProtection="1"/>
    <xf numFmtId="0" fontId="40" fillId="47" borderId="0" xfId="0" applyFont="1" applyFill="1" applyBorder="1" applyProtection="1"/>
    <xf numFmtId="0" fontId="0" fillId="0" borderId="105" xfId="0" applyBorder="1" applyAlignment="1">
      <alignment horizontal="center" vertical="center"/>
    </xf>
    <xf numFmtId="0" fontId="0" fillId="0" borderId="95" xfId="0" applyBorder="1" applyAlignment="1">
      <alignment horizontal="center" vertical="center"/>
    </xf>
    <xf numFmtId="0" fontId="29" fillId="16" borderId="94" xfId="2821" applyFont="1" applyFill="1" applyBorder="1" applyAlignment="1"/>
    <xf numFmtId="0" fontId="87" fillId="16" borderId="94" xfId="2821" applyFill="1" applyBorder="1"/>
    <xf numFmtId="1" fontId="27" fillId="15" borderId="94" xfId="2821" applyNumberFormat="1" applyFont="1" applyFill="1" applyBorder="1" applyAlignment="1">
      <alignment horizontal="center" vertical="center"/>
    </xf>
    <xf numFmtId="2" fontId="45" fillId="15" borderId="94" xfId="2821" applyNumberFormat="1" applyFont="1" applyFill="1" applyBorder="1" applyAlignment="1">
      <alignment horizontal="center" vertical="center"/>
    </xf>
    <xf numFmtId="0" fontId="10" fillId="30" borderId="94" xfId="2821" applyFont="1" applyFill="1" applyBorder="1" applyAlignment="1" applyProtection="1">
      <alignment horizontal="center" vertical="center"/>
      <protection hidden="1"/>
    </xf>
    <xf numFmtId="0" fontId="24" fillId="30" borderId="94" xfId="2821" applyFont="1" applyFill="1" applyBorder="1" applyAlignment="1">
      <alignment vertical="center"/>
    </xf>
    <xf numFmtId="0" fontId="10" fillId="30" borderId="94" xfId="2821" applyFont="1" applyFill="1" applyBorder="1" applyAlignment="1" applyProtection="1">
      <alignment horizontal="right" vertical="center"/>
      <protection hidden="1"/>
    </xf>
    <xf numFmtId="3" fontId="133" fillId="15" borderId="94" xfId="2821" applyNumberFormat="1" applyFont="1" applyFill="1" applyBorder="1" applyAlignment="1" applyProtection="1">
      <alignment horizontal="right" vertical="center" indent="1"/>
      <protection hidden="1"/>
    </xf>
    <xf numFmtId="0" fontId="134" fillId="15" borderId="94" xfId="2821" applyFont="1" applyFill="1" applyBorder="1" applyAlignment="1">
      <alignment horizontal="left" vertical="center"/>
    </xf>
    <xf numFmtId="1" fontId="27" fillId="15" borderId="97" xfId="2821" applyNumberFormat="1" applyFont="1" applyFill="1" applyBorder="1" applyAlignment="1">
      <alignment horizontal="center" vertical="center"/>
    </xf>
    <xf numFmtId="0" fontId="32" fillId="18" borderId="94" xfId="0" applyFont="1" applyFill="1" applyBorder="1" applyAlignment="1" applyProtection="1">
      <alignment vertical="center" shrinkToFit="1"/>
      <protection locked="0"/>
    </xf>
    <xf numFmtId="0" fontId="134" fillId="15" borderId="0" xfId="2821" applyFont="1" applyFill="1" applyBorder="1" applyAlignment="1">
      <alignment horizontal="left" vertical="center"/>
    </xf>
    <xf numFmtId="0" fontId="134" fillId="15" borderId="98" xfId="2821" applyFont="1" applyFill="1" applyBorder="1" applyAlignment="1">
      <alignment horizontal="left" vertical="center"/>
    </xf>
    <xf numFmtId="0" fontId="0" fillId="0" borderId="101" xfId="0" applyBorder="1" applyAlignment="1">
      <alignment horizontal="center" vertical="center"/>
    </xf>
    <xf numFmtId="0" fontId="0" fillId="0" borderId="0" xfId="0"/>
    <xf numFmtId="0" fontId="131" fillId="25" borderId="94" xfId="2278" applyNumberFormat="1" applyFont="1" applyFill="1" applyBorder="1" applyAlignment="1" applyProtection="1">
      <alignment horizontal="center" vertical="center"/>
      <protection locked="0"/>
    </xf>
    <xf numFmtId="0" fontId="0" fillId="14" borderId="0" xfId="0" applyFill="1" applyAlignment="1" applyProtection="1">
      <alignment vertical="center"/>
    </xf>
    <xf numFmtId="0" fontId="2" fillId="0" borderId="12" xfId="0" applyFont="1" applyFill="1" applyBorder="1" applyAlignment="1" applyProtection="1">
      <alignment horizontal="left" vertical="center"/>
      <protection locked="0"/>
    </xf>
    <xf numFmtId="0" fontId="0" fillId="0" borderId="0" xfId="0"/>
    <xf numFmtId="0" fontId="106" fillId="0" borderId="0" xfId="0" applyFont="1" applyFill="1" applyBorder="1" applyAlignment="1">
      <alignment vertical="center"/>
    </xf>
    <xf numFmtId="0" fontId="107" fillId="0" borderId="0" xfId="0" applyFont="1" applyFill="1" applyBorder="1" applyAlignment="1">
      <alignment vertical="center"/>
    </xf>
    <xf numFmtId="0" fontId="0" fillId="0" borderId="0" xfId="0" applyFont="1" applyFill="1" applyBorder="1" applyProtection="1"/>
    <xf numFmtId="0" fontId="132" fillId="0" borderId="0" xfId="0" applyFont="1" applyFill="1" applyBorder="1" applyAlignment="1" applyProtection="1">
      <alignment vertical="center" shrinkToFit="1"/>
      <protection locked="0"/>
    </xf>
    <xf numFmtId="0" fontId="84" fillId="0" borderId="0" xfId="0" applyFont="1" applyFill="1" applyBorder="1" applyAlignment="1" applyProtection="1">
      <alignment vertical="center"/>
    </xf>
    <xf numFmtId="0" fontId="27"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Border="1" applyAlignment="1" applyProtection="1"/>
    <xf numFmtId="0" fontId="0" fillId="0" borderId="0" xfId="0" applyFont="1" applyFill="1" applyBorder="1" applyAlignment="1" applyProtection="1">
      <protection locked="0"/>
    </xf>
    <xf numFmtId="0" fontId="27" fillId="0" borderId="0" xfId="0" applyFont="1" applyFill="1" applyBorder="1" applyAlignment="1" applyProtection="1">
      <alignment horizontal="left" vertical="center" wrapText="1" indent="1"/>
    </xf>
    <xf numFmtId="1" fontId="2" fillId="0" borderId="0" xfId="0" applyNumberFormat="1" applyFont="1" applyFill="1" applyBorder="1" applyAlignment="1" applyProtection="1">
      <alignment horizontal="center" vertical="center"/>
      <protection locked="0"/>
    </xf>
    <xf numFmtId="0" fontId="109" fillId="0" borderId="0" xfId="0" applyFont="1" applyFill="1" applyBorder="1" applyAlignment="1">
      <alignment vertical="center"/>
    </xf>
    <xf numFmtId="0" fontId="0" fillId="0" borderId="0" xfId="0" applyFill="1" applyBorder="1" applyProtection="1"/>
    <xf numFmtId="0" fontId="2" fillId="0" borderId="0" xfId="0" applyFont="1" applyFill="1" applyBorder="1" applyProtection="1"/>
    <xf numFmtId="0" fontId="106" fillId="0" borderId="0" xfId="0" applyFont="1" applyFill="1" applyBorder="1" applyAlignment="1">
      <alignment vertical="center" shrinkToFit="1"/>
    </xf>
    <xf numFmtId="0" fontId="106" fillId="0" borderId="0" xfId="0" applyFont="1" applyFill="1" applyBorder="1" applyAlignment="1">
      <alignment horizontal="center" vertical="center"/>
    </xf>
    <xf numFmtId="0" fontId="112" fillId="0" borderId="0" xfId="0" applyFont="1" applyFill="1" applyBorder="1" applyAlignment="1">
      <alignment horizontal="center" vertical="center" shrinkToFit="1"/>
    </xf>
    <xf numFmtId="0" fontId="40" fillId="0" borderId="0" xfId="2773" applyFont="1" applyFill="1" applyBorder="1" applyAlignment="1">
      <alignment horizontal="left" vertical="center" indent="1"/>
    </xf>
    <xf numFmtId="0" fontId="40" fillId="0" borderId="0" xfId="2773" applyFont="1" applyFill="1" applyBorder="1" applyAlignment="1">
      <alignment horizontal="center" vertical="center"/>
    </xf>
    <xf numFmtId="0" fontId="28" fillId="0" borderId="0" xfId="2773" applyFont="1" applyFill="1" applyBorder="1" applyAlignment="1">
      <alignment horizontal="center" vertical="center"/>
    </xf>
    <xf numFmtId="0" fontId="28" fillId="0" borderId="0" xfId="2796" applyFont="1" applyFill="1" applyBorder="1" applyAlignment="1">
      <alignment horizontal="center" vertical="center"/>
    </xf>
    <xf numFmtId="0" fontId="40" fillId="0" borderId="0" xfId="2773" applyFont="1" applyFill="1" applyBorder="1" applyAlignment="1">
      <alignment vertical="center" wrapText="1"/>
    </xf>
    <xf numFmtId="0" fontId="40" fillId="0" borderId="0" xfId="2796" applyFont="1" applyFill="1" applyBorder="1" applyAlignment="1">
      <alignment horizontal="center" vertical="center"/>
    </xf>
    <xf numFmtId="0" fontId="24" fillId="0" borderId="94" xfId="0" applyFont="1" applyFill="1" applyBorder="1" applyAlignment="1">
      <alignment horizontal="center" vertical="center"/>
    </xf>
    <xf numFmtId="0" fontId="44" fillId="0" borderId="94" xfId="0" applyFont="1" applyFill="1" applyBorder="1" applyAlignment="1">
      <alignment horizontal="center" vertical="center" wrapText="1"/>
    </xf>
    <xf numFmtId="0" fontId="24" fillId="0" borderId="94" xfId="0" applyFont="1" applyFill="1" applyBorder="1"/>
    <xf numFmtId="0" fontId="106" fillId="0" borderId="0" xfId="0" applyFont="1" applyFill="1" applyBorder="1" applyAlignment="1">
      <alignment horizontal="left" vertical="center"/>
    </xf>
    <xf numFmtId="0" fontId="40" fillId="0" borderId="0" xfId="0" applyFont="1" applyFill="1" applyBorder="1" applyAlignment="1"/>
    <xf numFmtId="0" fontId="114" fillId="0" borderId="0" xfId="0" applyFont="1" applyFill="1" applyBorder="1" applyAlignment="1">
      <alignment vertical="center"/>
    </xf>
    <xf numFmtId="0" fontId="40" fillId="0" borderId="0" xfId="2796" applyFont="1" applyFill="1" applyBorder="1" applyAlignment="1">
      <alignment vertical="center"/>
    </xf>
    <xf numFmtId="0" fontId="27" fillId="0" borderId="0" xfId="2796" applyFont="1" applyFill="1" applyBorder="1" applyAlignment="1">
      <alignment horizontal="center" vertical="center"/>
    </xf>
    <xf numFmtId="0" fontId="87" fillId="0" borderId="100" xfId="2796" applyFont="1" applyFill="1" applyBorder="1" applyAlignment="1">
      <alignment vertical="center"/>
    </xf>
    <xf numFmtId="0" fontId="27" fillId="0" borderId="100" xfId="2796" applyFont="1" applyFill="1" applyBorder="1" applyAlignment="1">
      <alignment horizontal="center" vertical="center"/>
    </xf>
    <xf numFmtId="0" fontId="33" fillId="0" borderId="144" xfId="2796" applyFont="1" applyFill="1" applyBorder="1"/>
    <xf numFmtId="0" fontId="31" fillId="0" borderId="97" xfId="0" applyFont="1" applyFill="1" applyBorder="1" applyAlignment="1">
      <alignment horizontal="center" vertical="center"/>
    </xf>
    <xf numFmtId="0" fontId="87" fillId="0" borderId="94" xfId="2796" applyFont="1" applyFill="1" applyBorder="1" applyAlignment="1">
      <alignment horizontal="center" vertical="center"/>
    </xf>
    <xf numFmtId="0" fontId="33" fillId="0" borderId="145" xfId="2796" applyFont="1" applyFill="1" applyBorder="1"/>
    <xf numFmtId="0" fontId="40" fillId="0" borderId="144" xfId="2773" applyFont="1" applyFill="1" applyBorder="1" applyAlignment="1">
      <alignment vertical="center"/>
    </xf>
    <xf numFmtId="0" fontId="28" fillId="0" borderId="94" xfId="2773" applyFont="1" applyFill="1" applyBorder="1" applyAlignment="1">
      <alignment horizontal="center" vertical="center"/>
    </xf>
    <xf numFmtId="0" fontId="28" fillId="29" borderId="94" xfId="2773" applyFont="1" applyFill="1" applyBorder="1" applyAlignment="1">
      <alignment horizontal="center" vertical="center"/>
    </xf>
    <xf numFmtId="0" fontId="40" fillId="0" borderId="94" xfId="2773" applyFont="1" applyFill="1" applyBorder="1" applyAlignment="1">
      <alignment horizontal="center" vertical="center"/>
    </xf>
    <xf numFmtId="0" fontId="87" fillId="0" borderId="144" xfId="2796" applyFont="1" applyFill="1" applyBorder="1" applyAlignment="1">
      <alignment vertical="center"/>
    </xf>
    <xf numFmtId="0" fontId="87" fillId="0" borderId="145" xfId="2796" applyFont="1" applyFill="1" applyBorder="1" applyAlignment="1">
      <alignment vertical="center"/>
    </xf>
    <xf numFmtId="0" fontId="33" fillId="0" borderId="0" xfId="2796" applyFont="1" applyFill="1" applyBorder="1"/>
    <xf numFmtId="0" fontId="0" fillId="0" borderId="100" xfId="0" applyFont="1" applyFill="1" applyBorder="1" applyAlignment="1">
      <alignment horizontal="left" vertical="center"/>
    </xf>
    <xf numFmtId="0" fontId="31" fillId="0" borderId="100" xfId="0" applyFont="1" applyFill="1" applyBorder="1" applyAlignment="1">
      <alignment horizontal="center" vertical="center"/>
    </xf>
    <xf numFmtId="0" fontId="33" fillId="0" borderId="100" xfId="0" applyFont="1" applyFill="1" applyBorder="1" applyAlignment="1">
      <alignment horizontal="center"/>
    </xf>
    <xf numFmtId="0" fontId="87" fillId="0" borderId="0" xfId="2796" applyFont="1" applyFill="1" applyBorder="1" applyAlignment="1">
      <alignment vertical="center"/>
    </xf>
    <xf numFmtId="0" fontId="24" fillId="0" borderId="0" xfId="0" applyFont="1" applyBorder="1"/>
    <xf numFmtId="0" fontId="25" fillId="0" borderId="0" xfId="0" applyFont="1" applyBorder="1"/>
    <xf numFmtId="0" fontId="24" fillId="39" borderId="146" xfId="0" applyFont="1" applyFill="1" applyBorder="1"/>
    <xf numFmtId="0" fontId="24" fillId="39" borderId="147" xfId="0" applyFont="1" applyFill="1" applyBorder="1"/>
    <xf numFmtId="0" fontId="24" fillId="39" borderId="148" xfId="0" applyFont="1" applyFill="1" applyBorder="1"/>
    <xf numFmtId="0" fontId="24" fillId="0" borderId="149" xfId="0" applyFont="1" applyBorder="1"/>
    <xf numFmtId="0" fontId="27" fillId="0" borderId="151" xfId="0" applyFont="1" applyFill="1" applyBorder="1" applyAlignment="1">
      <alignment horizontal="center" vertical="center"/>
    </xf>
    <xf numFmtId="0" fontId="28" fillId="0" borderId="151" xfId="0" applyFont="1" applyFill="1" applyBorder="1" applyAlignment="1">
      <alignment horizontal="center" vertical="center"/>
    </xf>
    <xf numFmtId="0" fontId="31" fillId="0" borderId="151" xfId="0" applyFont="1" applyFill="1" applyBorder="1" applyAlignment="1">
      <alignment horizontal="center" vertical="center"/>
    </xf>
    <xf numFmtId="0" fontId="24" fillId="39" borderId="152" xfId="0" applyFont="1" applyFill="1" applyBorder="1"/>
    <xf numFmtId="0" fontId="24" fillId="39" borderId="153" xfId="0" applyFont="1" applyFill="1" applyBorder="1"/>
    <xf numFmtId="0" fontId="24" fillId="39" borderId="154" xfId="0" applyFont="1" applyFill="1" applyBorder="1"/>
    <xf numFmtId="0" fontId="32" fillId="0" borderId="0" xfId="0" applyFont="1"/>
    <xf numFmtId="0" fontId="120" fillId="0" borderId="0" xfId="0" applyFont="1" applyFill="1" applyBorder="1" applyAlignment="1">
      <alignment vertical="center"/>
    </xf>
    <xf numFmtId="0" fontId="118" fillId="0" borderId="0" xfId="0" applyFont="1" applyFill="1" applyBorder="1" applyAlignment="1">
      <alignment horizontal="center" vertical="center" shrinkToFit="1"/>
    </xf>
    <xf numFmtId="0" fontId="32" fillId="0" borderId="0" xfId="2796" applyFont="1" applyFill="1" applyBorder="1" applyAlignment="1">
      <alignment horizontal="center" vertical="center"/>
    </xf>
    <xf numFmtId="0" fontId="30" fillId="0" borderId="0" xfId="2796" applyFont="1" applyFill="1" applyBorder="1" applyAlignment="1">
      <alignment horizontal="center" vertical="center"/>
    </xf>
    <xf numFmtId="0" fontId="32" fillId="0" borderId="0" xfId="0" applyFont="1" applyFill="1" applyBorder="1" applyAlignment="1"/>
    <xf numFmtId="0" fontId="32" fillId="0" borderId="0" xfId="2188" applyNumberFormat="1" applyFont="1" applyFill="1" applyBorder="1" applyAlignment="1">
      <alignment horizontal="center" vertical="center"/>
    </xf>
    <xf numFmtId="0" fontId="30" fillId="0" borderId="0" xfId="2773" applyFont="1" applyFill="1" applyBorder="1" applyAlignment="1">
      <alignment horizontal="center" vertical="center"/>
    </xf>
    <xf numFmtId="1" fontId="2" fillId="0" borderId="87" xfId="0" applyNumberFormat="1" applyFont="1" applyFill="1" applyBorder="1" applyAlignment="1" applyProtection="1">
      <alignment horizontal="center" vertical="center"/>
      <protection locked="0"/>
    </xf>
    <xf numFmtId="0" fontId="0" fillId="51" borderId="0" xfId="0" applyFill="1"/>
    <xf numFmtId="49" fontId="27" fillId="14" borderId="0" xfId="0" applyNumberFormat="1" applyFont="1" applyFill="1" applyBorder="1" applyAlignment="1" applyProtection="1">
      <alignment horizontal="left" vertical="center" indent="1"/>
    </xf>
    <xf numFmtId="0" fontId="0" fillId="14" borderId="0" xfId="0" applyFont="1" applyFill="1" applyProtection="1"/>
    <xf numFmtId="0" fontId="132" fillId="0" borderId="0" xfId="0" applyFont="1" applyFill="1" applyBorder="1" applyAlignment="1" applyProtection="1">
      <alignment vertical="center"/>
      <protection locked="0"/>
    </xf>
    <xf numFmtId="0" fontId="132" fillId="0" borderId="0" xfId="0" applyFont="1" applyFill="1" applyBorder="1" applyAlignment="1" applyProtection="1">
      <alignment horizontal="center" vertical="center" shrinkToFit="1"/>
      <protection locked="0"/>
    </xf>
    <xf numFmtId="0" fontId="132" fillId="47" borderId="87" xfId="0" applyFont="1" applyFill="1" applyBorder="1" applyAlignment="1" applyProtection="1">
      <alignment horizontal="center" vertical="center" shrinkToFit="1"/>
      <protection locked="0"/>
    </xf>
    <xf numFmtId="0" fontId="132" fillId="47" borderId="87" xfId="0" applyFont="1" applyFill="1" applyBorder="1" applyAlignment="1" applyProtection="1">
      <alignment horizontal="center" vertical="center"/>
      <protection locked="0"/>
    </xf>
    <xf numFmtId="167" fontId="132" fillId="0" borderId="87" xfId="0" applyNumberFormat="1" applyFont="1" applyFill="1" applyBorder="1" applyAlignment="1" applyProtection="1">
      <alignment horizontal="center" vertical="center"/>
      <protection locked="0"/>
    </xf>
    <xf numFmtId="0" fontId="132" fillId="0" borderId="87" xfId="0" applyFont="1" applyFill="1" applyBorder="1" applyAlignment="1" applyProtection="1">
      <alignment horizontal="center" vertical="center"/>
      <protection locked="0"/>
    </xf>
    <xf numFmtId="0" fontId="0" fillId="0" borderId="87" xfId="0" applyFont="1" applyFill="1" applyBorder="1" applyAlignment="1" applyProtection="1">
      <alignment horizontal="center" vertical="center"/>
    </xf>
    <xf numFmtId="167" fontId="28" fillId="50" borderId="87" xfId="0" applyNumberFormat="1" applyFont="1" applyFill="1" applyBorder="1" applyAlignment="1" applyProtection="1">
      <alignment horizontal="center" vertical="center" shrinkToFit="1"/>
    </xf>
    <xf numFmtId="49" fontId="28" fillId="14" borderId="0" xfId="0" applyNumberFormat="1" applyFont="1" applyFill="1" applyBorder="1" applyAlignment="1" applyProtection="1">
      <alignment horizontal="left" vertical="center" indent="1"/>
    </xf>
    <xf numFmtId="49" fontId="31" fillId="14" borderId="0" xfId="0" applyNumberFormat="1" applyFont="1" applyFill="1" applyBorder="1" applyAlignment="1" applyProtection="1">
      <alignment vertical="center"/>
    </xf>
    <xf numFmtId="0" fontId="67" fillId="32" borderId="87" xfId="0" applyFont="1" applyFill="1" applyBorder="1" applyAlignment="1" applyProtection="1">
      <alignment horizontal="center" vertical="center"/>
      <protection locked="0"/>
    </xf>
    <xf numFmtId="0" fontId="27" fillId="14" borderId="0" xfId="0" applyFont="1" applyFill="1" applyBorder="1" applyAlignment="1" applyProtection="1">
      <alignment horizontal="left" vertical="center" indent="1"/>
    </xf>
    <xf numFmtId="0" fontId="28" fillId="14" borderId="0" xfId="0" applyFont="1" applyFill="1" applyBorder="1" applyAlignment="1" applyProtection="1">
      <alignment horizontal="left" vertical="center" wrapText="1" indent="1"/>
    </xf>
    <xf numFmtId="167" fontId="34" fillId="10" borderId="87" xfId="0" applyNumberFormat="1" applyFont="1" applyFill="1" applyBorder="1" applyAlignment="1" applyProtection="1">
      <alignment horizontal="center" vertical="center"/>
      <protection locked="0"/>
    </xf>
    <xf numFmtId="0" fontId="0" fillId="0" borderId="0" xfId="0" applyFont="1" applyFill="1" applyAlignment="1" applyProtection="1">
      <alignment horizontal="center" vertical="center"/>
    </xf>
    <xf numFmtId="0" fontId="0" fillId="0" borderId="0" xfId="0" applyFont="1" applyFill="1" applyProtection="1"/>
    <xf numFmtId="0" fontId="0" fillId="0" borderId="87" xfId="0" applyFill="1" applyBorder="1" applyAlignment="1"/>
    <xf numFmtId="0" fontId="0" fillId="0" borderId="87" xfId="0" applyFill="1" applyBorder="1"/>
    <xf numFmtId="0" fontId="0" fillId="0" borderId="0" xfId="0" applyFill="1" applyBorder="1" applyAlignment="1">
      <alignment horizontal="left" vertical="center"/>
    </xf>
    <xf numFmtId="167" fontId="0" fillId="0" borderId="0" xfId="2821" applyNumberFormat="1" applyFont="1" applyFill="1" applyBorder="1" applyAlignment="1">
      <alignment horizontal="center" vertical="center"/>
    </xf>
    <xf numFmtId="2" fontId="0" fillId="0" borderId="0" xfId="2821" applyNumberFormat="1" applyFont="1" applyFill="1" applyBorder="1" applyAlignment="1">
      <alignment horizontal="center" vertical="center"/>
    </xf>
    <xf numFmtId="0" fontId="32" fillId="0" borderId="87" xfId="2796" applyFont="1" applyFill="1" applyBorder="1" applyAlignment="1">
      <alignment horizontal="center" vertical="center"/>
    </xf>
    <xf numFmtId="0" fontId="32" fillId="0" borderId="81" xfId="2796" applyFont="1" applyFill="1" applyBorder="1" applyAlignment="1">
      <alignment horizontal="center" vertical="center"/>
    </xf>
    <xf numFmtId="0" fontId="32" fillId="0" borderId="156" xfId="2796" applyFont="1" applyFill="1" applyBorder="1" applyAlignment="1">
      <alignment horizontal="center" vertical="center"/>
    </xf>
    <xf numFmtId="0" fontId="137" fillId="47" borderId="0" xfId="0" applyFont="1" applyFill="1" applyBorder="1" applyAlignment="1" applyProtection="1">
      <alignment horizontal="left" wrapText="1"/>
    </xf>
    <xf numFmtId="0" fontId="32" fillId="0" borderId="159" xfId="2796" applyFont="1" applyFill="1" applyBorder="1" applyAlignment="1">
      <alignment horizontal="center" vertical="center"/>
    </xf>
    <xf numFmtId="0" fontId="32" fillId="0" borderId="88" xfId="2796" applyFont="1" applyFill="1" applyBorder="1" applyAlignment="1">
      <alignment horizontal="center" vertical="center"/>
    </xf>
    <xf numFmtId="0" fontId="32" fillId="0" borderId="80" xfId="2796" applyFont="1" applyFill="1" applyBorder="1" applyAlignment="1">
      <alignment horizontal="center" vertical="center"/>
    </xf>
    <xf numFmtId="0" fontId="32" fillId="29" borderId="161" xfId="0" applyFont="1" applyFill="1" applyBorder="1" applyAlignment="1">
      <alignment horizontal="center" vertical="center"/>
    </xf>
    <xf numFmtId="0" fontId="32" fillId="29" borderId="162" xfId="0" applyFont="1" applyFill="1" applyBorder="1" applyAlignment="1">
      <alignment horizontal="center" vertical="center"/>
    </xf>
    <xf numFmtId="0" fontId="32" fillId="0" borderId="164" xfId="2796" applyFont="1" applyFill="1" applyBorder="1" applyAlignment="1">
      <alignment horizontal="center" vertical="center"/>
    </xf>
    <xf numFmtId="1" fontId="2" fillId="0" borderId="156" xfId="0" applyNumberFormat="1" applyFont="1" applyFill="1" applyBorder="1" applyAlignment="1" applyProtection="1">
      <alignment horizontal="center" vertical="center"/>
      <protection locked="0"/>
    </xf>
    <xf numFmtId="166" fontId="27" fillId="47" borderId="166" xfId="0" applyNumberFormat="1" applyFont="1" applyFill="1" applyBorder="1" applyAlignment="1" applyProtection="1">
      <alignment horizontal="center" vertical="center"/>
    </xf>
    <xf numFmtId="0" fontId="45" fillId="47" borderId="155" xfId="0" applyFont="1" applyFill="1" applyBorder="1" applyAlignment="1" applyProtection="1">
      <alignment horizontal="center" vertical="center" wrapText="1"/>
      <protection locked="0"/>
    </xf>
    <xf numFmtId="166" fontId="27" fillId="47" borderId="87" xfId="0" applyNumberFormat="1" applyFont="1" applyFill="1" applyBorder="1" applyAlignment="1" applyProtection="1">
      <alignment horizontal="center" vertical="center"/>
    </xf>
    <xf numFmtId="0" fontId="28" fillId="14" borderId="0" xfId="0" applyFont="1" applyFill="1" applyAlignment="1" applyProtection="1">
      <alignment vertical="center"/>
    </xf>
    <xf numFmtId="166" fontId="27" fillId="47" borderId="169" xfId="0" applyNumberFormat="1" applyFont="1" applyFill="1" applyBorder="1" applyAlignment="1" applyProtection="1">
      <alignment horizontal="center" vertical="center"/>
    </xf>
    <xf numFmtId="0" fontId="45" fillId="47" borderId="170" xfId="0" applyFont="1" applyFill="1" applyBorder="1" applyAlignment="1" applyProtection="1">
      <alignment horizontal="center" vertical="center" wrapText="1"/>
      <protection locked="0"/>
    </xf>
    <xf numFmtId="0" fontId="2" fillId="0" borderId="171" xfId="0" applyFont="1" applyFill="1" applyBorder="1" applyAlignment="1" applyProtection="1">
      <alignment horizontal="center" vertical="center"/>
      <protection locked="0"/>
    </xf>
    <xf numFmtId="0" fontId="2" fillId="0" borderId="172" xfId="0" applyFont="1" applyFill="1" applyBorder="1" applyAlignment="1" applyProtection="1">
      <alignment horizontal="center" vertical="center"/>
      <protection locked="0"/>
    </xf>
    <xf numFmtId="0" fontId="2" fillId="0" borderId="173" xfId="0"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0" fontId="33" fillId="14" borderId="0" xfId="0" applyFont="1" applyFill="1" applyAlignment="1" applyProtection="1">
      <alignment horizontal="center" vertical="center" wrapText="1"/>
    </xf>
    <xf numFmtId="0" fontId="0" fillId="14" borderId="88" xfId="0" applyFont="1" applyFill="1" applyBorder="1" applyAlignment="1" applyProtection="1">
      <alignment horizontal="center" vertical="center" wrapText="1"/>
    </xf>
    <xf numFmtId="2" fontId="2" fillId="0" borderId="12" xfId="0" applyNumberFormat="1" applyFont="1" applyFill="1" applyBorder="1" applyAlignment="1" applyProtection="1">
      <alignment horizontal="left" vertical="center"/>
      <protection locked="0"/>
    </xf>
    <xf numFmtId="167" fontId="2" fillId="0" borderId="156" xfId="0" applyNumberFormat="1" applyFont="1" applyFill="1" applyBorder="1" applyAlignment="1" applyProtection="1">
      <alignment horizontal="center" vertical="center"/>
      <protection locked="0"/>
    </xf>
    <xf numFmtId="167" fontId="2" fillId="0" borderId="87" xfId="0" applyNumberFormat="1" applyFont="1" applyFill="1" applyBorder="1" applyAlignment="1" applyProtection="1">
      <alignment horizontal="center" vertical="center"/>
      <protection locked="0"/>
    </xf>
    <xf numFmtId="0" fontId="2" fillId="0" borderId="174" xfId="0" applyFont="1" applyFill="1" applyBorder="1" applyAlignment="1" applyProtection="1">
      <alignment horizontal="center" vertical="center"/>
      <protection locked="0"/>
    </xf>
    <xf numFmtId="167" fontId="2" fillId="0" borderId="168" xfId="0" applyNumberFormat="1" applyFont="1" applyFill="1" applyBorder="1" applyAlignment="1" applyProtection="1">
      <alignment horizontal="center" vertical="center"/>
      <protection locked="0"/>
    </xf>
    <xf numFmtId="166" fontId="27" fillId="47" borderId="0" xfId="0" applyNumberFormat="1" applyFont="1" applyFill="1" applyBorder="1" applyAlignment="1" applyProtection="1">
      <alignment horizontal="center" vertical="center"/>
    </xf>
    <xf numFmtId="0" fontId="0" fillId="0" borderId="0" xfId="0" applyBorder="1"/>
    <xf numFmtId="2" fontId="2" fillId="0" borderId="0" xfId="0" applyNumberFormat="1" applyFont="1" applyFill="1" applyBorder="1" applyAlignment="1" applyProtection="1">
      <alignment horizontal="left" vertical="center"/>
      <protection locked="0"/>
    </xf>
    <xf numFmtId="167" fontId="2" fillId="0" borderId="175" xfId="0" applyNumberFormat="1" applyFont="1" applyFill="1" applyBorder="1" applyAlignment="1" applyProtection="1">
      <alignment horizontal="center" vertical="center"/>
      <protection locked="0"/>
    </xf>
    <xf numFmtId="167" fontId="2" fillId="0" borderId="176" xfId="0" applyNumberFormat="1" applyFont="1" applyFill="1" applyBorder="1" applyAlignment="1" applyProtection="1">
      <alignment horizontal="center" vertical="center"/>
      <protection locked="0"/>
    </xf>
    <xf numFmtId="167" fontId="2" fillId="0" borderId="177" xfId="0" applyNumberFormat="1" applyFont="1" applyFill="1" applyBorder="1" applyAlignment="1" applyProtection="1">
      <alignment horizontal="center" vertical="center"/>
      <protection locked="0"/>
    </xf>
    <xf numFmtId="0" fontId="0" fillId="47" borderId="0" xfId="0" applyFill="1" applyProtection="1"/>
    <xf numFmtId="0" fontId="24" fillId="47" borderId="0" xfId="0" applyFont="1" applyFill="1"/>
    <xf numFmtId="0" fontId="0" fillId="47" borderId="0" xfId="0" applyFill="1"/>
    <xf numFmtId="0" fontId="114" fillId="47" borderId="0" xfId="0" applyFont="1" applyFill="1" applyBorder="1" applyAlignment="1">
      <alignment vertical="center"/>
    </xf>
    <xf numFmtId="0" fontId="106" fillId="47" borderId="0" xfId="0" applyFont="1" applyFill="1" applyBorder="1" applyAlignment="1">
      <alignment vertical="center"/>
    </xf>
    <xf numFmtId="0" fontId="106" fillId="47" borderId="0" xfId="0" applyFont="1" applyFill="1" applyBorder="1" applyAlignment="1">
      <alignment horizontal="center" vertical="center"/>
    </xf>
    <xf numFmtId="0" fontId="28" fillId="47" borderId="0" xfId="2796" applyFont="1" applyFill="1" applyBorder="1" applyAlignment="1">
      <alignment horizontal="center" vertical="center"/>
    </xf>
    <xf numFmtId="0" fontId="27" fillId="0" borderId="150" xfId="0" applyFont="1" applyFill="1" applyBorder="1"/>
    <xf numFmtId="0" fontId="33" fillId="0" borderId="150" xfId="0" applyFont="1" applyFill="1" applyBorder="1" applyAlignment="1">
      <alignment horizontal="left" vertical="center"/>
    </xf>
    <xf numFmtId="0" fontId="33" fillId="0" borderId="150" xfId="0" applyFont="1" applyFill="1" applyBorder="1" applyAlignment="1">
      <alignment vertical="center"/>
    </xf>
    <xf numFmtId="0" fontId="25" fillId="0" borderId="149" xfId="0" applyFont="1" applyBorder="1"/>
    <xf numFmtId="0" fontId="27" fillId="48" borderId="150" xfId="0" applyFont="1" applyFill="1" applyBorder="1" applyAlignment="1">
      <alignment vertical="center"/>
    </xf>
    <xf numFmtId="0" fontId="24" fillId="52" borderId="141" xfId="0" applyFont="1" applyFill="1" applyBorder="1" applyAlignment="1">
      <alignment vertical="center"/>
    </xf>
    <xf numFmtId="0" fontId="24" fillId="39" borderId="165" xfId="0" applyFont="1" applyFill="1" applyBorder="1"/>
    <xf numFmtId="0" fontId="44" fillId="0" borderId="144" xfId="0" applyFont="1" applyFill="1" applyBorder="1" applyAlignment="1">
      <alignment horizontal="center" vertical="center" wrapText="1"/>
    </xf>
    <xf numFmtId="0" fontId="0" fillId="0" borderId="144" xfId="0" applyFont="1" applyFill="1" applyBorder="1" applyAlignment="1">
      <alignment horizontal="center" vertical="center"/>
    </xf>
    <xf numFmtId="0" fontId="24" fillId="0" borderId="144" xfId="0" applyFont="1" applyFill="1" applyBorder="1" applyAlignment="1">
      <alignment horizontal="center" vertical="center"/>
    </xf>
    <xf numFmtId="0" fontId="0" fillId="0" borderId="145" xfId="0" applyFont="1" applyFill="1" applyBorder="1" applyAlignment="1">
      <alignment horizontal="center" vertical="center"/>
    </xf>
    <xf numFmtId="0" fontId="32" fillId="0" borderId="122" xfId="2796" applyFont="1" applyFill="1" applyBorder="1" applyAlignment="1">
      <alignment horizontal="center" vertical="center"/>
    </xf>
    <xf numFmtId="0" fontId="32" fillId="0" borderId="84" xfId="2796" applyFont="1" applyFill="1" applyBorder="1" applyAlignment="1">
      <alignment horizontal="center" vertical="center"/>
    </xf>
    <xf numFmtId="0" fontId="35" fillId="47" borderId="170" xfId="0" applyFont="1" applyFill="1" applyBorder="1" applyAlignment="1">
      <alignment horizontal="center"/>
    </xf>
    <xf numFmtId="0" fontId="35" fillId="47" borderId="178" xfId="0" applyFont="1" applyFill="1" applyBorder="1" applyAlignment="1">
      <alignment horizontal="center"/>
    </xf>
    <xf numFmtId="0" fontId="35" fillId="47" borderId="179" xfId="0" applyFont="1" applyFill="1" applyBorder="1" applyAlignment="1">
      <alignment horizontal="center"/>
    </xf>
    <xf numFmtId="0" fontId="35" fillId="47" borderId="155" xfId="0" applyFont="1" applyFill="1" applyBorder="1" applyAlignment="1" applyProtection="1">
      <alignment horizontal="center"/>
    </xf>
    <xf numFmtId="0" fontId="0" fillId="0" borderId="147" xfId="0" applyBorder="1" applyProtection="1"/>
    <xf numFmtId="0" fontId="0" fillId="0" borderId="148" xfId="0" applyFill="1" applyBorder="1" applyProtection="1"/>
    <xf numFmtId="49" fontId="30" fillId="0" borderId="155" xfId="0" applyNumberFormat="1" applyFont="1" applyBorder="1" applyAlignment="1">
      <alignment horizontal="left" vertical="center"/>
    </xf>
    <xf numFmtId="49" fontId="30" fillId="0" borderId="155" xfId="0" applyNumberFormat="1" applyFont="1" applyBorder="1" applyAlignment="1">
      <alignment vertical="center"/>
    </xf>
    <xf numFmtId="0" fontId="0" fillId="0" borderId="147" xfId="0" applyBorder="1" applyAlignment="1" applyProtection="1"/>
    <xf numFmtId="0" fontId="0" fillId="0" borderId="148" xfId="0" applyFill="1" applyBorder="1" applyAlignment="1" applyProtection="1"/>
    <xf numFmtId="0" fontId="27" fillId="14" borderId="126" xfId="0" applyFont="1" applyFill="1" applyBorder="1" applyAlignment="1" applyProtection="1">
      <alignment vertical="center"/>
    </xf>
    <xf numFmtId="1" fontId="27" fillId="14" borderId="126" xfId="0" applyNumberFormat="1" applyFont="1" applyFill="1" applyBorder="1" applyAlignment="1" applyProtection="1">
      <alignment horizontal="right" vertical="center"/>
    </xf>
    <xf numFmtId="0" fontId="27" fillId="14" borderId="127" xfId="0" applyFont="1" applyFill="1" applyBorder="1" applyAlignment="1" applyProtection="1">
      <alignment horizontal="center" vertical="center"/>
    </xf>
    <xf numFmtId="0" fontId="2" fillId="47" borderId="156" xfId="0" applyFont="1" applyFill="1" applyBorder="1" applyAlignment="1" applyProtection="1">
      <alignment horizontal="center" vertical="center"/>
      <protection locked="0"/>
    </xf>
    <xf numFmtId="0" fontId="2" fillId="47" borderId="87" xfId="0" applyFont="1" applyFill="1" applyBorder="1" applyAlignment="1" applyProtection="1">
      <alignment horizontal="center" vertical="center"/>
      <protection locked="0"/>
    </xf>
    <xf numFmtId="0" fontId="2" fillId="47" borderId="168" xfId="0" applyFont="1" applyFill="1" applyBorder="1" applyAlignment="1" applyProtection="1">
      <alignment horizontal="center" vertical="center"/>
      <protection locked="0"/>
    </xf>
    <xf numFmtId="0" fontId="10" fillId="0" borderId="12" xfId="0" applyFont="1" applyFill="1" applyBorder="1" applyAlignment="1" applyProtection="1">
      <alignment horizontal="center" vertical="center"/>
      <protection locked="0"/>
    </xf>
    <xf numFmtId="1" fontId="0" fillId="0" borderId="175" xfId="0" applyNumberFormat="1" applyBorder="1" applyProtection="1"/>
    <xf numFmtId="1" fontId="0" fillId="0" borderId="176" xfId="0" applyNumberFormat="1" applyBorder="1" applyProtection="1"/>
    <xf numFmtId="1" fontId="0" fillId="0" borderId="177" xfId="0" applyNumberFormat="1" applyBorder="1" applyProtection="1"/>
    <xf numFmtId="2" fontId="27" fillId="14" borderId="128" xfId="0" applyNumberFormat="1" applyFont="1" applyFill="1" applyBorder="1" applyAlignment="1" applyProtection="1">
      <alignment vertical="center"/>
    </xf>
    <xf numFmtId="0" fontId="0" fillId="14" borderId="146" xfId="0" applyFill="1" applyBorder="1" applyProtection="1"/>
    <xf numFmtId="0" fontId="27" fillId="47" borderId="138" xfId="0" applyFont="1" applyFill="1" applyBorder="1" applyAlignment="1" applyProtection="1">
      <alignment vertical="center"/>
    </xf>
    <xf numFmtId="0" fontId="0" fillId="14" borderId="141" xfId="0" applyFill="1" applyBorder="1" applyAlignment="1" applyProtection="1">
      <alignment vertical="center"/>
    </xf>
    <xf numFmtId="0" fontId="10" fillId="0" borderId="181" xfId="0" applyFont="1" applyFill="1" applyBorder="1" applyAlignment="1" applyProtection="1">
      <alignment horizontal="center" vertical="center"/>
      <protection locked="0"/>
    </xf>
    <xf numFmtId="166" fontId="27" fillId="0" borderId="182" xfId="0" applyNumberFormat="1" applyFont="1" applyBorder="1" applyAlignment="1" applyProtection="1">
      <alignment horizontal="center" vertical="center"/>
    </xf>
    <xf numFmtId="0" fontId="0" fillId="0" borderId="152" xfId="0" applyBorder="1" applyProtection="1"/>
    <xf numFmtId="0" fontId="0" fillId="0" borderId="154" xfId="0" applyBorder="1" applyProtection="1"/>
    <xf numFmtId="0" fontId="27" fillId="47" borderId="180" xfId="0" applyFont="1" applyFill="1" applyBorder="1" applyAlignment="1" applyProtection="1">
      <alignment horizontal="center" vertical="center"/>
    </xf>
    <xf numFmtId="0" fontId="2" fillId="0" borderId="0" xfId="0" applyFont="1" applyFill="1" applyBorder="1" applyAlignment="1" applyProtection="1">
      <alignment horizontal="left" vertical="center"/>
      <protection locked="0"/>
    </xf>
    <xf numFmtId="0" fontId="2" fillId="0" borderId="0" xfId="0" applyFont="1" applyFill="1" applyBorder="1" applyAlignment="1" applyProtection="1">
      <alignment horizontal="center" vertical="center"/>
      <protection locked="0"/>
    </xf>
    <xf numFmtId="166" fontId="27" fillId="0" borderId="0" xfId="0" applyNumberFormat="1" applyFont="1" applyFill="1" applyBorder="1" applyAlignment="1" applyProtection="1">
      <alignment horizontal="center" vertical="center"/>
    </xf>
    <xf numFmtId="0" fontId="27" fillId="0" borderId="87" xfId="0" applyFont="1" applyBorder="1" applyAlignment="1">
      <alignment horizontal="center" vertical="center"/>
    </xf>
    <xf numFmtId="49" fontId="0" fillId="0" borderId="87" xfId="0" applyNumberFormat="1" applyBorder="1" applyAlignment="1">
      <alignment vertical="center"/>
    </xf>
    <xf numFmtId="1" fontId="0" fillId="0" borderId="87" xfId="0" applyNumberFormat="1" applyBorder="1" applyAlignment="1">
      <alignment horizontal="center" vertical="center"/>
    </xf>
    <xf numFmtId="1" fontId="27" fillId="14" borderId="126" xfId="0" applyNumberFormat="1" applyFont="1" applyFill="1" applyBorder="1" applyAlignment="1" applyProtection="1">
      <alignment horizontal="center" vertical="center"/>
    </xf>
    <xf numFmtId="2" fontId="132" fillId="0" borderId="87" xfId="0" applyNumberFormat="1" applyFont="1" applyFill="1" applyBorder="1" applyAlignment="1" applyProtection="1">
      <alignment horizontal="center" vertical="center"/>
      <protection locked="0"/>
    </xf>
    <xf numFmtId="1" fontId="2" fillId="0" borderId="81" xfId="0" applyNumberFormat="1" applyFont="1" applyFill="1" applyBorder="1" applyAlignment="1" applyProtection="1">
      <alignment horizontal="center" vertical="center"/>
      <protection locked="0"/>
    </xf>
    <xf numFmtId="166" fontId="27" fillId="0" borderId="87" xfId="0" applyNumberFormat="1" applyFont="1" applyBorder="1" applyAlignment="1" applyProtection="1">
      <alignment horizontal="center" vertical="center"/>
    </xf>
    <xf numFmtId="0" fontId="27" fillId="47" borderId="10" xfId="0" applyFont="1" applyFill="1" applyBorder="1" applyAlignment="1" applyProtection="1">
      <alignment horizontal="center" vertical="center"/>
    </xf>
    <xf numFmtId="1" fontId="0" fillId="0" borderId="87" xfId="0" applyNumberFormat="1" applyBorder="1" applyAlignment="1" applyProtection="1">
      <alignment horizontal="center" vertical="center"/>
    </xf>
    <xf numFmtId="1" fontId="0" fillId="0" borderId="175" xfId="0" applyNumberFormat="1" applyBorder="1" applyAlignment="1" applyProtection="1">
      <alignment horizontal="center" vertical="center"/>
    </xf>
    <xf numFmtId="1" fontId="0" fillId="0" borderId="176" xfId="0" applyNumberFormat="1" applyBorder="1" applyAlignment="1" applyProtection="1">
      <alignment horizontal="center" vertical="center"/>
    </xf>
    <xf numFmtId="1" fontId="0" fillId="0" borderId="177" xfId="0" applyNumberFormat="1" applyBorder="1" applyAlignment="1" applyProtection="1">
      <alignment horizontal="center" vertical="center"/>
    </xf>
    <xf numFmtId="0" fontId="27" fillId="14" borderId="87" xfId="0" applyFont="1" applyFill="1" applyBorder="1" applyAlignment="1" applyProtection="1">
      <alignment horizontal="center" vertical="center"/>
    </xf>
    <xf numFmtId="1" fontId="0" fillId="0" borderId="87" xfId="0" applyNumberFormat="1" applyBorder="1"/>
    <xf numFmtId="1" fontId="0" fillId="0" borderId="0" xfId="0" applyNumberFormat="1" applyBorder="1" applyAlignment="1" applyProtection="1">
      <alignment horizontal="center"/>
    </xf>
    <xf numFmtId="2" fontId="27" fillId="54" borderId="87" xfId="0" applyNumberFormat="1" applyFont="1" applyFill="1" applyBorder="1"/>
    <xf numFmtId="0" fontId="10" fillId="0" borderId="10" xfId="0" applyFont="1" applyFill="1" applyBorder="1" applyAlignment="1" applyProtection="1">
      <alignment horizontal="center" vertical="center"/>
      <protection locked="0"/>
    </xf>
    <xf numFmtId="0" fontId="10" fillId="0" borderId="87" xfId="0" applyFont="1" applyFill="1" applyBorder="1" applyAlignment="1" applyProtection="1">
      <alignment horizontal="center" vertical="center"/>
      <protection locked="0"/>
    </xf>
    <xf numFmtId="1" fontId="27" fillId="0" borderId="87" xfId="0" applyNumberFormat="1" applyFont="1" applyBorder="1" applyAlignment="1">
      <alignment horizontal="center" vertical="center"/>
    </xf>
    <xf numFmtId="0" fontId="28" fillId="14" borderId="0" xfId="0" applyFont="1" applyFill="1" applyBorder="1" applyAlignment="1" applyProtection="1">
      <alignment horizontal="left" indent="1"/>
    </xf>
    <xf numFmtId="0" fontId="132" fillId="47" borderId="156" xfId="0" applyFont="1" applyFill="1" applyBorder="1" applyAlignment="1" applyProtection="1">
      <alignment horizontal="center" vertical="center" shrinkToFit="1"/>
      <protection locked="0"/>
    </xf>
    <xf numFmtId="0" fontId="132" fillId="47" borderId="168" xfId="0" applyFont="1" applyFill="1" applyBorder="1" applyAlignment="1" applyProtection="1">
      <alignment horizontal="center" vertical="center" shrinkToFit="1"/>
      <protection locked="0"/>
    </xf>
    <xf numFmtId="167" fontId="132" fillId="0" borderId="156" xfId="0" applyNumberFormat="1" applyFont="1" applyFill="1" applyBorder="1" applyAlignment="1" applyProtection="1">
      <alignment horizontal="center" vertical="center"/>
      <protection locked="0"/>
    </xf>
    <xf numFmtId="167" fontId="132" fillId="0" borderId="168" xfId="0" applyNumberFormat="1" applyFont="1" applyFill="1" applyBorder="1" applyAlignment="1" applyProtection="1">
      <alignment horizontal="center" vertical="center"/>
      <protection locked="0"/>
    </xf>
    <xf numFmtId="0" fontId="132" fillId="47" borderId="83" xfId="0" applyFont="1" applyFill="1" applyBorder="1" applyAlignment="1" applyProtection="1">
      <alignment horizontal="center" vertical="center"/>
      <protection locked="0"/>
    </xf>
    <xf numFmtId="0" fontId="140" fillId="47" borderId="86" xfId="0" applyFont="1" applyFill="1" applyBorder="1" applyAlignment="1" applyProtection="1">
      <alignment horizontal="center" vertical="center"/>
      <protection locked="0"/>
    </xf>
    <xf numFmtId="167" fontId="132" fillId="0" borderId="86" xfId="0" applyNumberFormat="1" applyFont="1" applyFill="1" applyBorder="1" applyAlignment="1" applyProtection="1">
      <alignment horizontal="center" vertical="center"/>
      <protection locked="0"/>
    </xf>
    <xf numFmtId="0" fontId="132" fillId="47" borderId="174" xfId="0" applyFont="1" applyFill="1" applyBorder="1" applyAlignment="1" applyProtection="1">
      <alignment horizontal="center" vertical="center" shrinkToFit="1"/>
      <protection locked="0"/>
    </xf>
    <xf numFmtId="0" fontId="132" fillId="47" borderId="171" xfId="0" applyFont="1" applyFill="1" applyBorder="1" applyAlignment="1" applyProtection="1">
      <alignment horizontal="center" vertical="center" shrinkToFit="1"/>
      <protection locked="0"/>
    </xf>
    <xf numFmtId="0" fontId="132" fillId="47" borderId="172" xfId="0" applyFont="1" applyFill="1" applyBorder="1" applyAlignment="1" applyProtection="1">
      <alignment horizontal="center" vertical="center" shrinkToFit="1"/>
      <protection locked="0"/>
    </xf>
    <xf numFmtId="0" fontId="132" fillId="0" borderId="156" xfId="0" applyFont="1" applyFill="1" applyBorder="1" applyAlignment="1" applyProtection="1">
      <alignment horizontal="center" vertical="center"/>
      <protection locked="0"/>
    </xf>
    <xf numFmtId="0" fontId="132" fillId="0" borderId="168" xfId="0" applyFont="1" applyFill="1" applyBorder="1" applyAlignment="1" applyProtection="1">
      <alignment horizontal="center" vertical="center"/>
      <protection locked="0"/>
    </xf>
    <xf numFmtId="1" fontId="132" fillId="0" borderId="87" xfId="0" applyNumberFormat="1" applyFont="1" applyFill="1" applyBorder="1" applyAlignment="1" applyProtection="1">
      <alignment horizontal="center" vertical="center"/>
      <protection locked="0"/>
    </xf>
    <xf numFmtId="0" fontId="28" fillId="0" borderId="0" xfId="0" applyFont="1"/>
    <xf numFmtId="0" fontId="0" fillId="0" borderId="88" xfId="0" applyBorder="1"/>
    <xf numFmtId="1" fontId="0" fillId="0" borderId="88" xfId="0" applyNumberFormat="1" applyBorder="1"/>
    <xf numFmtId="0" fontId="27" fillId="0" borderId="175" xfId="0" applyFont="1" applyBorder="1" applyAlignment="1">
      <alignment horizontal="center" vertical="center" wrapText="1"/>
    </xf>
    <xf numFmtId="1" fontId="31" fillId="0" borderId="176" xfId="0" applyNumberFormat="1" applyFont="1" applyBorder="1" applyAlignment="1">
      <alignment horizontal="center" vertical="center"/>
    </xf>
    <xf numFmtId="0" fontId="27" fillId="0" borderId="0" xfId="0" applyFont="1" applyBorder="1" applyAlignment="1" applyProtection="1">
      <alignment horizontal="center" vertical="center"/>
    </xf>
    <xf numFmtId="0" fontId="27" fillId="14" borderId="0" xfId="0" applyFont="1" applyFill="1" applyProtection="1"/>
    <xf numFmtId="166" fontId="27" fillId="47" borderId="185" xfId="0" applyNumberFormat="1" applyFont="1" applyFill="1" applyBorder="1" applyAlignment="1" applyProtection="1">
      <alignment horizontal="center" vertical="center"/>
    </xf>
    <xf numFmtId="0" fontId="2" fillId="0" borderId="80" xfId="0" applyFont="1" applyFill="1" applyBorder="1" applyAlignment="1" applyProtection="1">
      <alignment horizontal="center" vertical="center"/>
      <protection locked="0"/>
    </xf>
    <xf numFmtId="0" fontId="45" fillId="47" borderId="179" xfId="0" applyFont="1" applyFill="1" applyBorder="1" applyAlignment="1" applyProtection="1">
      <alignment horizontal="center" vertical="center" wrapText="1"/>
      <protection locked="0"/>
    </xf>
    <xf numFmtId="0" fontId="32" fillId="0" borderId="174" xfId="0" applyFont="1" applyBorder="1" applyAlignment="1" applyProtection="1">
      <alignment horizontal="center" vertical="center" wrapText="1"/>
    </xf>
    <xf numFmtId="0" fontId="27" fillId="0" borderId="171" xfId="0" applyFont="1" applyBorder="1" applyAlignment="1" applyProtection="1">
      <alignment horizontal="center" vertical="center" wrapText="1"/>
    </xf>
    <xf numFmtId="0" fontId="32" fillId="0" borderId="171" xfId="0" applyFont="1" applyBorder="1" applyAlignment="1" applyProtection="1">
      <alignment horizontal="center" vertical="center" wrapText="1"/>
    </xf>
    <xf numFmtId="0" fontId="27" fillId="0" borderId="172" xfId="0" applyFont="1" applyBorder="1" applyAlignment="1" applyProtection="1">
      <alignment horizontal="center" vertical="center" wrapText="1"/>
    </xf>
    <xf numFmtId="166" fontId="27" fillId="47" borderId="156" xfId="0" applyNumberFormat="1" applyFont="1" applyFill="1" applyBorder="1" applyAlignment="1" applyProtection="1">
      <alignment horizontal="center" vertical="center"/>
    </xf>
    <xf numFmtId="166" fontId="27" fillId="47" borderId="168" xfId="0" applyNumberFormat="1" applyFont="1" applyFill="1" applyBorder="1" applyAlignment="1" applyProtection="1">
      <alignment horizontal="center" vertical="center"/>
    </xf>
    <xf numFmtId="167" fontId="31" fillId="31" borderId="87" xfId="0" applyNumberFormat="1" applyFont="1" applyFill="1" applyBorder="1" applyAlignment="1" applyProtection="1">
      <alignment horizontal="center" vertical="center"/>
    </xf>
    <xf numFmtId="1" fontId="10" fillId="10" borderId="87" xfId="0" applyNumberFormat="1" applyFont="1" applyFill="1" applyBorder="1" applyAlignment="1" applyProtection="1">
      <alignment horizontal="center" vertical="center"/>
      <protection locked="0"/>
    </xf>
    <xf numFmtId="0" fontId="33" fillId="18" borderId="87" xfId="0" applyFont="1" applyFill="1" applyBorder="1" applyAlignment="1" applyProtection="1">
      <alignment vertical="center"/>
      <protection locked="0"/>
    </xf>
    <xf numFmtId="0" fontId="0" fillId="47" borderId="0" xfId="0" applyFill="1" applyBorder="1" applyAlignment="1"/>
    <xf numFmtId="1" fontId="28" fillId="31" borderId="156" xfId="0" applyNumberFormat="1" applyFont="1" applyFill="1" applyBorder="1" applyAlignment="1" applyProtection="1">
      <alignment horizontal="center" vertical="center"/>
    </xf>
    <xf numFmtId="0" fontId="28" fillId="47" borderId="174" xfId="0" applyFont="1" applyFill="1" applyBorder="1" applyAlignment="1" applyProtection="1">
      <alignment horizontal="center" vertical="center"/>
    </xf>
    <xf numFmtId="0" fontId="31" fillId="47" borderId="0" xfId="0" applyFont="1" applyFill="1" applyBorder="1" applyAlignment="1" applyProtection="1">
      <alignment horizontal="center" vertical="center"/>
    </xf>
    <xf numFmtId="2" fontId="27" fillId="14" borderId="126" xfId="0" applyNumberFormat="1" applyFont="1" applyFill="1" applyBorder="1" applyAlignment="1" applyProtection="1">
      <alignment vertical="center"/>
    </xf>
    <xf numFmtId="0" fontId="2" fillId="47" borderId="81" xfId="0" applyFont="1" applyFill="1" applyBorder="1" applyAlignment="1" applyProtection="1">
      <alignment horizontal="center" vertical="center"/>
      <protection locked="0"/>
    </xf>
    <xf numFmtId="0" fontId="10" fillId="0" borderId="14" xfId="0" applyFont="1" applyFill="1" applyBorder="1" applyAlignment="1" applyProtection="1">
      <alignment horizontal="center" vertical="center"/>
      <protection locked="0"/>
    </xf>
    <xf numFmtId="0" fontId="10" fillId="47" borderId="82" xfId="0" applyFont="1" applyFill="1" applyBorder="1" applyAlignment="1" applyProtection="1">
      <alignment horizontal="center" vertical="center"/>
      <protection locked="0"/>
    </xf>
    <xf numFmtId="0" fontId="0" fillId="47" borderId="83" xfId="0" applyFill="1" applyBorder="1" applyProtection="1"/>
    <xf numFmtId="0" fontId="0" fillId="14" borderId="84" xfId="0" applyFill="1" applyBorder="1" applyAlignment="1" applyProtection="1">
      <alignment vertical="center"/>
    </xf>
    <xf numFmtId="0" fontId="0" fillId="47" borderId="86" xfId="0" applyFill="1" applyBorder="1"/>
    <xf numFmtId="167" fontId="31" fillId="47" borderId="175" xfId="0" applyNumberFormat="1" applyFont="1" applyFill="1" applyBorder="1" applyAlignment="1">
      <alignment horizontal="center" vertical="center"/>
    </xf>
    <xf numFmtId="167" fontId="31" fillId="47" borderId="176" xfId="0" applyNumberFormat="1" applyFont="1" applyFill="1" applyBorder="1" applyAlignment="1">
      <alignment horizontal="center" vertical="center"/>
    </xf>
    <xf numFmtId="167" fontId="31" fillId="47" borderId="177" xfId="0" applyNumberFormat="1" applyFont="1" applyFill="1" applyBorder="1" applyAlignment="1">
      <alignment horizontal="center" vertical="center"/>
    </xf>
    <xf numFmtId="16" fontId="84" fillId="0" borderId="87" xfId="0" applyNumberFormat="1" applyFont="1" applyFill="1" applyBorder="1" applyAlignment="1" applyProtection="1">
      <alignment horizontal="center" vertical="center" shrinkToFit="1"/>
    </xf>
    <xf numFmtId="0" fontId="132" fillId="0" borderId="87" xfId="0" applyFont="1" applyFill="1" applyBorder="1" applyAlignment="1" applyProtection="1">
      <alignment vertical="center" shrinkToFit="1"/>
    </xf>
    <xf numFmtId="1" fontId="33" fillId="50" borderId="13" xfId="0" applyNumberFormat="1" applyFont="1" applyFill="1" applyBorder="1" applyAlignment="1" applyProtection="1">
      <alignment horizontal="left" vertical="center"/>
    </xf>
    <xf numFmtId="1" fontId="31" fillId="50" borderId="13" xfId="0" applyNumberFormat="1" applyFont="1" applyFill="1" applyBorder="1" applyAlignment="1" applyProtection="1">
      <alignment horizontal="center" vertical="center"/>
    </xf>
    <xf numFmtId="0" fontId="27" fillId="47" borderId="174" xfId="0" applyFont="1" applyFill="1" applyBorder="1" applyAlignment="1" applyProtection="1">
      <alignment horizontal="left" vertical="center" shrinkToFit="1"/>
    </xf>
    <xf numFmtId="0" fontId="40" fillId="47" borderId="186" xfId="0" applyFont="1" applyFill="1" applyBorder="1" applyAlignment="1" applyProtection="1">
      <alignment horizontal="center" vertical="center" shrinkToFit="1"/>
    </xf>
    <xf numFmtId="2" fontId="27" fillId="29" borderId="156" xfId="0" applyNumberFormat="1" applyFont="1" applyFill="1" applyBorder="1" applyAlignment="1" applyProtection="1">
      <alignment horizontal="left" vertical="center"/>
    </xf>
    <xf numFmtId="2" fontId="27" fillId="29" borderId="80" xfId="0" applyNumberFormat="1" applyFont="1" applyFill="1" applyBorder="1" applyAlignment="1" applyProtection="1">
      <alignment horizontal="center" vertical="center"/>
    </xf>
    <xf numFmtId="0" fontId="0" fillId="29" borderId="0" xfId="0" applyFill="1"/>
    <xf numFmtId="0" fontId="0" fillId="0" borderId="87" xfId="0" applyBorder="1"/>
    <xf numFmtId="0" fontId="0" fillId="47" borderId="0" xfId="0" applyFill="1" applyBorder="1"/>
    <xf numFmtId="0" fontId="27" fillId="0" borderId="87" xfId="0" applyFont="1" applyBorder="1" applyAlignment="1">
      <alignment horizontal="center" wrapText="1"/>
    </xf>
    <xf numFmtId="0" fontId="0" fillId="0" borderId="87" xfId="0" applyBorder="1" applyAlignment="1">
      <alignment horizontal="center"/>
    </xf>
    <xf numFmtId="0" fontId="27" fillId="0" borderId="87" xfId="0" applyFont="1" applyBorder="1"/>
    <xf numFmtId="0" fontId="0" fillId="33" borderId="162" xfId="0" applyFill="1" applyBorder="1" applyAlignment="1" applyProtection="1">
      <alignment horizontal="center"/>
      <protection locked="0"/>
    </xf>
    <xf numFmtId="0" fontId="27" fillId="47" borderId="0" xfId="0" applyFont="1" applyFill="1" applyBorder="1"/>
    <xf numFmtId="0" fontId="27" fillId="47" borderId="0" xfId="0" applyFont="1" applyFill="1" applyBorder="1" applyAlignment="1">
      <alignment horizontal="center"/>
    </xf>
    <xf numFmtId="0" fontId="0" fillId="0" borderId="150" xfId="2772" applyFont="1" applyFill="1" applyBorder="1" applyAlignment="1">
      <alignment vertical="center"/>
    </xf>
    <xf numFmtId="0" fontId="25" fillId="0" borderId="87" xfId="0" applyFont="1" applyBorder="1" applyAlignment="1">
      <alignment horizontal="center" vertical="center"/>
    </xf>
    <xf numFmtId="0" fontId="27" fillId="14" borderId="87" xfId="0" applyFont="1" applyFill="1" applyBorder="1" applyAlignment="1" applyProtection="1">
      <alignment horizontal="center" vertical="center" wrapText="1"/>
    </xf>
    <xf numFmtId="2" fontId="0" fillId="0" borderId="87" xfId="0" applyNumberFormat="1" applyBorder="1"/>
    <xf numFmtId="0" fontId="62" fillId="0" borderId="0" xfId="0" applyFont="1" applyAlignment="1" applyProtection="1">
      <alignment horizontal="center" vertical="center"/>
    </xf>
    <xf numFmtId="0" fontId="27" fillId="0" borderId="0" xfId="0" applyFont="1" applyFill="1" applyBorder="1" applyAlignment="1" applyProtection="1">
      <alignment horizontal="left" vertical="center" indent="1"/>
    </xf>
    <xf numFmtId="49" fontId="28" fillId="0" borderId="0" xfId="0" applyNumberFormat="1" applyFont="1" applyFill="1" applyBorder="1" applyAlignment="1" applyProtection="1">
      <alignment horizontal="left" vertical="center" indent="1"/>
    </xf>
    <xf numFmtId="49" fontId="31" fillId="0" borderId="0" xfId="0" applyNumberFormat="1" applyFont="1" applyFill="1" applyBorder="1" applyAlignment="1" applyProtection="1">
      <alignment vertical="center"/>
    </xf>
    <xf numFmtId="0" fontId="67" fillId="0" borderId="0" xfId="0" applyFont="1" applyFill="1" applyBorder="1" applyAlignment="1" applyProtection="1">
      <alignment horizontal="center" vertical="center"/>
      <protection locked="0"/>
    </xf>
    <xf numFmtId="49" fontId="31" fillId="0" borderId="0" xfId="0" applyNumberFormat="1" applyFont="1" applyFill="1" applyBorder="1" applyAlignment="1" applyProtection="1">
      <alignment horizontal="right" vertical="center" indent="1"/>
    </xf>
    <xf numFmtId="0" fontId="28" fillId="0" borderId="0" xfId="0" applyFont="1" applyFill="1" applyBorder="1" applyAlignment="1" applyProtection="1">
      <alignment horizontal="left" indent="1"/>
    </xf>
    <xf numFmtId="0" fontId="28" fillId="0" borderId="0" xfId="0" applyFont="1" applyFill="1" applyBorder="1" applyAlignment="1" applyProtection="1">
      <alignment horizontal="left" vertical="center" wrapText="1" indent="1"/>
    </xf>
    <xf numFmtId="167" fontId="34" fillId="0" borderId="0"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1" fontId="10" fillId="0" borderId="0" xfId="0" applyNumberFormat="1" applyFont="1" applyFill="1" applyBorder="1" applyAlignment="1" applyProtection="1">
      <alignment horizontal="center" vertical="center"/>
      <protection locked="0"/>
    </xf>
    <xf numFmtId="167" fontId="0" fillId="0" borderId="0" xfId="0" applyNumberFormat="1" applyFont="1" applyFill="1" applyBorder="1" applyAlignment="1" applyProtection="1">
      <alignment horizontal="center" vertical="center" wrapText="1"/>
      <protection hidden="1"/>
    </xf>
    <xf numFmtId="167" fontId="45" fillId="0" borderId="0" xfId="0" applyNumberFormat="1" applyFont="1" applyFill="1" applyBorder="1" applyAlignment="1" applyProtection="1">
      <alignment horizontal="center" vertical="center"/>
    </xf>
    <xf numFmtId="49" fontId="28" fillId="0" borderId="0" xfId="0" applyNumberFormat="1" applyFont="1" applyFill="1" applyBorder="1" applyAlignment="1" applyProtection="1">
      <alignment vertical="center"/>
    </xf>
    <xf numFmtId="167" fontId="0" fillId="0" borderId="0" xfId="0" applyNumberFormat="1" applyFont="1" applyFill="1" applyBorder="1" applyAlignment="1" applyProtection="1">
      <alignment vertical="center" wrapText="1"/>
      <protection hidden="1"/>
    </xf>
    <xf numFmtId="167" fontId="0" fillId="32" borderId="80" xfId="0" applyNumberFormat="1" applyFont="1" applyFill="1" applyBorder="1" applyAlignment="1" applyProtection="1">
      <alignment horizontal="center" vertical="center" wrapText="1"/>
      <protection hidden="1"/>
    </xf>
    <xf numFmtId="0" fontId="25" fillId="0" borderId="190" xfId="0" applyFont="1" applyBorder="1" applyAlignment="1">
      <alignment horizontal="center" vertical="center"/>
    </xf>
    <xf numFmtId="0" fontId="27" fillId="0" borderId="155" xfId="0" applyFont="1" applyFill="1" applyBorder="1" applyAlignment="1">
      <alignment horizontal="center" vertical="center"/>
    </xf>
    <xf numFmtId="0" fontId="27" fillId="0" borderId="187" xfId="0" applyFont="1" applyFill="1" applyBorder="1" applyAlignment="1">
      <alignment horizontal="center" vertical="center" wrapText="1"/>
    </xf>
    <xf numFmtId="0" fontId="25" fillId="0" borderId="187" xfId="0" applyFont="1" applyBorder="1" applyAlignment="1">
      <alignment horizontal="center" vertical="center"/>
    </xf>
    <xf numFmtId="0" fontId="27" fillId="0" borderId="81" xfId="0" applyFont="1" applyFill="1" applyBorder="1" applyAlignment="1">
      <alignment horizontal="center" vertical="center" wrapText="1"/>
    </xf>
    <xf numFmtId="0" fontId="25" fillId="0" borderId="81" xfId="0" applyFont="1" applyBorder="1" applyAlignment="1">
      <alignment horizontal="center" vertical="center"/>
    </xf>
    <xf numFmtId="0" fontId="25" fillId="0" borderId="157" xfId="0" applyFont="1" applyBorder="1" applyAlignment="1">
      <alignment horizontal="center" vertical="center"/>
    </xf>
    <xf numFmtId="0" fontId="27" fillId="0" borderId="174" xfId="0" applyFont="1" applyFill="1" applyBorder="1" applyAlignment="1">
      <alignment vertical="center" wrapText="1"/>
    </xf>
    <xf numFmtId="167" fontId="33" fillId="0" borderId="87" xfId="0" applyNumberFormat="1" applyFont="1" applyFill="1" applyBorder="1" applyAlignment="1">
      <alignment horizontal="center" vertical="center"/>
    </xf>
    <xf numFmtId="2" fontId="31" fillId="0" borderId="87" xfId="0" applyNumberFormat="1" applyFont="1" applyFill="1" applyBorder="1" applyAlignment="1" applyProtection="1">
      <alignment horizontal="center" vertical="center"/>
    </xf>
    <xf numFmtId="0" fontId="28" fillId="14" borderId="80" xfId="0" applyFont="1" applyFill="1" applyBorder="1" applyAlignment="1" applyProtection="1">
      <alignment horizontal="center" vertical="center"/>
    </xf>
    <xf numFmtId="0" fontId="28" fillId="14" borderId="81" xfId="0" applyFont="1" applyFill="1" applyBorder="1" applyAlignment="1" applyProtection="1">
      <alignment horizontal="left" vertical="center" indent="1"/>
    </xf>
    <xf numFmtId="0" fontId="27" fillId="14" borderId="0" xfId="0" applyFont="1" applyFill="1" applyBorder="1" applyAlignment="1" applyProtection="1">
      <alignment horizontal="right" vertical="center" indent="1"/>
    </xf>
    <xf numFmtId="0" fontId="28" fillId="14" borderId="0" xfId="0" applyFont="1" applyFill="1" applyBorder="1" applyAlignment="1" applyProtection="1">
      <alignment horizontal="right" vertical="center" indent="1"/>
    </xf>
    <xf numFmtId="49" fontId="46" fillId="14" borderId="0" xfId="0" applyNumberFormat="1" applyFont="1" applyFill="1" applyBorder="1" applyAlignment="1" applyProtection="1">
      <alignment horizontal="left" vertical="center" indent="1"/>
    </xf>
    <xf numFmtId="0" fontId="27" fillId="0" borderId="87" xfId="0" applyFont="1" applyFill="1" applyBorder="1" applyAlignment="1">
      <alignment horizontal="center" vertical="center" wrapText="1"/>
    </xf>
    <xf numFmtId="49" fontId="28" fillId="14" borderId="0" xfId="0" applyNumberFormat="1" applyFont="1" applyFill="1" applyBorder="1" applyAlignment="1" applyProtection="1">
      <alignment horizontal="right" vertical="center" indent="1"/>
    </xf>
    <xf numFmtId="49" fontId="28" fillId="14" borderId="0" xfId="0" applyNumberFormat="1" applyFont="1" applyFill="1" applyBorder="1" applyAlignment="1" applyProtection="1">
      <alignment horizontal="center" vertical="center"/>
    </xf>
    <xf numFmtId="0" fontId="27" fillId="14" borderId="0" xfId="0" applyFont="1" applyFill="1" applyBorder="1" applyAlignment="1" applyProtection="1">
      <alignment horizontal="left" vertical="center" wrapText="1" indent="1"/>
    </xf>
    <xf numFmtId="0" fontId="28" fillId="14" borderId="0" xfId="0" applyFont="1" applyFill="1" applyBorder="1" applyAlignment="1" applyProtection="1">
      <alignment horizontal="right" vertical="center"/>
    </xf>
    <xf numFmtId="0" fontId="48" fillId="0" borderId="87" xfId="0" applyFont="1" applyFill="1" applyBorder="1" applyAlignment="1" applyProtection="1">
      <alignment horizontal="center" vertical="center"/>
    </xf>
    <xf numFmtId="167" fontId="45" fillId="58" borderId="87" xfId="0" applyNumberFormat="1" applyFont="1" applyFill="1" applyBorder="1" applyAlignment="1" applyProtection="1">
      <alignment horizontal="center" vertical="center"/>
    </xf>
    <xf numFmtId="1" fontId="28" fillId="31" borderId="80" xfId="0" applyNumberFormat="1" applyFont="1" applyFill="1" applyBorder="1" applyAlignment="1" applyProtection="1">
      <alignment horizontal="center" vertical="center"/>
    </xf>
    <xf numFmtId="1" fontId="28" fillId="31" borderId="157" xfId="0" applyNumberFormat="1" applyFont="1" applyFill="1" applyBorder="1" applyAlignment="1" applyProtection="1">
      <alignment horizontal="center" vertical="center"/>
    </xf>
    <xf numFmtId="1" fontId="28" fillId="31" borderId="158" xfId="0" applyNumberFormat="1" applyFont="1" applyFill="1" applyBorder="1" applyAlignment="1" applyProtection="1">
      <alignment horizontal="center" vertical="center"/>
    </xf>
    <xf numFmtId="2" fontId="27" fillId="29" borderId="157" xfId="0" applyNumberFormat="1" applyFont="1" applyFill="1" applyBorder="1" applyAlignment="1" applyProtection="1">
      <alignment horizontal="left" vertical="center"/>
    </xf>
    <xf numFmtId="2" fontId="27" fillId="29" borderId="158" xfId="0" applyNumberFormat="1" applyFont="1" applyFill="1" applyBorder="1" applyAlignment="1" applyProtection="1">
      <alignment horizontal="center" vertical="center"/>
    </xf>
    <xf numFmtId="0" fontId="0" fillId="29" borderId="168" xfId="0" applyFill="1" applyBorder="1" applyAlignment="1"/>
    <xf numFmtId="0" fontId="0" fillId="29" borderId="199" xfId="0" applyFill="1" applyBorder="1" applyAlignment="1"/>
    <xf numFmtId="0" fontId="31" fillId="29" borderId="87" xfId="0" applyFont="1" applyFill="1" applyBorder="1" applyAlignment="1">
      <alignment horizontal="center" vertical="center"/>
    </xf>
    <xf numFmtId="0" fontId="33" fillId="14" borderId="87" xfId="0" applyFont="1" applyFill="1" applyBorder="1" applyAlignment="1" applyProtection="1">
      <alignment horizontal="center" vertical="center"/>
    </xf>
    <xf numFmtId="0" fontId="27" fillId="0" borderId="0" xfId="0" applyFont="1" applyFill="1" applyBorder="1"/>
    <xf numFmtId="0" fontId="27" fillId="0" borderId="0" xfId="0" applyFont="1"/>
    <xf numFmtId="0" fontId="0" fillId="0" borderId="0" xfId="0" applyFill="1"/>
    <xf numFmtId="0" fontId="145" fillId="56" borderId="0" xfId="0" applyFont="1" applyFill="1" applyBorder="1" applyAlignment="1">
      <alignment horizontal="center" vertical="center"/>
    </xf>
    <xf numFmtId="1" fontId="0" fillId="0" borderId="87" xfId="0" applyNumberFormat="1" applyBorder="1" applyAlignment="1">
      <alignment horizontal="center"/>
    </xf>
    <xf numFmtId="0" fontId="145" fillId="0" borderId="0" xfId="0" applyFont="1" applyFill="1" applyBorder="1" applyAlignment="1">
      <alignment vertical="center"/>
    </xf>
    <xf numFmtId="0" fontId="27" fillId="57" borderId="87" xfId="0" applyFont="1" applyFill="1" applyBorder="1" applyAlignment="1">
      <alignment horizontal="center" vertical="center"/>
    </xf>
    <xf numFmtId="0" fontId="27" fillId="47" borderId="0" xfId="0" applyFont="1" applyFill="1" applyBorder="1" applyAlignment="1">
      <alignment horizontal="center" vertical="center"/>
    </xf>
    <xf numFmtId="0" fontId="0" fillId="47" borderId="0" xfId="0" applyFill="1" applyBorder="1" applyAlignment="1">
      <alignment horizontal="center"/>
    </xf>
    <xf numFmtId="0" fontId="27" fillId="47" borderId="0" xfId="0" applyFont="1" applyFill="1" applyBorder="1" applyAlignment="1">
      <alignment horizontal="center" vertical="center" wrapText="1"/>
    </xf>
    <xf numFmtId="0" fontId="27" fillId="0" borderId="0" xfId="0" applyFont="1" applyFill="1" applyAlignment="1">
      <alignment horizontal="center" vertical="center" wrapText="1"/>
    </xf>
    <xf numFmtId="0" fontId="0" fillId="0" borderId="0" xfId="0" applyBorder="1" applyAlignment="1">
      <alignment horizontal="center" wrapText="1"/>
    </xf>
    <xf numFmtId="0" fontId="0" fillId="0" borderId="187" xfId="0" applyBorder="1"/>
    <xf numFmtId="0" fontId="0" fillId="0" borderId="87" xfId="0" applyBorder="1" applyAlignment="1"/>
    <xf numFmtId="0" fontId="0" fillId="0" borderId="87" xfId="0" applyBorder="1" applyAlignment="1">
      <alignment horizontal="center" wrapText="1"/>
    </xf>
    <xf numFmtId="0" fontId="0" fillId="0" borderId="187" xfId="0" applyBorder="1" applyAlignment="1">
      <alignment horizontal="center" wrapText="1"/>
    </xf>
    <xf numFmtId="0" fontId="27" fillId="45" borderId="87" xfId="0" applyFont="1" applyFill="1" applyBorder="1" applyAlignment="1">
      <alignment vertical="center" wrapText="1"/>
    </xf>
    <xf numFmtId="0" fontId="27" fillId="47" borderId="0" xfId="0" applyFont="1" applyFill="1" applyBorder="1" applyAlignment="1">
      <alignment vertical="center" wrapText="1"/>
    </xf>
    <xf numFmtId="0" fontId="0" fillId="0" borderId="191" xfId="0" applyBorder="1" applyAlignment="1">
      <alignment horizontal="center"/>
    </xf>
    <xf numFmtId="167" fontId="0" fillId="0" borderId="87" xfId="0" applyNumberFormat="1" applyBorder="1" applyAlignment="1">
      <alignment horizontal="center"/>
    </xf>
    <xf numFmtId="167" fontId="0" fillId="0" borderId="0" xfId="0" applyNumberFormat="1" applyBorder="1" applyAlignment="1">
      <alignment horizontal="center"/>
    </xf>
    <xf numFmtId="167" fontId="0" fillId="0" borderId="187" xfId="0" applyNumberFormat="1" applyBorder="1" applyAlignment="1">
      <alignment horizontal="center"/>
    </xf>
    <xf numFmtId="0" fontId="0" fillId="0" borderId="87" xfId="0" applyBorder="1" applyAlignment="1">
      <alignment horizontal="center" vertical="center"/>
    </xf>
    <xf numFmtId="0" fontId="0" fillId="59" borderId="162" xfId="0" applyFill="1" applyBorder="1" applyAlignment="1" applyProtection="1">
      <alignment horizontal="left"/>
      <protection locked="0"/>
    </xf>
    <xf numFmtId="1" fontId="0" fillId="47" borderId="0" xfId="0" applyNumberFormat="1" applyFill="1" applyBorder="1" applyAlignment="1">
      <alignment horizontal="center"/>
    </xf>
    <xf numFmtId="1" fontId="0" fillId="0" borderId="0" xfId="0" applyNumberFormat="1"/>
    <xf numFmtId="2" fontId="0" fillId="0" borderId="87" xfId="0" applyNumberFormat="1" applyBorder="1" applyAlignment="1">
      <alignment horizontal="center"/>
    </xf>
    <xf numFmtId="2" fontId="0" fillId="0" borderId="187" xfId="0" applyNumberFormat="1" applyBorder="1" applyAlignment="1">
      <alignment horizontal="center"/>
    </xf>
    <xf numFmtId="1" fontId="0" fillId="0" borderId="187" xfId="0" applyNumberFormat="1" applyBorder="1" applyAlignment="1">
      <alignment horizontal="center"/>
    </xf>
    <xf numFmtId="0" fontId="27" fillId="0" borderId="87" xfId="0" applyFont="1" applyBorder="1" applyAlignment="1">
      <alignment horizontal="center"/>
    </xf>
    <xf numFmtId="3" fontId="27" fillId="0" borderId="87" xfId="0" applyNumberFormat="1" applyFont="1" applyBorder="1" applyAlignment="1">
      <alignment horizontal="center"/>
    </xf>
    <xf numFmtId="3" fontId="27" fillId="47" borderId="0" xfId="0" applyNumberFormat="1" applyFont="1" applyFill="1" applyBorder="1" applyAlignment="1">
      <alignment horizontal="center"/>
    </xf>
    <xf numFmtId="0" fontId="0" fillId="0" borderId="187" xfId="0" applyFill="1" applyBorder="1"/>
    <xf numFmtId="0" fontId="0" fillId="0" borderId="87" xfId="0" applyFill="1" applyBorder="1" applyAlignment="1">
      <alignment wrapText="1"/>
    </xf>
    <xf numFmtId="0" fontId="0" fillId="0" borderId="191" xfId="0" applyFill="1" applyBorder="1" applyAlignment="1">
      <alignment horizontal="center"/>
    </xf>
    <xf numFmtId="0" fontId="0" fillId="0" borderId="87" xfId="0" applyFont="1" applyFill="1" applyBorder="1" applyAlignment="1">
      <alignment horizontal="center"/>
    </xf>
    <xf numFmtId="167" fontId="0" fillId="0" borderId="0" xfId="0" applyNumberFormat="1"/>
    <xf numFmtId="0" fontId="0" fillId="47" borderId="0" xfId="0" applyFill="1" applyBorder="1" applyAlignment="1">
      <alignment horizontal="left"/>
    </xf>
    <xf numFmtId="0" fontId="0" fillId="0" borderId="195" xfId="0" applyFill="1" applyBorder="1"/>
    <xf numFmtId="4" fontId="0" fillId="47" borderId="0" xfId="0" applyNumberFormat="1" applyFill="1"/>
    <xf numFmtId="167" fontId="0" fillId="0" borderId="87" xfId="0" applyNumberFormat="1" applyFont="1" applyFill="1" applyBorder="1" applyAlignment="1">
      <alignment horizontal="center"/>
    </xf>
    <xf numFmtId="1" fontId="0" fillId="0" borderId="87" xfId="0" applyNumberFormat="1" applyFill="1" applyBorder="1"/>
    <xf numFmtId="0" fontId="0" fillId="0" borderId="190" xfId="0" applyFill="1" applyBorder="1"/>
    <xf numFmtId="49" fontId="25" fillId="10" borderId="94" xfId="0" applyNumberFormat="1" applyFont="1" applyFill="1" applyBorder="1" applyAlignment="1" applyProtection="1">
      <alignment horizontal="left" vertical="center" shrinkToFit="1"/>
      <protection locked="0"/>
    </xf>
    <xf numFmtId="0" fontId="0" fillId="0" borderId="0" xfId="0" applyFont="1"/>
    <xf numFmtId="0" fontId="31" fillId="34" borderId="165" xfId="0" applyFont="1" applyFill="1" applyBorder="1" applyAlignment="1" applyProtection="1">
      <alignment horizontal="center" vertical="center" wrapText="1"/>
      <protection locked="0"/>
    </xf>
    <xf numFmtId="3" fontId="33" fillId="34" borderId="192" xfId="0" applyNumberFormat="1" applyFont="1" applyFill="1" applyBorder="1" applyAlignment="1" applyProtection="1">
      <alignment horizontal="center" vertical="center"/>
      <protection locked="0"/>
    </xf>
    <xf numFmtId="3" fontId="33" fillId="34" borderId="167" xfId="0" applyNumberFormat="1" applyFont="1" applyFill="1" applyBorder="1" applyAlignment="1" applyProtection="1">
      <alignment horizontal="center" vertical="center"/>
      <protection locked="0"/>
    </xf>
    <xf numFmtId="3" fontId="31" fillId="34" borderId="167" xfId="0" applyNumberFormat="1" applyFont="1" applyFill="1" applyBorder="1" applyAlignment="1" applyProtection="1">
      <alignment horizontal="center" vertical="center"/>
      <protection locked="0"/>
    </xf>
    <xf numFmtId="1" fontId="132" fillId="0" borderId="87" xfId="0" applyNumberFormat="1" applyFont="1" applyFill="1" applyBorder="1" applyAlignment="1" applyProtection="1">
      <alignment horizontal="center" vertical="center" shrinkToFit="1"/>
    </xf>
    <xf numFmtId="0" fontId="0" fillId="0" borderId="87" xfId="0" applyBorder="1" applyAlignment="1">
      <alignment horizontal="center"/>
    </xf>
    <xf numFmtId="0" fontId="27" fillId="14" borderId="0" xfId="0" applyFont="1" applyFill="1" applyBorder="1" applyAlignment="1" applyProtection="1">
      <alignment wrapText="1"/>
    </xf>
    <xf numFmtId="0" fontId="0" fillId="61" borderId="0" xfId="0" applyFont="1" applyFill="1" applyProtection="1"/>
    <xf numFmtId="0" fontId="27" fillId="14" borderId="0" xfId="0" applyFont="1" applyFill="1" applyBorder="1" applyAlignment="1" applyProtection="1">
      <alignment horizontal="center" vertical="center"/>
    </xf>
    <xf numFmtId="0" fontId="0" fillId="0" borderId="0" xfId="0" applyFont="1" applyFill="1" applyBorder="1"/>
    <xf numFmtId="0" fontId="10" fillId="0" borderId="204" xfId="0" applyFont="1" applyBorder="1" applyAlignment="1">
      <alignment horizontal="center" vertical="center"/>
    </xf>
    <xf numFmtId="0" fontId="0" fillId="0" borderId="16" xfId="0" applyFont="1" applyBorder="1" applyAlignment="1">
      <alignment horizontal="center" vertical="center"/>
    </xf>
    <xf numFmtId="1" fontId="31" fillId="31" borderId="87" xfId="0" applyNumberFormat="1" applyFont="1" applyFill="1" applyBorder="1" applyAlignment="1" applyProtection="1">
      <alignment horizontal="center" vertical="center"/>
    </xf>
    <xf numFmtId="0" fontId="0" fillId="0" borderId="0" xfId="0" applyFill="1"/>
    <xf numFmtId="0" fontId="2" fillId="19" borderId="94" xfId="0" applyFont="1" applyFill="1" applyBorder="1" applyAlignment="1" applyProtection="1">
      <alignment horizontal="center" vertical="center"/>
    </xf>
    <xf numFmtId="10" fontId="87" fillId="11" borderId="94" xfId="2765" applyNumberFormat="1" applyFill="1" applyBorder="1" applyAlignment="1" applyProtection="1">
      <alignment horizontal="center" vertical="center"/>
      <protection locked="0"/>
    </xf>
    <xf numFmtId="2" fontId="87" fillId="11" borderId="94" xfId="2765" applyNumberFormat="1" applyFill="1" applyBorder="1" applyAlignment="1" applyProtection="1">
      <alignment horizontal="center" vertical="center"/>
      <protection locked="0"/>
    </xf>
    <xf numFmtId="0" fontId="0" fillId="0" borderId="0" xfId="0" applyFill="1" applyBorder="1" applyAlignment="1">
      <alignment horizontal="center"/>
    </xf>
    <xf numFmtId="0" fontId="28" fillId="18" borderId="87" xfId="2821" applyFont="1" applyFill="1" applyBorder="1" applyAlignment="1" applyProtection="1">
      <alignment horizontal="center" vertical="center" wrapText="1"/>
      <protection locked="0"/>
    </xf>
    <xf numFmtId="0" fontId="0" fillId="11" borderId="94" xfId="0" applyNumberFormat="1" applyFont="1" applyFill="1" applyBorder="1" applyAlignment="1" applyProtection="1">
      <alignment horizontal="center" vertical="center" shrinkToFit="1"/>
      <protection locked="0"/>
    </xf>
    <xf numFmtId="0" fontId="0" fillId="19" borderId="94" xfId="0" applyNumberFormat="1" applyFont="1" applyFill="1" applyBorder="1" applyAlignment="1" applyProtection="1">
      <alignment horizontal="center" vertical="center" shrinkToFit="1"/>
    </xf>
    <xf numFmtId="166" fontId="0" fillId="35" borderId="94" xfId="0" applyNumberFormat="1" applyFont="1" applyFill="1" applyBorder="1" applyAlignment="1" applyProtection="1">
      <alignment horizontal="center" vertical="center" shrinkToFit="1"/>
      <protection locked="0"/>
    </xf>
    <xf numFmtId="3" fontId="0" fillId="35" borderId="94" xfId="0" applyNumberFormat="1" applyFont="1" applyFill="1" applyBorder="1" applyAlignment="1" applyProtection="1">
      <alignment horizontal="center" vertical="center" shrinkToFit="1"/>
      <protection locked="0"/>
    </xf>
    <xf numFmtId="0" fontId="0" fillId="19" borderId="100" xfId="0" applyNumberFormat="1" applyFont="1" applyFill="1" applyBorder="1" applyAlignment="1" applyProtection="1">
      <alignment horizontal="center" vertical="center" shrinkToFit="1"/>
    </xf>
    <xf numFmtId="0" fontId="32" fillId="47" borderId="0" xfId="0" applyFont="1" applyFill="1" applyBorder="1" applyAlignment="1" applyProtection="1">
      <alignment horizontal="center"/>
    </xf>
    <xf numFmtId="0" fontId="58" fillId="47" borderId="0" xfId="0" applyFont="1" applyFill="1" applyBorder="1" applyAlignment="1" applyProtection="1">
      <alignment vertical="center" wrapText="1"/>
    </xf>
    <xf numFmtId="166" fontId="117" fillId="47" borderId="0" xfId="0" applyNumberFormat="1" applyFont="1" applyFill="1" applyBorder="1" applyAlignment="1" applyProtection="1">
      <alignment horizontal="center" vertical="center" shrinkToFit="1"/>
    </xf>
    <xf numFmtId="167" fontId="117" fillId="47" borderId="0" xfId="0" applyNumberFormat="1" applyFont="1" applyFill="1" applyBorder="1" applyAlignment="1" applyProtection="1">
      <alignment horizontal="center" vertical="center" shrinkToFit="1"/>
    </xf>
    <xf numFmtId="0" fontId="120" fillId="29" borderId="106" xfId="0" applyFont="1" applyFill="1" applyBorder="1" applyAlignment="1" applyProtection="1">
      <alignment horizontal="left" vertical="center"/>
    </xf>
    <xf numFmtId="0" fontId="120" fillId="29" borderId="107" xfId="0" applyFont="1" applyFill="1" applyBorder="1" applyAlignment="1" applyProtection="1">
      <alignment horizontal="left" vertical="center"/>
    </xf>
    <xf numFmtId="0" fontId="32" fillId="11" borderId="107" xfId="0" applyFont="1" applyFill="1" applyBorder="1" applyAlignment="1" applyProtection="1">
      <alignment horizontal="center" vertical="center"/>
      <protection locked="0"/>
    </xf>
    <xf numFmtId="0" fontId="32" fillId="11" borderId="98" xfId="0" applyFont="1" applyFill="1" applyBorder="1" applyAlignment="1" applyProtection="1">
      <alignment horizontal="center" vertical="center"/>
      <protection locked="0"/>
    </xf>
    <xf numFmtId="3" fontId="32" fillId="11" borderId="98" xfId="0" applyNumberFormat="1" applyFont="1" applyFill="1" applyBorder="1" applyAlignment="1" applyProtection="1">
      <alignment horizontal="center" vertical="center"/>
      <protection locked="0"/>
    </xf>
    <xf numFmtId="0" fontId="110" fillId="47" borderId="0" xfId="0" applyFont="1" applyFill="1" applyBorder="1" applyAlignment="1" applyProtection="1">
      <alignment vertical="center"/>
    </xf>
    <xf numFmtId="0" fontId="117" fillId="47" borderId="0" xfId="0" applyFont="1" applyFill="1" applyBorder="1" applyAlignment="1" applyProtection="1">
      <alignment vertical="center"/>
    </xf>
    <xf numFmtId="0" fontId="120" fillId="47" borderId="0" xfId="0" applyFont="1" applyFill="1" applyBorder="1" applyAlignment="1" applyProtection="1">
      <alignment horizontal="left" vertical="center"/>
    </xf>
    <xf numFmtId="0" fontId="120" fillId="47" borderId="0" xfId="0" applyFont="1" applyFill="1" applyBorder="1" applyAlignment="1">
      <alignment vertical="center"/>
    </xf>
    <xf numFmtId="0" fontId="120" fillId="47" borderId="0" xfId="0" applyFont="1" applyFill="1" applyBorder="1" applyAlignment="1" applyProtection="1">
      <alignment horizontal="right" vertical="center"/>
    </xf>
    <xf numFmtId="0" fontId="30" fillId="47" borderId="0" xfId="0" applyFont="1" applyFill="1" applyBorder="1" applyAlignment="1" applyProtection="1">
      <alignment horizontal="center" vertical="center"/>
    </xf>
    <xf numFmtId="0" fontId="122" fillId="47" borderId="0" xfId="0" applyFont="1" applyFill="1" applyBorder="1" applyAlignment="1" applyProtection="1">
      <alignment vertical="center"/>
    </xf>
    <xf numFmtId="0" fontId="120" fillId="29" borderId="87" xfId="0" applyFont="1" applyFill="1" applyBorder="1" applyAlignment="1" applyProtection="1">
      <alignment horizontal="center" vertical="center" wrapText="1"/>
    </xf>
    <xf numFmtId="0" fontId="120" fillId="29" borderId="87" xfId="2764" applyNumberFormat="1" applyFont="1" applyFill="1" applyBorder="1" applyAlignment="1" applyProtection="1">
      <alignment horizontal="center" vertical="center" wrapText="1"/>
    </xf>
    <xf numFmtId="0" fontId="121" fillId="29" borderId="87" xfId="0" applyFont="1" applyFill="1" applyBorder="1" applyAlignment="1" applyProtection="1">
      <alignment horizontal="center" vertical="center" wrapText="1"/>
    </xf>
    <xf numFmtId="0" fontId="120" fillId="29" borderId="87" xfId="2764" applyNumberFormat="1" applyFont="1" applyFill="1" applyBorder="1" applyAlignment="1" applyProtection="1">
      <alignment horizontal="center" vertical="center" shrinkToFit="1"/>
    </xf>
    <xf numFmtId="0" fontId="120" fillId="29" borderId="207" xfId="0" applyFont="1" applyFill="1" applyBorder="1" applyAlignment="1" applyProtection="1">
      <alignment horizontal="left" vertical="center"/>
    </xf>
    <xf numFmtId="0" fontId="120" fillId="29" borderId="209" xfId="0" applyFont="1" applyFill="1" applyBorder="1" applyAlignment="1" applyProtection="1">
      <alignment horizontal="left" vertical="center"/>
    </xf>
    <xf numFmtId="0" fontId="120" fillId="29" borderId="211" xfId="0" applyFont="1" applyFill="1" applyBorder="1" applyAlignment="1" applyProtection="1">
      <alignment horizontal="left" vertical="center"/>
    </xf>
    <xf numFmtId="0" fontId="120" fillId="29" borderId="212" xfId="0" applyFont="1" applyFill="1" applyBorder="1" applyAlignment="1" applyProtection="1">
      <alignment horizontal="left" vertical="center"/>
    </xf>
    <xf numFmtId="0" fontId="120" fillId="29" borderId="213" xfId="0" applyFont="1" applyFill="1" applyBorder="1" applyAlignment="1" applyProtection="1">
      <alignment horizontal="left" vertical="center"/>
    </xf>
    <xf numFmtId="0" fontId="32" fillId="11" borderId="214" xfId="0" applyFont="1" applyFill="1" applyBorder="1" applyAlignment="1" applyProtection="1">
      <alignment horizontal="center" vertical="center"/>
      <protection locked="0"/>
    </xf>
    <xf numFmtId="3" fontId="32" fillId="11" borderId="214" xfId="0" applyNumberFormat="1" applyFont="1" applyFill="1" applyBorder="1" applyAlignment="1" applyProtection="1">
      <alignment horizontal="center" vertical="center"/>
      <protection locked="0"/>
    </xf>
    <xf numFmtId="0" fontId="111" fillId="29" borderId="211" xfId="0" applyFont="1" applyFill="1" applyBorder="1" applyAlignment="1" applyProtection="1">
      <alignment horizontal="left" vertical="center"/>
    </xf>
    <xf numFmtId="0" fontId="33" fillId="29" borderId="212" xfId="0" applyFont="1" applyFill="1" applyBorder="1" applyAlignment="1" applyProtection="1">
      <alignment shrinkToFit="1"/>
    </xf>
    <xf numFmtId="0" fontId="33" fillId="29" borderId="213" xfId="0" applyFont="1" applyFill="1" applyBorder="1" applyAlignment="1" applyProtection="1">
      <alignment shrinkToFit="1"/>
    </xf>
    <xf numFmtId="0" fontId="28" fillId="29" borderId="96" xfId="0" applyFont="1" applyFill="1" applyBorder="1" applyAlignment="1" applyProtection="1">
      <alignment horizontal="left" vertical="center"/>
    </xf>
    <xf numFmtId="3" fontId="27" fillId="11" borderId="94" xfId="0" applyNumberFormat="1" applyFont="1" applyFill="1" applyBorder="1" applyAlignment="1" applyProtection="1">
      <alignment horizontal="center" vertical="center" wrapText="1"/>
      <protection locked="0"/>
    </xf>
    <xf numFmtId="166" fontId="0" fillId="11" borderId="94" xfId="0" applyNumberFormat="1" applyFont="1" applyFill="1" applyBorder="1" applyAlignment="1" applyProtection="1">
      <alignment horizontal="center" vertical="center" wrapText="1"/>
      <protection locked="0"/>
    </xf>
    <xf numFmtId="9" fontId="24" fillId="11" borderId="94" xfId="2765" applyFont="1" applyFill="1" applyBorder="1" applyAlignment="1" applyProtection="1">
      <alignment horizontal="center" vertical="center" wrapText="1"/>
      <protection locked="0"/>
    </xf>
    <xf numFmtId="4" fontId="0" fillId="11" borderId="94" xfId="0" applyNumberFormat="1" applyFont="1" applyFill="1" applyBorder="1" applyAlignment="1" applyProtection="1">
      <alignment horizontal="center" vertical="center" wrapText="1"/>
      <protection locked="0"/>
    </xf>
    <xf numFmtId="3" fontId="27" fillId="19" borderId="94" xfId="0" applyNumberFormat="1" applyFont="1" applyFill="1" applyBorder="1" applyAlignment="1" applyProtection="1">
      <alignment horizontal="center" vertical="center"/>
    </xf>
    <xf numFmtId="3" fontId="0" fillId="19" borderId="94" xfId="0" applyNumberFormat="1" applyFont="1" applyFill="1" applyBorder="1" applyAlignment="1" applyProtection="1">
      <alignment horizontal="center" vertical="center"/>
    </xf>
    <xf numFmtId="9" fontId="24" fillId="19" borderId="94" xfId="2765" applyFont="1" applyFill="1" applyBorder="1" applyAlignment="1" applyProtection="1">
      <alignment horizontal="center" vertical="center"/>
    </xf>
    <xf numFmtId="3" fontId="33" fillId="0" borderId="94" xfId="0" applyNumberFormat="1" applyFont="1" applyFill="1" applyBorder="1" applyAlignment="1" applyProtection="1">
      <alignment horizontal="center" vertical="center"/>
    </xf>
    <xf numFmtId="3" fontId="27" fillId="11" borderId="98" xfId="0" applyNumberFormat="1" applyFont="1" applyFill="1" applyBorder="1" applyAlignment="1" applyProtection="1">
      <alignment horizontal="center" vertical="center" wrapText="1"/>
      <protection locked="0"/>
    </xf>
    <xf numFmtId="166" fontId="0" fillId="11" borderId="98" xfId="0" applyNumberFormat="1" applyFont="1" applyFill="1" applyBorder="1" applyAlignment="1" applyProtection="1">
      <alignment horizontal="center" vertical="center" wrapText="1"/>
      <protection locked="0"/>
    </xf>
    <xf numFmtId="9" fontId="24" fillId="11" borderId="98" xfId="2765" applyFont="1" applyFill="1" applyBorder="1" applyAlignment="1" applyProtection="1">
      <alignment horizontal="center" vertical="center" wrapText="1"/>
      <protection locked="0"/>
    </xf>
    <xf numFmtId="4" fontId="0" fillId="11" borderId="98" xfId="0" applyNumberFormat="1" applyFont="1" applyFill="1" applyBorder="1" applyAlignment="1" applyProtection="1">
      <alignment horizontal="center" vertical="center" wrapText="1"/>
      <protection locked="0"/>
    </xf>
    <xf numFmtId="3" fontId="27" fillId="19" borderId="98" xfId="0" applyNumberFormat="1" applyFont="1" applyFill="1" applyBorder="1" applyAlignment="1" applyProtection="1">
      <alignment horizontal="center" vertical="center"/>
    </xf>
    <xf numFmtId="3" fontId="0" fillId="19" borderId="98" xfId="0" applyNumberFormat="1" applyFont="1" applyFill="1" applyBorder="1" applyAlignment="1" applyProtection="1">
      <alignment horizontal="center" vertical="center"/>
    </xf>
    <xf numFmtId="9" fontId="24" fillId="19" borderId="98" xfId="2765" applyFont="1" applyFill="1" applyBorder="1" applyAlignment="1" applyProtection="1">
      <alignment horizontal="center" vertical="center"/>
    </xf>
    <xf numFmtId="3" fontId="27" fillId="0" borderId="94" xfId="0" applyNumberFormat="1" applyFont="1" applyFill="1" applyBorder="1" applyAlignment="1" applyProtection="1">
      <alignment horizontal="center" vertical="center"/>
    </xf>
    <xf numFmtId="3" fontId="0" fillId="0" borderId="94" xfId="0" applyNumberFormat="1" applyFont="1" applyFill="1" applyBorder="1" applyAlignment="1" applyProtection="1">
      <alignment horizontal="center" vertical="center"/>
    </xf>
    <xf numFmtId="3" fontId="33" fillId="29" borderId="94" xfId="0" applyNumberFormat="1" applyFont="1" applyFill="1" applyBorder="1" applyAlignment="1" applyProtection="1">
      <alignment horizontal="center" vertical="center"/>
    </xf>
    <xf numFmtId="0" fontId="31" fillId="36" borderId="94" xfId="0" applyFont="1" applyFill="1" applyBorder="1" applyAlignment="1" applyProtection="1">
      <alignment horizontal="center" vertical="center" wrapText="1"/>
    </xf>
    <xf numFmtId="0" fontId="31" fillId="63" borderId="87" xfId="0" applyFont="1" applyFill="1" applyBorder="1" applyAlignment="1" applyProtection="1">
      <alignment horizontal="center" vertical="center" wrapText="1"/>
    </xf>
    <xf numFmtId="0" fontId="0" fillId="0" borderId="97" xfId="0" applyFont="1" applyFill="1" applyBorder="1" applyAlignment="1">
      <alignment horizontal="left" vertical="center"/>
    </xf>
    <xf numFmtId="166" fontId="27" fillId="0" borderId="94" xfId="0" applyNumberFormat="1" applyFont="1" applyFill="1" applyBorder="1" applyAlignment="1" applyProtection="1">
      <alignment horizontal="center" vertical="center" shrinkToFit="1"/>
    </xf>
    <xf numFmtId="9" fontId="24" fillId="33" borderId="94" xfId="2765" applyFont="1" applyFill="1" applyBorder="1" applyAlignment="1" applyProtection="1">
      <alignment horizontal="center" vertical="center"/>
      <protection locked="0" hidden="1"/>
    </xf>
    <xf numFmtId="166" fontId="27" fillId="0" borderId="94" xfId="0" applyNumberFormat="1" applyFont="1" applyFill="1" applyBorder="1" applyAlignment="1" applyProtection="1">
      <alignment horizontal="center" vertical="center"/>
    </xf>
    <xf numFmtId="3" fontId="27" fillId="33" borderId="94" xfId="0" applyNumberFormat="1" applyFont="1" applyFill="1" applyBorder="1" applyAlignment="1" applyProtection="1">
      <alignment horizontal="center" vertical="center" shrinkToFit="1"/>
      <protection locked="0"/>
    </xf>
    <xf numFmtId="3" fontId="38" fillId="33" borderId="94" xfId="0" applyNumberFormat="1" applyFont="1" applyFill="1" applyBorder="1" applyAlignment="1" applyProtection="1">
      <alignment horizontal="center" vertical="center"/>
      <protection locked="0"/>
    </xf>
    <xf numFmtId="167" fontId="0" fillId="0" borderId="94" xfId="0" applyNumberFormat="1" applyFont="1" applyFill="1" applyBorder="1" applyAlignment="1" applyProtection="1">
      <alignment horizontal="center" vertical="center"/>
    </xf>
    <xf numFmtId="2" fontId="0" fillId="0" borderId="94" xfId="0" applyNumberFormat="1" applyFont="1" applyFill="1" applyBorder="1" applyAlignment="1" applyProtection="1">
      <alignment horizontal="center" vertical="center"/>
    </xf>
    <xf numFmtId="9" fontId="0" fillId="0" borderId="94" xfId="0" applyNumberFormat="1" applyFont="1" applyFill="1" applyBorder="1" applyAlignment="1" applyProtection="1">
      <alignment horizontal="center" vertical="center"/>
    </xf>
    <xf numFmtId="0" fontId="0" fillId="0" borderId="209" xfId="0" applyFont="1" applyFill="1" applyBorder="1" applyAlignment="1">
      <alignment horizontal="left" vertical="center"/>
    </xf>
    <xf numFmtId="9" fontId="0" fillId="0" borderId="226" xfId="0" applyNumberFormat="1" applyFont="1" applyFill="1" applyBorder="1" applyAlignment="1">
      <alignment horizontal="center" vertical="center"/>
    </xf>
    <xf numFmtId="9" fontId="0" fillId="0" borderId="227" xfId="0" applyNumberFormat="1" applyFont="1" applyFill="1" applyBorder="1" applyAlignment="1">
      <alignment horizontal="center" vertical="center"/>
    </xf>
    <xf numFmtId="9" fontId="0" fillId="0" borderId="219" xfId="0" applyNumberFormat="1" applyFont="1" applyFill="1" applyBorder="1" applyAlignment="1">
      <alignment horizontal="center" vertical="center"/>
    </xf>
    <xf numFmtId="0" fontId="0" fillId="0" borderId="200" xfId="0" applyFont="1" applyFill="1" applyBorder="1"/>
    <xf numFmtId="0" fontId="0" fillId="0" borderId="211" xfId="0" applyFont="1" applyFill="1" applyBorder="1" applyAlignment="1">
      <alignment horizontal="left" vertical="center"/>
    </xf>
    <xf numFmtId="0" fontId="0" fillId="0" borderId="213" xfId="0" applyFont="1" applyFill="1" applyBorder="1" applyAlignment="1">
      <alignment horizontal="left" vertical="center"/>
    </xf>
    <xf numFmtId="170" fontId="38" fillId="33" borderId="214" xfId="2196" applyNumberFormat="1" applyFont="1" applyFill="1" applyBorder="1" applyAlignment="1" applyProtection="1">
      <alignment horizontal="center" vertical="center" shrinkToFit="1"/>
      <protection locked="0" hidden="1"/>
    </xf>
    <xf numFmtId="9" fontId="24" fillId="0" borderId="214" xfId="2765" applyFont="1" applyFill="1" applyBorder="1" applyAlignment="1" applyProtection="1">
      <alignment horizontal="center" vertical="center"/>
      <protection hidden="1"/>
    </xf>
    <xf numFmtId="9" fontId="24" fillId="33" borderId="214" xfId="2765" applyFont="1" applyFill="1" applyBorder="1" applyAlignment="1" applyProtection="1">
      <alignment horizontal="center" vertical="center"/>
      <protection locked="0" hidden="1"/>
    </xf>
    <xf numFmtId="9" fontId="0" fillId="0" borderId="230" xfId="0" applyNumberFormat="1" applyFont="1" applyFill="1" applyBorder="1" applyAlignment="1">
      <alignment horizontal="center" vertical="center"/>
    </xf>
    <xf numFmtId="0" fontId="0" fillId="0" borderId="231" xfId="0" applyFont="1" applyFill="1" applyBorder="1"/>
    <xf numFmtId="0" fontId="0" fillId="0" borderId="202" xfId="0" applyFont="1" applyFill="1" applyBorder="1"/>
    <xf numFmtId="0" fontId="0" fillId="0" borderId="207" xfId="0" applyFont="1" applyFill="1" applyBorder="1" applyAlignment="1">
      <alignment horizontal="left" vertical="center"/>
    </xf>
    <xf numFmtId="0" fontId="0" fillId="0" borderId="107" xfId="0" applyFont="1" applyFill="1" applyBorder="1" applyAlignment="1">
      <alignment horizontal="left" vertical="center"/>
    </xf>
    <xf numFmtId="166" fontId="27" fillId="0" borderId="107" xfId="0" applyNumberFormat="1" applyFont="1" applyFill="1" applyBorder="1" applyAlignment="1" applyProtection="1">
      <alignment horizontal="center" vertical="center" shrinkToFit="1"/>
    </xf>
    <xf numFmtId="166" fontId="27" fillId="0" borderId="98" xfId="0" applyNumberFormat="1" applyFont="1" applyFill="1" applyBorder="1" applyAlignment="1" applyProtection="1">
      <alignment horizontal="center" vertical="center" shrinkToFit="1"/>
    </xf>
    <xf numFmtId="0" fontId="0" fillId="0" borderId="98" xfId="0" applyFont="1" applyFill="1" applyBorder="1" applyAlignment="1">
      <alignment horizontal="center" vertical="center"/>
    </xf>
    <xf numFmtId="0" fontId="28" fillId="29" borderId="232" xfId="0" applyFont="1" applyFill="1" applyBorder="1" applyAlignment="1">
      <alignment horizontal="left" vertical="center"/>
    </xf>
    <xf numFmtId="0" fontId="31" fillId="29" borderId="233" xfId="0" applyFont="1" applyFill="1" applyBorder="1" applyAlignment="1">
      <alignment horizontal="left" vertical="center"/>
    </xf>
    <xf numFmtId="0" fontId="2" fillId="29" borderId="233" xfId="0" applyFont="1" applyFill="1" applyBorder="1" applyAlignment="1">
      <alignment horizontal="center" vertical="center" wrapText="1"/>
    </xf>
    <xf numFmtId="0" fontId="33" fillId="29" borderId="233" xfId="0" applyFont="1" applyFill="1" applyBorder="1" applyAlignment="1">
      <alignment horizontal="center" vertical="center" wrapText="1"/>
    </xf>
    <xf numFmtId="0" fontId="27" fillId="29" borderId="221" xfId="0" applyFont="1" applyFill="1" applyBorder="1" applyAlignment="1">
      <alignment horizontal="center" vertical="center" wrapText="1"/>
    </xf>
    <xf numFmtId="0" fontId="62" fillId="29" borderId="221" xfId="0" applyFont="1" applyFill="1" applyBorder="1" applyAlignment="1">
      <alignment horizontal="center" vertical="center" wrapText="1"/>
    </xf>
    <xf numFmtId="0" fontId="45" fillId="29" borderId="221" xfId="0" applyFont="1" applyFill="1" applyBorder="1" applyAlignment="1" applyProtection="1">
      <alignment horizontal="center" vertical="center" wrapText="1"/>
    </xf>
    <xf numFmtId="0" fontId="38" fillId="29" borderId="221" xfId="0" applyFont="1" applyFill="1" applyBorder="1" applyAlignment="1" applyProtection="1">
      <alignment horizontal="center" vertical="center" wrapText="1"/>
    </xf>
    <xf numFmtId="0" fontId="2" fillId="29" borderId="221" xfId="0" applyFont="1" applyFill="1" applyBorder="1" applyAlignment="1" applyProtection="1">
      <alignment horizontal="center" vertical="center" wrapText="1"/>
    </xf>
    <xf numFmtId="0" fontId="24" fillId="29" borderId="221" xfId="0" applyFont="1" applyFill="1" applyBorder="1" applyAlignment="1" applyProtection="1">
      <alignment horizontal="center" vertical="center" wrapText="1"/>
    </xf>
    <xf numFmtId="0" fontId="32" fillId="29" borderId="221" xfId="0" applyFont="1" applyFill="1" applyBorder="1" applyAlignment="1" applyProtection="1">
      <alignment horizontal="center" vertical="center" wrapText="1"/>
    </xf>
    <xf numFmtId="0" fontId="32" fillId="29" borderId="225" xfId="0" applyFont="1" applyFill="1" applyBorder="1" applyAlignment="1" applyProtection="1">
      <alignment horizontal="center" vertical="center" wrapText="1"/>
    </xf>
    <xf numFmtId="0" fontId="27" fillId="0" borderId="217" xfId="0" applyFont="1" applyFill="1" applyBorder="1" applyAlignment="1" applyProtection="1">
      <alignment horizontal="left" vertical="center" wrapText="1"/>
    </xf>
    <xf numFmtId="2" fontId="24" fillId="0" borderId="210" xfId="2765" applyNumberFormat="1" applyFont="1" applyFill="1" applyBorder="1" applyAlignment="1" applyProtection="1">
      <alignment horizontal="center" vertical="center"/>
      <protection hidden="1"/>
    </xf>
    <xf numFmtId="0" fontId="45" fillId="0" borderId="237" xfId="0" applyFont="1" applyFill="1" applyBorder="1" applyAlignment="1" applyProtection="1">
      <alignment horizontal="left" vertical="center" wrapText="1"/>
    </xf>
    <xf numFmtId="170" fontId="38" fillId="33" borderId="214" xfId="2196" applyNumberFormat="1" applyFont="1" applyFill="1" applyBorder="1" applyAlignment="1" applyProtection="1">
      <alignment horizontal="left" vertical="center"/>
      <protection locked="0" hidden="1"/>
    </xf>
    <xf numFmtId="166" fontId="27" fillId="0" borderId="214" xfId="0" applyNumberFormat="1" applyFont="1" applyFill="1" applyBorder="1" applyAlignment="1" applyProtection="1">
      <alignment horizontal="center" vertical="center"/>
    </xf>
    <xf numFmtId="3" fontId="27" fillId="33" borderId="214" xfId="0" applyNumberFormat="1" applyFont="1" applyFill="1" applyBorder="1" applyAlignment="1" applyProtection="1">
      <alignment horizontal="center" vertical="center" shrinkToFit="1"/>
      <protection locked="0"/>
    </xf>
    <xf numFmtId="3" fontId="38" fillId="33" borderId="214" xfId="0" applyNumberFormat="1" applyFont="1" applyFill="1" applyBorder="1" applyAlignment="1" applyProtection="1">
      <alignment horizontal="center" vertical="center"/>
      <protection locked="0"/>
    </xf>
    <xf numFmtId="167" fontId="0" fillId="0" borderId="214" xfId="0" applyNumberFormat="1" applyFont="1" applyFill="1" applyBorder="1" applyAlignment="1" applyProtection="1">
      <alignment horizontal="center" vertical="center"/>
    </xf>
    <xf numFmtId="2" fontId="0" fillId="0" borderId="214" xfId="0" applyNumberFormat="1" applyFont="1" applyFill="1" applyBorder="1" applyAlignment="1" applyProtection="1">
      <alignment horizontal="center" vertical="center"/>
    </xf>
    <xf numFmtId="9" fontId="0" fillId="0" borderId="214" xfId="0" applyNumberFormat="1" applyFont="1" applyFill="1" applyBorder="1" applyAlignment="1" applyProtection="1">
      <alignment horizontal="center" vertical="center"/>
    </xf>
    <xf numFmtId="2" fontId="24" fillId="0" borderId="215" xfId="2765" applyNumberFormat="1" applyFont="1" applyFill="1" applyBorder="1" applyAlignment="1" applyProtection="1">
      <alignment horizontal="center" vertical="center"/>
      <protection hidden="1"/>
    </xf>
    <xf numFmtId="0" fontId="28" fillId="29" borderId="221" xfId="0" applyFont="1" applyFill="1" applyBorder="1" applyAlignment="1">
      <alignment horizontal="center" vertical="center" wrapText="1"/>
    </xf>
    <xf numFmtId="0" fontId="10" fillId="29" borderId="221" xfId="0" applyFont="1" applyFill="1" applyBorder="1" applyAlignment="1" applyProtection="1">
      <alignment horizontal="center" vertical="center" wrapText="1"/>
    </xf>
    <xf numFmtId="0" fontId="2" fillId="29" borderId="221" xfId="0" applyFont="1" applyFill="1" applyBorder="1" applyAlignment="1" applyProtection="1">
      <alignment horizontal="center" vertical="center"/>
    </xf>
    <xf numFmtId="0" fontId="71" fillId="0" borderId="80" xfId="0" applyFont="1" applyFill="1" applyBorder="1"/>
    <xf numFmtId="0" fontId="0" fillId="0" borderId="188" xfId="0" applyFill="1" applyBorder="1"/>
    <xf numFmtId="0" fontId="0" fillId="0" borderId="81" xfId="0" applyFill="1" applyBorder="1"/>
    <xf numFmtId="167" fontId="33" fillId="47" borderId="0" xfId="0" applyNumberFormat="1" applyFont="1" applyFill="1" applyBorder="1" applyAlignment="1" applyProtection="1">
      <alignment horizontal="left" vertical="center"/>
    </xf>
    <xf numFmtId="0" fontId="24" fillId="47" borderId="0" xfId="0" applyFont="1" applyFill="1" applyAlignment="1">
      <alignment vertical="top"/>
    </xf>
    <xf numFmtId="9" fontId="2" fillId="47" borderId="0" xfId="2765" applyFont="1" applyFill="1" applyBorder="1" applyAlignment="1" applyProtection="1">
      <alignment horizontal="center" vertical="center"/>
      <protection hidden="1"/>
    </xf>
    <xf numFmtId="0" fontId="24" fillId="47" borderId="0" xfId="0" applyFont="1" applyFill="1" applyBorder="1" applyAlignment="1">
      <alignment horizontal="right" vertical="top"/>
    </xf>
    <xf numFmtId="0" fontId="103" fillId="47" borderId="0" xfId="0" applyFont="1" applyFill="1" applyBorder="1" applyAlignment="1">
      <alignment horizontal="left" vertical="center"/>
    </xf>
    <xf numFmtId="0" fontId="83" fillId="64" borderId="0" xfId="2278" applyNumberFormat="1" applyFont="1" applyFill="1" applyBorder="1" applyAlignment="1" applyProtection="1">
      <alignment horizontal="center" vertical="center"/>
    </xf>
    <xf numFmtId="0" fontId="33" fillId="47" borderId="0" xfId="0" applyFont="1" applyFill="1" applyBorder="1" applyAlignment="1">
      <alignment horizontal="left" vertical="center"/>
    </xf>
    <xf numFmtId="0" fontId="28" fillId="0" borderId="80" xfId="0" applyFont="1" applyFill="1" applyBorder="1" applyAlignment="1">
      <alignment horizontal="left" vertical="center"/>
    </xf>
    <xf numFmtId="0" fontId="28" fillId="0" borderId="81" xfId="0" applyFont="1" applyFill="1" applyBorder="1" applyAlignment="1">
      <alignment horizontal="center" vertical="center"/>
    </xf>
    <xf numFmtId="0" fontId="28" fillId="47" borderId="0" xfId="0" applyFont="1" applyFill="1" applyBorder="1" applyAlignment="1">
      <alignment horizontal="center" vertical="center"/>
    </xf>
    <xf numFmtId="0" fontId="27" fillId="29" borderId="94" xfId="0" applyFont="1" applyFill="1" applyBorder="1" applyAlignment="1" applyProtection="1">
      <alignment horizontal="center" vertical="center" wrapText="1"/>
    </xf>
    <xf numFmtId="0" fontId="31" fillId="29" borderId="94" xfId="0" applyFont="1" applyFill="1" applyBorder="1" applyAlignment="1" applyProtection="1">
      <alignment horizontal="center" vertical="center" wrapText="1"/>
    </xf>
    <xf numFmtId="0" fontId="0" fillId="55" borderId="11" xfId="0" applyFill="1" applyBorder="1" applyAlignment="1">
      <alignment horizontal="center"/>
    </xf>
    <xf numFmtId="0" fontId="0" fillId="47" borderId="219" xfId="0" applyFill="1" applyBorder="1" applyAlignment="1">
      <alignment horizontal="center"/>
    </xf>
    <xf numFmtId="0" fontId="2" fillId="47" borderId="219" xfId="0" applyFont="1" applyFill="1" applyBorder="1"/>
    <xf numFmtId="0" fontId="2" fillId="47" borderId="219" xfId="0" applyFont="1" applyFill="1" applyBorder="1" applyAlignment="1">
      <alignment horizontal="center"/>
    </xf>
    <xf numFmtId="0" fontId="16" fillId="55" borderId="11" xfId="0" applyFont="1" applyFill="1" applyBorder="1" applyAlignment="1">
      <alignment horizontal="center"/>
    </xf>
    <xf numFmtId="0" fontId="0" fillId="55" borderId="0" xfId="0" applyFill="1" applyBorder="1" applyAlignment="1">
      <alignment horizontal="center"/>
    </xf>
    <xf numFmtId="0" fontId="16" fillId="55" borderId="0" xfId="0" applyFont="1" applyFill="1" applyBorder="1" applyAlignment="1">
      <alignment horizontal="center"/>
    </xf>
    <xf numFmtId="0" fontId="0" fillId="65" borderId="0" xfId="0" applyFill="1"/>
    <xf numFmtId="0" fontId="103" fillId="47" borderId="0" xfId="0" applyFont="1" applyFill="1" applyBorder="1" applyAlignment="1">
      <alignment horizontal="left" vertical="center" indent="1"/>
    </xf>
    <xf numFmtId="0" fontId="72" fillId="47" borderId="0" xfId="0" applyFont="1" applyFill="1" applyBorder="1" applyAlignment="1">
      <alignment horizontal="left" vertical="center"/>
    </xf>
    <xf numFmtId="0" fontId="73" fillId="47" borderId="0" xfId="2278" applyNumberFormat="1" applyFont="1" applyFill="1" applyBorder="1" applyAlignment="1" applyProtection="1">
      <alignment horizontal="center" vertical="center"/>
    </xf>
    <xf numFmtId="0" fontId="16" fillId="55" borderId="11" xfId="0" applyFont="1" applyFill="1" applyBorder="1"/>
    <xf numFmtId="0" fontId="0" fillId="55" borderId="11" xfId="0" applyFont="1" applyFill="1" applyBorder="1"/>
    <xf numFmtId="1" fontId="0" fillId="55" borderId="11" xfId="0" applyNumberFormat="1" applyFill="1" applyBorder="1" applyAlignment="1">
      <alignment horizontal="center"/>
    </xf>
    <xf numFmtId="0" fontId="0" fillId="55" borderId="78" xfId="0" applyFill="1" applyBorder="1"/>
    <xf numFmtId="0" fontId="131" fillId="64" borderId="0" xfId="2278" applyNumberFormat="1" applyFont="1" applyFill="1" applyBorder="1" applyAlignment="1" applyProtection="1">
      <alignment horizontal="center" vertical="center"/>
      <protection locked="0"/>
    </xf>
    <xf numFmtId="0" fontId="46" fillId="29" borderId="238" xfId="0" applyFont="1" applyFill="1" applyBorder="1" applyAlignment="1" applyProtection="1">
      <alignment horizontal="left" vertical="center" indent="1"/>
    </xf>
    <xf numFmtId="0" fontId="28" fillId="29" borderId="223" xfId="0" applyFont="1" applyFill="1" applyBorder="1" applyAlignment="1" applyProtection="1">
      <alignment horizontal="left" vertical="center"/>
    </xf>
    <xf numFmtId="0" fontId="40" fillId="29" borderId="242" xfId="0" applyFont="1" applyFill="1" applyBorder="1" applyAlignment="1" applyProtection="1">
      <alignment horizontal="right"/>
    </xf>
    <xf numFmtId="0" fontId="32" fillId="36" borderId="217" xfId="0" applyFont="1" applyFill="1" applyBorder="1" applyAlignment="1" applyProtection="1">
      <alignment horizontal="left" vertical="center" wrapText="1" indent="1"/>
    </xf>
    <xf numFmtId="0" fontId="31" fillId="29" borderId="210" xfId="0" applyFont="1" applyFill="1" applyBorder="1" applyAlignment="1" applyProtection="1">
      <alignment horizontal="center" vertical="center" wrapText="1"/>
    </xf>
    <xf numFmtId="0" fontId="27" fillId="11" borderId="217" xfId="0" applyFont="1" applyFill="1" applyBorder="1" applyAlignment="1" applyProtection="1">
      <alignment horizontal="left" vertical="center" indent="1"/>
      <protection locked="0"/>
    </xf>
    <xf numFmtId="0" fontId="28" fillId="29" borderId="209" xfId="0" applyFont="1" applyFill="1" applyBorder="1" applyAlignment="1" applyProtection="1">
      <alignment horizontal="left" vertical="center" indent="1"/>
    </xf>
    <xf numFmtId="3" fontId="27" fillId="11" borderId="216" xfId="0" applyNumberFormat="1" applyFont="1" applyFill="1" applyBorder="1" applyAlignment="1" applyProtection="1">
      <alignment horizontal="left" vertical="center" wrapText="1" indent="1"/>
      <protection locked="0"/>
    </xf>
    <xf numFmtId="3" fontId="27" fillId="11" borderId="217" xfId="0" applyNumberFormat="1" applyFont="1" applyFill="1" applyBorder="1" applyAlignment="1" applyProtection="1">
      <alignment horizontal="left" vertical="center" wrapText="1" indent="1"/>
      <protection locked="0"/>
    </xf>
    <xf numFmtId="0" fontId="51" fillId="29" borderId="240" xfId="0" applyFont="1" applyFill="1" applyBorder="1" applyAlignment="1" applyProtection="1">
      <alignment horizontal="center" vertical="center"/>
    </xf>
    <xf numFmtId="0" fontId="0" fillId="29" borderId="84" xfId="0" applyFill="1" applyBorder="1"/>
    <xf numFmtId="0" fontId="0" fillId="29" borderId="231" xfId="0" applyFill="1" applyBorder="1"/>
    <xf numFmtId="0" fontId="124" fillId="29" borderId="231" xfId="0" applyFont="1" applyFill="1" applyBorder="1" applyAlignment="1">
      <alignment horizontal="right" vertical="center"/>
    </xf>
    <xf numFmtId="3" fontId="10" fillId="29" borderId="214" xfId="0" applyNumberFormat="1" applyFont="1" applyFill="1" applyBorder="1" applyAlignment="1">
      <alignment horizontal="center" vertical="center"/>
    </xf>
    <xf numFmtId="0" fontId="0" fillId="29" borderId="202" xfId="0" applyFill="1" applyBorder="1"/>
    <xf numFmtId="0" fontId="127" fillId="29" borderId="221" xfId="0" applyFont="1" applyFill="1" applyBorder="1" applyAlignment="1" applyProtection="1">
      <alignment horizontal="center" vertical="center" wrapText="1"/>
    </xf>
    <xf numFmtId="0" fontId="129" fillId="29" borderId="221" xfId="0" applyFont="1" applyFill="1" applyBorder="1" applyAlignment="1" applyProtection="1">
      <alignment horizontal="center" vertical="center" wrapText="1"/>
    </xf>
    <xf numFmtId="0" fontId="127" fillId="29" borderId="225" xfId="0" applyFont="1" applyFill="1" applyBorder="1" applyAlignment="1" applyProtection="1">
      <alignment horizontal="center" vertical="center" wrapText="1"/>
    </xf>
    <xf numFmtId="3" fontId="33" fillId="29" borderId="210" xfId="0" applyNumberFormat="1" applyFont="1" applyFill="1" applyBorder="1" applyAlignment="1" applyProtection="1">
      <alignment horizontal="center" vertical="center"/>
    </xf>
    <xf numFmtId="0" fontId="125" fillId="29" borderId="217" xfId="0" applyFont="1" applyFill="1" applyBorder="1" applyAlignment="1" applyProtection="1">
      <alignment horizontal="center" vertical="center" wrapText="1"/>
    </xf>
    <xf numFmtId="3" fontId="33" fillId="0" borderId="210" xfId="0" applyNumberFormat="1" applyFont="1" applyFill="1" applyBorder="1" applyAlignment="1" applyProtection="1">
      <alignment horizontal="center" vertical="center"/>
    </xf>
    <xf numFmtId="0" fontId="125" fillId="29" borderId="237" xfId="0" applyFont="1" applyFill="1" applyBorder="1" applyAlignment="1" applyProtection="1">
      <alignment horizontal="center" vertical="center" wrapText="1"/>
    </xf>
    <xf numFmtId="3" fontId="33" fillId="0" borderId="214" xfId="0" applyNumberFormat="1" applyFont="1" applyFill="1" applyBorder="1" applyAlignment="1" applyProtection="1">
      <alignment horizontal="center" vertical="center"/>
    </xf>
    <xf numFmtId="3" fontId="33" fillId="0" borderId="215" xfId="0" applyNumberFormat="1" applyFont="1" applyFill="1" applyBorder="1" applyAlignment="1" applyProtection="1">
      <alignment horizontal="center" vertical="center"/>
    </xf>
    <xf numFmtId="49" fontId="132" fillId="16" borderId="217" xfId="2821" applyNumberFormat="1" applyFont="1" applyFill="1" applyBorder="1" applyAlignment="1" applyProtection="1">
      <alignment vertical="center"/>
      <protection hidden="1"/>
    </xf>
    <xf numFmtId="0" fontId="87" fillId="16" borderId="210" xfId="2821" applyFill="1" applyBorder="1"/>
    <xf numFmtId="49" fontId="132" fillId="18" borderId="217" xfId="2821" applyNumberFormat="1" applyFont="1" applyFill="1" applyBorder="1" applyAlignment="1" applyProtection="1">
      <alignment horizontal="left" indent="1"/>
      <protection locked="0" hidden="1"/>
    </xf>
    <xf numFmtId="49" fontId="132" fillId="18" borderId="237" xfId="2821" applyNumberFormat="1" applyFont="1" applyFill="1" applyBorder="1" applyAlignment="1" applyProtection="1">
      <alignment horizontal="left" indent="1"/>
      <protection locked="0" hidden="1"/>
    </xf>
    <xf numFmtId="1" fontId="27" fillId="15" borderId="214" xfId="2821" applyNumberFormat="1" applyFont="1" applyFill="1" applyBorder="1" applyAlignment="1">
      <alignment horizontal="center" vertical="center"/>
    </xf>
    <xf numFmtId="2" fontId="45" fillId="15" borderId="214" xfId="2821" applyNumberFormat="1" applyFont="1" applyFill="1" applyBorder="1" applyAlignment="1">
      <alignment horizontal="center" vertical="center"/>
    </xf>
    <xf numFmtId="0" fontId="59" fillId="25" borderId="87" xfId="2278" applyNumberFormat="1" applyFont="1" applyFill="1" applyBorder="1" applyAlignment="1" applyProtection="1">
      <alignment horizontal="center" vertical="center"/>
    </xf>
    <xf numFmtId="0" fontId="59" fillId="64" borderId="0" xfId="2278" applyNumberFormat="1" applyFont="1" applyFill="1" applyBorder="1" applyAlignment="1" applyProtection="1">
      <alignment vertical="center"/>
    </xf>
    <xf numFmtId="2" fontId="45" fillId="55" borderId="0" xfId="2821" applyNumberFormat="1" applyFont="1" applyFill="1" applyBorder="1" applyAlignment="1">
      <alignment horizontal="center" vertical="center"/>
    </xf>
    <xf numFmtId="0" fontId="27" fillId="29" borderId="221" xfId="2821" applyFont="1" applyFill="1" applyBorder="1" applyAlignment="1">
      <alignment horizontal="center"/>
    </xf>
    <xf numFmtId="0" fontId="27" fillId="29" borderId="196" xfId="2821" applyFont="1" applyFill="1" applyBorder="1" applyAlignment="1">
      <alignment horizontal="center"/>
    </xf>
    <xf numFmtId="0" fontId="55" fillId="30" borderId="217" xfId="2821" applyFont="1" applyFill="1" applyBorder="1" applyAlignment="1">
      <alignment horizontal="center" vertical="center"/>
    </xf>
    <xf numFmtId="9" fontId="27" fillId="16" borderId="210" xfId="2765" applyFont="1" applyFill="1" applyBorder="1" applyAlignment="1" applyProtection="1">
      <alignment horizontal="center" vertical="center"/>
    </xf>
    <xf numFmtId="0" fontId="130" fillId="47" borderId="0" xfId="0" applyFont="1" applyFill="1" applyBorder="1" applyAlignment="1">
      <alignment vertical="center"/>
    </xf>
    <xf numFmtId="0" fontId="59" fillId="64" borderId="0" xfId="2278" applyNumberFormat="1" applyFont="1" applyFill="1" applyBorder="1" applyAlignment="1" applyProtection="1">
      <alignment horizontal="center" vertical="center"/>
    </xf>
    <xf numFmtId="0" fontId="130" fillId="47" borderId="0" xfId="0" applyFont="1" applyFill="1" applyBorder="1" applyAlignment="1" applyProtection="1">
      <alignment vertical="center"/>
    </xf>
    <xf numFmtId="167" fontId="24" fillId="15" borderId="94" xfId="2821" applyNumberFormat="1" applyFont="1" applyFill="1" applyBorder="1" applyAlignment="1">
      <alignment horizontal="center" vertical="center"/>
    </xf>
    <xf numFmtId="2" fontId="24" fillId="15" borderId="94" xfId="2821" applyNumberFormat="1" applyFont="1" applyFill="1" applyBorder="1" applyAlignment="1">
      <alignment horizontal="center" vertical="center"/>
    </xf>
    <xf numFmtId="9" fontId="24" fillId="16" borderId="94" xfId="2765" applyFont="1" applyFill="1" applyBorder="1" applyAlignment="1" applyProtection="1">
      <alignment horizontal="center" vertical="center"/>
    </xf>
    <xf numFmtId="167" fontId="24" fillId="15" borderId="214" xfId="2821" applyNumberFormat="1" applyFont="1" applyFill="1" applyBorder="1" applyAlignment="1">
      <alignment horizontal="center" vertical="center"/>
    </xf>
    <xf numFmtId="2" fontId="24" fillId="15" borderId="214" xfId="2821" applyNumberFormat="1" applyFont="1" applyFill="1" applyBorder="1" applyAlignment="1">
      <alignment horizontal="center" vertical="center"/>
    </xf>
    <xf numFmtId="9" fontId="24" fillId="16" borderId="214" xfId="2765" applyFont="1" applyFill="1" applyBorder="1" applyAlignment="1" applyProtection="1">
      <alignment horizontal="center" vertical="center"/>
    </xf>
    <xf numFmtId="2" fontId="0" fillId="33" borderId="94" xfId="0" applyNumberFormat="1" applyFont="1" applyFill="1" applyBorder="1" applyAlignment="1" applyProtection="1">
      <alignment horizontal="center" vertical="center" shrinkToFit="1"/>
      <protection locked="0"/>
    </xf>
    <xf numFmtId="0" fontId="0" fillId="32" borderId="94" xfId="0" applyFont="1" applyFill="1" applyBorder="1" applyAlignment="1" applyProtection="1">
      <alignment horizontal="center" vertical="center" shrinkToFit="1"/>
      <protection locked="0"/>
    </xf>
    <xf numFmtId="1" fontId="0" fillId="33" borderId="94" xfId="0" applyNumberFormat="1" applyFont="1" applyFill="1" applyBorder="1" applyAlignment="1" applyProtection="1">
      <alignment horizontal="center" vertical="center" wrapText="1"/>
      <protection locked="0"/>
    </xf>
    <xf numFmtId="0" fontId="0" fillId="0" borderId="94" xfId="0" applyFont="1" applyFill="1" applyBorder="1" applyAlignment="1" applyProtection="1">
      <alignment horizontal="center" vertical="center" wrapText="1"/>
    </xf>
    <xf numFmtId="0" fontId="109" fillId="47" borderId="0" xfId="0" applyFont="1" applyFill="1" applyBorder="1" applyAlignment="1">
      <alignment vertical="center"/>
    </xf>
    <xf numFmtId="0" fontId="103" fillId="47" borderId="0" xfId="0" applyFont="1" applyFill="1" applyBorder="1" applyAlignment="1">
      <alignment vertical="center" wrapText="1"/>
    </xf>
    <xf numFmtId="0" fontId="109" fillId="47" borderId="0" xfId="0" applyFont="1" applyFill="1" applyBorder="1" applyAlignment="1">
      <alignment horizontal="center" wrapText="1"/>
    </xf>
    <xf numFmtId="0" fontId="25" fillId="47" borderId="0" xfId="0" applyFont="1" applyFill="1" applyProtection="1"/>
    <xf numFmtId="0" fontId="88" fillId="32" borderId="100" xfId="2822" applyFont="1" applyFill="1" applyBorder="1" applyAlignment="1" applyProtection="1">
      <alignment horizontal="center" vertical="center" wrapText="1"/>
      <protection locked="0"/>
    </xf>
    <xf numFmtId="1" fontId="155" fillId="0" borderId="98" xfId="0" applyNumberFormat="1" applyFont="1" applyFill="1" applyBorder="1" applyAlignment="1" applyProtection="1">
      <alignment horizontal="center" vertical="center"/>
    </xf>
    <xf numFmtId="167" fontId="88" fillId="15" borderId="94" xfId="0" applyNumberFormat="1" applyFont="1" applyFill="1" applyBorder="1" applyAlignment="1" applyProtection="1">
      <alignment horizontal="center" vertical="center"/>
    </xf>
    <xf numFmtId="1" fontId="156" fillId="0" borderId="87" xfId="0" applyNumberFormat="1" applyFont="1" applyBorder="1" applyAlignment="1" applyProtection="1">
      <alignment horizontal="center" vertical="center"/>
    </xf>
    <xf numFmtId="0" fontId="137" fillId="29" borderId="87" xfId="0" applyFont="1" applyFill="1" applyBorder="1" applyAlignment="1" applyProtection="1">
      <alignment horizontal="left" wrapText="1"/>
    </xf>
    <xf numFmtId="0" fontId="26" fillId="0" borderId="0" xfId="2278" applyBorder="1" applyProtection="1">
      <protection locked="0"/>
    </xf>
    <xf numFmtId="0" fontId="30" fillId="29" borderId="249" xfId="0" applyFont="1" applyFill="1" applyBorder="1" applyAlignment="1" applyProtection="1">
      <alignment horizontal="center" vertical="center" wrapText="1"/>
    </xf>
    <xf numFmtId="0" fontId="0" fillId="0" borderId="248" xfId="0" applyFont="1" applyFill="1" applyBorder="1" applyAlignment="1" applyProtection="1">
      <alignment horizontal="center" vertical="center" wrapText="1"/>
    </xf>
    <xf numFmtId="167" fontId="0" fillId="0" borderId="248" xfId="0" applyNumberFormat="1" applyFont="1" applyFill="1" applyBorder="1" applyAlignment="1" applyProtection="1">
      <alignment horizontal="center" vertical="center" wrapText="1"/>
    </xf>
    <xf numFmtId="0" fontId="0" fillId="0" borderId="249" xfId="0" applyFont="1" applyFill="1" applyBorder="1" applyAlignment="1" applyProtection="1">
      <alignment horizontal="center" vertical="center" wrapText="1"/>
    </xf>
    <xf numFmtId="167" fontId="0" fillId="0" borderId="249" xfId="0" applyNumberFormat="1" applyFont="1" applyFill="1" applyBorder="1" applyAlignment="1" applyProtection="1">
      <alignment horizontal="center" vertical="center" wrapText="1"/>
    </xf>
    <xf numFmtId="0" fontId="0" fillId="0" borderId="245" xfId="0" applyFont="1" applyFill="1" applyBorder="1" applyAlignment="1" applyProtection="1">
      <alignment horizontal="center" vertical="center" wrapText="1"/>
    </xf>
    <xf numFmtId="167" fontId="0" fillId="0" borderId="245" xfId="0" applyNumberFormat="1" applyFont="1" applyFill="1" applyBorder="1" applyAlignment="1" applyProtection="1">
      <alignment horizontal="center" vertical="center" wrapText="1"/>
    </xf>
    <xf numFmtId="0" fontId="0" fillId="0" borderId="250" xfId="0" applyFont="1" applyFill="1" applyBorder="1" applyAlignment="1" applyProtection="1">
      <alignment horizontal="center" vertical="center" wrapText="1"/>
    </xf>
    <xf numFmtId="0" fontId="0" fillId="0" borderId="249" xfId="0" applyFont="1" applyFill="1" applyBorder="1" applyAlignment="1" applyProtection="1">
      <alignment horizontal="center" vertical="top" wrapText="1"/>
    </xf>
    <xf numFmtId="167" fontId="0" fillId="0" borderId="245" xfId="0" applyNumberFormat="1" applyFont="1" applyFill="1" applyBorder="1" applyAlignment="1" applyProtection="1">
      <alignment horizontal="center" vertical="top" wrapText="1"/>
    </xf>
    <xf numFmtId="0" fontId="0" fillId="0" borderId="248" xfId="0" applyFont="1" applyFill="1" applyBorder="1" applyAlignment="1" applyProtection="1">
      <alignment horizontal="center" vertical="top" wrapText="1"/>
    </xf>
    <xf numFmtId="167" fontId="0" fillId="0" borderId="248" xfId="0" applyNumberFormat="1" applyFont="1" applyFill="1" applyBorder="1" applyAlignment="1" applyProtection="1">
      <alignment horizontal="center" vertical="top" wrapText="1"/>
    </xf>
    <xf numFmtId="167" fontId="0" fillId="0" borderId="250" xfId="0" applyNumberFormat="1" applyFont="1" applyFill="1" applyBorder="1" applyAlignment="1" applyProtection="1">
      <alignment horizontal="center" vertical="center" wrapText="1"/>
    </xf>
    <xf numFmtId="0" fontId="0" fillId="0" borderId="250" xfId="0" applyFont="1" applyFill="1" applyBorder="1" applyAlignment="1" applyProtection="1">
      <alignment horizontal="center" vertical="top" wrapText="1"/>
    </xf>
    <xf numFmtId="167" fontId="0" fillId="0" borderId="250" xfId="0" applyNumberFormat="1" applyFont="1" applyFill="1" applyBorder="1" applyAlignment="1" applyProtection="1">
      <alignment horizontal="center" vertical="top" wrapText="1"/>
    </xf>
    <xf numFmtId="0" fontId="28" fillId="0" borderId="195" xfId="2821" applyFont="1" applyBorder="1" applyAlignment="1">
      <alignment vertical="center"/>
    </xf>
    <xf numFmtId="0" fontId="0" fillId="0" borderId="200" xfId="0" applyBorder="1"/>
    <xf numFmtId="0" fontId="27" fillId="0" borderId="195" xfId="2821" applyFont="1" applyBorder="1" applyAlignment="1">
      <alignment vertical="center"/>
    </xf>
    <xf numFmtId="0" fontId="158" fillId="0" borderId="0" xfId="0" applyFont="1" applyBorder="1"/>
    <xf numFmtId="0" fontId="159" fillId="0" borderId="195" xfId="2821" applyFont="1" applyBorder="1" applyAlignment="1">
      <alignment vertical="center"/>
    </xf>
    <xf numFmtId="0" fontId="0" fillId="0" borderId="195" xfId="0" applyBorder="1"/>
    <xf numFmtId="0" fontId="0" fillId="66" borderId="178" xfId="0" applyFill="1" applyBorder="1"/>
    <xf numFmtId="0" fontId="0" fillId="66" borderId="179" xfId="0" applyFill="1" applyBorder="1"/>
    <xf numFmtId="0" fontId="30" fillId="29" borderId="255" xfId="0" applyFont="1" applyFill="1" applyBorder="1" applyAlignment="1" applyProtection="1">
      <alignment horizontal="center" vertical="center" wrapText="1"/>
    </xf>
    <xf numFmtId="0" fontId="0" fillId="0" borderId="257" xfId="0" applyFont="1" applyFill="1" applyBorder="1" applyAlignment="1" applyProtection="1">
      <alignment horizontal="center" vertical="center" wrapText="1"/>
    </xf>
    <xf numFmtId="0" fontId="0" fillId="0" borderId="255" xfId="0" applyFont="1" applyFill="1" applyBorder="1" applyAlignment="1" applyProtection="1">
      <alignment horizontal="center" vertical="center" wrapText="1"/>
    </xf>
    <xf numFmtId="0" fontId="0" fillId="0" borderId="258" xfId="0" applyFont="1" applyFill="1" applyBorder="1" applyAlignment="1" applyProtection="1">
      <alignment horizontal="center" vertical="center" wrapText="1"/>
    </xf>
    <xf numFmtId="0" fontId="0" fillId="0" borderId="259" xfId="0" applyFont="1" applyFill="1" applyBorder="1" applyAlignment="1" applyProtection="1">
      <alignment horizontal="center" vertical="center" wrapText="1"/>
    </xf>
    <xf numFmtId="0" fontId="0" fillId="0" borderId="256" xfId="0" applyFont="1" applyFill="1" applyBorder="1" applyAlignment="1" applyProtection="1">
      <alignment horizontal="center" vertical="center" wrapText="1"/>
    </xf>
    <xf numFmtId="0" fontId="0" fillId="0" borderId="260" xfId="0" applyFont="1" applyFill="1" applyBorder="1" applyAlignment="1" applyProtection="1">
      <alignment horizontal="center" vertical="center" wrapText="1"/>
    </xf>
    <xf numFmtId="167" fontId="0" fillId="0" borderId="260" xfId="0" applyNumberFormat="1" applyFont="1" applyFill="1" applyBorder="1" applyAlignment="1" applyProtection="1">
      <alignment horizontal="center" vertical="center" wrapText="1"/>
    </xf>
    <xf numFmtId="0" fontId="0" fillId="0" borderId="262" xfId="0" applyFont="1" applyFill="1" applyBorder="1" applyAlignment="1" applyProtection="1">
      <alignment horizontal="center" vertical="center" wrapText="1"/>
    </xf>
    <xf numFmtId="167" fontId="0" fillId="0" borderId="262" xfId="0" applyNumberFormat="1" applyFont="1" applyFill="1" applyBorder="1" applyAlignment="1" applyProtection="1">
      <alignment horizontal="center" vertical="center" wrapText="1"/>
    </xf>
    <xf numFmtId="0" fontId="0" fillId="0" borderId="263" xfId="0" applyFont="1" applyFill="1" applyBorder="1" applyAlignment="1" applyProtection="1">
      <alignment horizontal="center" vertical="center" wrapText="1"/>
    </xf>
    <xf numFmtId="0" fontId="160" fillId="66" borderId="170" xfId="2821" applyFont="1" applyFill="1" applyBorder="1" applyAlignment="1">
      <alignment vertical="center"/>
    </xf>
    <xf numFmtId="0" fontId="34" fillId="16" borderId="236" xfId="2821" applyFont="1" applyFill="1" applyBorder="1" applyAlignment="1" applyProtection="1">
      <alignment horizontal="center" vertical="center" wrapText="1"/>
      <protection hidden="1"/>
    </xf>
    <xf numFmtId="0" fontId="45" fillId="16" borderId="221" xfId="2821" applyFont="1" applyFill="1" applyBorder="1" applyAlignment="1" applyProtection="1">
      <alignment horizontal="center" vertical="center" wrapText="1"/>
      <protection hidden="1"/>
    </xf>
    <xf numFmtId="0" fontId="25" fillId="16" borderId="221" xfId="2821" applyFont="1" applyFill="1" applyBorder="1" applyAlignment="1" applyProtection="1">
      <alignment horizontal="center" vertical="center" wrapText="1"/>
      <protection hidden="1"/>
    </xf>
    <xf numFmtId="0" fontId="32" fillId="47" borderId="0" xfId="0" applyFont="1" applyFill="1"/>
    <xf numFmtId="0" fontId="32" fillId="47" borderId="0" xfId="2796" applyFont="1" applyFill="1" applyBorder="1" applyAlignment="1">
      <alignment horizontal="center" vertical="center"/>
    </xf>
    <xf numFmtId="0" fontId="0" fillId="0" borderId="0" xfId="0" applyFill="1"/>
    <xf numFmtId="0" fontId="0" fillId="47" borderId="0" xfId="0" applyFill="1" applyBorder="1" applyAlignment="1">
      <alignment horizontal="center" wrapText="1"/>
    </xf>
    <xf numFmtId="1" fontId="0" fillId="47" borderId="0" xfId="0" applyNumberFormat="1" applyFill="1"/>
    <xf numFmtId="0" fontId="0" fillId="0" borderId="0" xfId="0" applyFill="1"/>
    <xf numFmtId="0" fontId="2" fillId="51" borderId="12" xfId="0" applyFont="1" applyFill="1" applyBorder="1" applyAlignment="1" applyProtection="1">
      <alignment horizontal="left" vertical="center"/>
      <protection locked="0"/>
    </xf>
    <xf numFmtId="0" fontId="2" fillId="51" borderId="80" xfId="0" applyFont="1" applyFill="1" applyBorder="1" applyAlignment="1" applyProtection="1">
      <alignment horizontal="center" vertical="center"/>
      <protection locked="0"/>
    </xf>
    <xf numFmtId="166" fontId="27" fillId="51" borderId="156" xfId="0" applyNumberFormat="1" applyFont="1" applyFill="1" applyBorder="1" applyAlignment="1" applyProtection="1">
      <alignment horizontal="center" vertical="center"/>
    </xf>
    <xf numFmtId="166" fontId="27" fillId="51" borderId="87" xfId="0" applyNumberFormat="1" applyFont="1" applyFill="1" applyBorder="1" applyAlignment="1" applyProtection="1">
      <alignment horizontal="center" vertical="center"/>
    </xf>
    <xf numFmtId="166" fontId="27" fillId="51" borderId="168" xfId="0" applyNumberFormat="1" applyFont="1" applyFill="1" applyBorder="1" applyAlignment="1" applyProtection="1">
      <alignment horizontal="center" vertical="center"/>
    </xf>
    <xf numFmtId="166" fontId="27" fillId="51" borderId="185" xfId="0" applyNumberFormat="1" applyFont="1" applyFill="1" applyBorder="1" applyAlignment="1" applyProtection="1">
      <alignment horizontal="center" vertical="center"/>
    </xf>
    <xf numFmtId="166" fontId="27" fillId="51" borderId="166" xfId="0" applyNumberFormat="1" applyFont="1" applyFill="1" applyBorder="1" applyAlignment="1" applyProtection="1">
      <alignment horizontal="center" vertical="center"/>
    </xf>
    <xf numFmtId="1" fontId="2" fillId="51" borderId="156" xfId="0" applyNumberFormat="1" applyFont="1" applyFill="1" applyBorder="1" applyAlignment="1" applyProtection="1">
      <alignment horizontal="center" vertical="center"/>
      <protection locked="0"/>
    </xf>
    <xf numFmtId="1" fontId="2" fillId="51" borderId="87" xfId="0" applyNumberFormat="1" applyFont="1" applyFill="1" applyBorder="1" applyAlignment="1" applyProtection="1">
      <alignment horizontal="center" vertical="center"/>
      <protection locked="0"/>
    </xf>
    <xf numFmtId="1" fontId="2" fillId="51" borderId="168" xfId="0" applyNumberFormat="1" applyFont="1" applyFill="1" applyBorder="1" applyAlignment="1" applyProtection="1">
      <alignment horizontal="center" vertical="center"/>
      <protection locked="0"/>
    </xf>
    <xf numFmtId="49" fontId="2" fillId="51" borderId="12" xfId="0" applyNumberFormat="1" applyFont="1" applyFill="1" applyBorder="1" applyAlignment="1" applyProtection="1">
      <alignment horizontal="left" vertical="center"/>
      <protection locked="0"/>
    </xf>
    <xf numFmtId="2" fontId="2" fillId="51" borderId="12" xfId="0" applyNumberFormat="1" applyFont="1" applyFill="1" applyBorder="1" applyAlignment="1" applyProtection="1">
      <alignment horizontal="left" vertical="center"/>
      <protection locked="0"/>
    </xf>
    <xf numFmtId="166" fontId="27" fillId="51" borderId="0" xfId="0" applyNumberFormat="1" applyFont="1" applyFill="1" applyBorder="1" applyAlignment="1" applyProtection="1">
      <alignment horizontal="center" vertical="center"/>
    </xf>
    <xf numFmtId="166" fontId="27" fillId="51" borderId="169" xfId="0" applyNumberFormat="1" applyFont="1" applyFill="1" applyBorder="1" applyAlignment="1" applyProtection="1">
      <alignment horizontal="center" vertical="center"/>
    </xf>
    <xf numFmtId="167" fontId="2" fillId="51" borderId="156" xfId="0" applyNumberFormat="1" applyFont="1" applyFill="1" applyBorder="1" applyAlignment="1" applyProtection="1">
      <alignment horizontal="center" vertical="center"/>
      <protection locked="0"/>
    </xf>
    <xf numFmtId="167" fontId="2" fillId="51" borderId="87" xfId="0" applyNumberFormat="1" applyFont="1" applyFill="1" applyBorder="1" applyAlignment="1" applyProtection="1">
      <alignment horizontal="center" vertical="center"/>
      <protection locked="0"/>
    </xf>
    <xf numFmtId="167" fontId="2" fillId="51" borderId="168" xfId="0" applyNumberFormat="1" applyFont="1" applyFill="1" applyBorder="1" applyAlignment="1" applyProtection="1">
      <alignment horizontal="center" vertical="center"/>
      <protection locked="0"/>
    </xf>
    <xf numFmtId="49" fontId="0" fillId="51" borderId="87" xfId="0" applyNumberFormat="1" applyFill="1" applyBorder="1" applyAlignment="1">
      <alignment vertical="center"/>
    </xf>
    <xf numFmtId="1" fontId="0" fillId="51" borderId="87" xfId="0" applyNumberFormat="1" applyFill="1" applyBorder="1" applyAlignment="1">
      <alignment horizontal="center" vertical="center"/>
    </xf>
    <xf numFmtId="2" fontId="27" fillId="51" borderId="87" xfId="0" applyNumberFormat="1" applyFont="1" applyFill="1" applyBorder="1"/>
    <xf numFmtId="1" fontId="0" fillId="51" borderId="87" xfId="0" applyNumberFormat="1" applyFill="1" applyBorder="1"/>
    <xf numFmtId="1" fontId="27" fillId="51" borderId="87" xfId="0" applyNumberFormat="1" applyFont="1" applyFill="1" applyBorder="1" applyAlignment="1">
      <alignment horizontal="center" vertical="center"/>
    </xf>
    <xf numFmtId="1" fontId="0" fillId="51" borderId="88" xfId="0" applyNumberFormat="1" applyFill="1" applyBorder="1"/>
    <xf numFmtId="1" fontId="31" fillId="51" borderId="176" xfId="0" applyNumberFormat="1" applyFont="1" applyFill="1" applyBorder="1" applyAlignment="1">
      <alignment horizontal="center" vertical="center"/>
    </xf>
    <xf numFmtId="9" fontId="2" fillId="68" borderId="87" xfId="2765" applyFont="1" applyFill="1" applyBorder="1" applyAlignment="1" applyProtection="1">
      <alignment horizontal="center" vertical="center"/>
      <protection locked="0" hidden="1"/>
    </xf>
    <xf numFmtId="9" fontId="2" fillId="0" borderId="87" xfId="2765" applyFont="1" applyFill="1" applyBorder="1" applyAlignment="1" applyProtection="1">
      <alignment horizontal="center" vertical="center"/>
      <protection hidden="1"/>
    </xf>
    <xf numFmtId="0" fontId="0" fillId="29" borderId="227" xfId="0" applyFont="1" applyFill="1" applyBorder="1" applyAlignment="1">
      <alignment horizontal="center" vertical="center" wrapText="1"/>
    </xf>
    <xf numFmtId="0" fontId="0" fillId="0" borderId="227" xfId="0" applyFill="1" applyBorder="1" applyAlignment="1">
      <alignment horizontal="left" vertical="center"/>
    </xf>
    <xf numFmtId="166" fontId="0" fillId="0" borderId="227" xfId="0" applyNumberFormat="1" applyFill="1" applyBorder="1" applyAlignment="1">
      <alignment horizontal="center" vertical="center"/>
    </xf>
    <xf numFmtId="0" fontId="0" fillId="0" borderId="227" xfId="0" applyFill="1" applyBorder="1" applyAlignment="1">
      <alignment horizontal="center" vertical="center"/>
    </xf>
    <xf numFmtId="0" fontId="0" fillId="29" borderId="137" xfId="0" applyFont="1" applyFill="1" applyBorder="1" applyAlignment="1">
      <alignment horizontal="center" vertical="center" wrapText="1"/>
    </xf>
    <xf numFmtId="0" fontId="0" fillId="29" borderId="268" xfId="0" applyFont="1" applyFill="1" applyBorder="1" applyAlignment="1">
      <alignment horizontal="center" vertical="center" wrapText="1"/>
    </xf>
    <xf numFmtId="0" fontId="0" fillId="29" borderId="138" xfId="0" applyFont="1" applyFill="1" applyBorder="1" applyAlignment="1">
      <alignment horizontal="center" vertical="center" wrapText="1"/>
    </xf>
    <xf numFmtId="0" fontId="0" fillId="0" borderId="269" xfId="0" applyFill="1" applyBorder="1" applyAlignment="1">
      <alignment horizontal="center" vertical="center"/>
    </xf>
    <xf numFmtId="0" fontId="0" fillId="0" borderId="270" xfId="0" applyFill="1" applyBorder="1" applyAlignment="1">
      <alignment horizontal="left" vertical="center"/>
    </xf>
    <xf numFmtId="0" fontId="0" fillId="0" borderId="271" xfId="0" applyFill="1" applyBorder="1" applyAlignment="1">
      <alignment horizontal="center" vertical="center"/>
    </xf>
    <xf numFmtId="167" fontId="0" fillId="0" borderId="269" xfId="0" applyNumberFormat="1" applyFill="1" applyBorder="1" applyAlignment="1">
      <alignment horizontal="center" vertical="center"/>
    </xf>
    <xf numFmtId="1" fontId="0" fillId="0" borderId="270" xfId="0" applyNumberFormat="1" applyFill="1" applyBorder="1" applyAlignment="1">
      <alignment horizontal="center" vertical="center"/>
    </xf>
    <xf numFmtId="1" fontId="0" fillId="0" borderId="271" xfId="0" applyNumberFormat="1" applyFill="1" applyBorder="1" applyAlignment="1">
      <alignment horizontal="center" vertical="center"/>
    </xf>
    <xf numFmtId="0" fontId="0" fillId="0" borderId="270" xfId="0" applyFont="1" applyFill="1" applyBorder="1" applyAlignment="1">
      <alignment horizontal="center" vertical="center"/>
    </xf>
    <xf numFmtId="0" fontId="0" fillId="0" borderId="272" xfId="0" applyFill="1" applyBorder="1" applyAlignment="1">
      <alignment horizontal="center" vertical="center"/>
    </xf>
    <xf numFmtId="0" fontId="0" fillId="0" borderId="273" xfId="0" applyFill="1" applyBorder="1" applyAlignment="1">
      <alignment horizontal="center" vertical="center"/>
    </xf>
    <xf numFmtId="0" fontId="0" fillId="0" borderId="274" xfId="0" applyFill="1" applyBorder="1" applyAlignment="1">
      <alignment horizontal="center" vertical="center"/>
    </xf>
    <xf numFmtId="0" fontId="0" fillId="0" borderId="275" xfId="0" applyFill="1" applyBorder="1" applyAlignment="1">
      <alignment horizontal="center" vertical="center"/>
    </xf>
    <xf numFmtId="0" fontId="0" fillId="0" borderId="276" xfId="0" applyFill="1" applyBorder="1" applyAlignment="1">
      <alignment horizontal="center" vertical="center"/>
    </xf>
    <xf numFmtId="0" fontId="0" fillId="0" borderId="277" xfId="0" applyFill="1" applyBorder="1" applyAlignment="1">
      <alignment horizontal="center" vertical="center"/>
    </xf>
    <xf numFmtId="0" fontId="129" fillId="29" borderId="210" xfId="0" applyFont="1" applyFill="1" applyBorder="1" applyAlignment="1">
      <alignment horizontal="center" vertical="center" shrinkToFit="1"/>
    </xf>
    <xf numFmtId="0" fontId="32" fillId="0" borderId="161" xfId="2796" applyFont="1" applyFill="1" applyBorder="1" applyAlignment="1">
      <alignment horizontal="center" vertical="center"/>
    </xf>
    <xf numFmtId="0" fontId="32" fillId="0" borderId="162" xfId="2796" applyFont="1" applyFill="1" applyBorder="1" applyAlignment="1">
      <alignment horizontal="center" vertical="center"/>
    </xf>
    <xf numFmtId="0" fontId="32" fillId="0" borderId="278" xfId="2796" applyFont="1" applyFill="1" applyBorder="1" applyAlignment="1">
      <alignment horizontal="center" vertical="center"/>
    </xf>
    <xf numFmtId="0" fontId="32" fillId="0" borderId="83" xfId="2796" applyFont="1" applyFill="1" applyBorder="1" applyAlignment="1">
      <alignment horizontal="center" vertical="center"/>
    </xf>
    <xf numFmtId="0" fontId="32" fillId="0" borderId="82" xfId="2796" applyFont="1" applyFill="1" applyBorder="1" applyAlignment="1">
      <alignment horizontal="center" vertical="center"/>
    </xf>
    <xf numFmtId="0" fontId="32" fillId="0" borderId="175" xfId="0" applyFont="1" applyBorder="1" applyAlignment="1">
      <alignment horizontal="center" vertical="center"/>
    </xf>
    <xf numFmtId="0" fontId="32" fillId="29" borderId="155" xfId="0" applyFont="1" applyFill="1" applyBorder="1" applyAlignment="1">
      <alignment horizontal="center" vertical="center"/>
    </xf>
    <xf numFmtId="0" fontId="27" fillId="0" borderId="87" xfId="0" applyFont="1" applyBorder="1" applyAlignment="1" applyProtection="1">
      <alignment horizontal="center" vertical="center" wrapText="1"/>
    </xf>
    <xf numFmtId="0" fontId="0" fillId="0" borderId="0" xfId="0" applyFill="1"/>
    <xf numFmtId="166" fontId="32" fillId="0" borderId="94" xfId="0" applyNumberFormat="1" applyFont="1" applyFill="1" applyBorder="1" applyAlignment="1" applyProtection="1">
      <alignment horizontal="left" vertical="center"/>
    </xf>
    <xf numFmtId="166" fontId="32" fillId="0" borderId="214" xfId="0" applyNumberFormat="1" applyFont="1" applyFill="1" applyBorder="1" applyAlignment="1" applyProtection="1">
      <alignment horizontal="left" vertical="center"/>
    </xf>
    <xf numFmtId="0" fontId="30" fillId="0" borderId="217" xfId="0" applyFont="1" applyFill="1" applyBorder="1" applyAlignment="1">
      <alignment horizontal="left" vertical="center"/>
    </xf>
    <xf numFmtId="3" fontId="30" fillId="0" borderId="94" xfId="0" applyNumberFormat="1" applyFont="1" applyFill="1" applyBorder="1" applyAlignment="1" applyProtection="1">
      <alignment horizontal="center" vertical="center"/>
    </xf>
    <xf numFmtId="3" fontId="30" fillId="0" borderId="94" xfId="0" applyNumberFormat="1" applyFont="1" applyFill="1" applyBorder="1" applyAlignment="1" applyProtection="1">
      <alignment horizontal="center" vertical="center" shrinkToFit="1"/>
    </xf>
    <xf numFmtId="0" fontId="25" fillId="0" borderId="94" xfId="0" applyFont="1" applyFill="1" applyBorder="1" applyAlignment="1" applyProtection="1">
      <alignment horizontal="center" vertical="center"/>
    </xf>
    <xf numFmtId="167" fontId="32" fillId="0" borderId="94" xfId="0" applyNumberFormat="1" applyFont="1" applyFill="1" applyBorder="1" applyAlignment="1" applyProtection="1">
      <alignment horizontal="center" vertical="center"/>
    </xf>
    <xf numFmtId="9" fontId="25" fillId="0" borderId="94" xfId="2765" applyFont="1" applyFill="1" applyBorder="1" applyAlignment="1" applyProtection="1">
      <alignment horizontal="center" vertical="center"/>
      <protection hidden="1"/>
    </xf>
    <xf numFmtId="9" fontId="32" fillId="0" borderId="94" xfId="0" applyNumberFormat="1" applyFont="1" applyFill="1" applyBorder="1" applyAlignment="1" applyProtection="1">
      <alignment horizontal="center" vertical="center"/>
    </xf>
    <xf numFmtId="0" fontId="32" fillId="0" borderId="210" xfId="0" applyFont="1" applyFill="1" applyBorder="1" applyAlignment="1" applyProtection="1">
      <alignment vertical="center"/>
    </xf>
    <xf numFmtId="3" fontId="30" fillId="0" borderId="214" xfId="0" applyNumberFormat="1" applyFont="1" applyFill="1" applyBorder="1" applyAlignment="1" applyProtection="1">
      <alignment horizontal="center" vertical="center"/>
    </xf>
    <xf numFmtId="3" fontId="30" fillId="0" borderId="214" xfId="0" applyNumberFormat="1" applyFont="1" applyFill="1" applyBorder="1" applyAlignment="1" applyProtection="1">
      <alignment horizontal="center" vertical="center" shrinkToFit="1"/>
    </xf>
    <xf numFmtId="0" fontId="25" fillId="0" borderId="214" xfId="0" applyFont="1" applyFill="1" applyBorder="1" applyAlignment="1" applyProtection="1">
      <alignment horizontal="center" vertical="center"/>
    </xf>
    <xf numFmtId="167" fontId="32" fillId="0" borderId="214" xfId="0" applyNumberFormat="1" applyFont="1" applyFill="1" applyBorder="1" applyAlignment="1" applyProtection="1">
      <alignment horizontal="center" vertical="center"/>
    </xf>
    <xf numFmtId="9" fontId="25" fillId="0" borderId="214" xfId="2765" applyFont="1" applyFill="1" applyBorder="1" applyAlignment="1" applyProtection="1">
      <alignment horizontal="center" vertical="center"/>
      <protection hidden="1"/>
    </xf>
    <xf numFmtId="9" fontId="32" fillId="0" borderId="214" xfId="0" applyNumberFormat="1" applyFont="1" applyFill="1" applyBorder="1" applyAlignment="1" applyProtection="1">
      <alignment horizontal="center" vertical="center"/>
    </xf>
    <xf numFmtId="0" fontId="32" fillId="0" borderId="215" xfId="0" applyFont="1" applyFill="1" applyBorder="1" applyAlignment="1" applyProtection="1">
      <alignment vertical="center"/>
    </xf>
    <xf numFmtId="0" fontId="48" fillId="0" borderId="0" xfId="0" applyFont="1" applyFill="1" applyBorder="1"/>
    <xf numFmtId="0" fontId="121" fillId="29" borderId="87" xfId="0" applyFont="1" applyFill="1" applyBorder="1" applyAlignment="1" applyProtection="1">
      <alignment horizontal="center" wrapText="1"/>
    </xf>
    <xf numFmtId="0" fontId="121" fillId="29" borderId="87" xfId="2764" applyNumberFormat="1" applyFont="1" applyFill="1" applyBorder="1" applyAlignment="1" applyProtection="1">
      <alignment horizontal="center" vertical="center" wrapText="1"/>
    </xf>
    <xf numFmtId="0" fontId="32" fillId="0" borderId="176" xfId="2796" applyFont="1" applyFill="1" applyBorder="1" applyAlignment="1">
      <alignment horizontal="center" vertical="center"/>
    </xf>
    <xf numFmtId="0" fontId="32" fillId="0" borderId="279" xfId="2796" applyFont="1" applyFill="1" applyBorder="1" applyAlignment="1">
      <alignment horizontal="center" vertical="center"/>
    </xf>
    <xf numFmtId="0" fontId="32" fillId="0" borderId="280" xfId="2796" applyFont="1" applyFill="1" applyBorder="1" applyAlignment="1">
      <alignment horizontal="center" vertical="center"/>
    </xf>
    <xf numFmtId="0" fontId="32" fillId="0" borderId="155" xfId="2796" applyFont="1" applyFill="1" applyBorder="1" applyAlignment="1">
      <alignment horizontal="center" vertical="center"/>
    </xf>
    <xf numFmtId="0" fontId="32" fillId="0" borderId="175" xfId="2796" applyFont="1" applyFill="1" applyBorder="1" applyAlignment="1">
      <alignment horizontal="center" vertical="center"/>
    </xf>
    <xf numFmtId="0" fontId="111" fillId="29" borderId="281" xfId="0" applyFont="1" applyFill="1" applyBorder="1" applyAlignment="1">
      <alignment horizontal="right" vertical="center"/>
    </xf>
    <xf numFmtId="0" fontId="40" fillId="0" borderId="282" xfId="0" applyFont="1" applyFill="1" applyBorder="1" applyAlignment="1">
      <alignment horizontal="center" vertical="center" shrinkToFit="1"/>
    </xf>
    <xf numFmtId="0" fontId="40" fillId="0" borderId="283" xfId="0" applyFont="1" applyFill="1" applyBorder="1" applyAlignment="1">
      <alignment horizontal="center" vertical="center" shrinkToFit="1"/>
    </xf>
    <xf numFmtId="0" fontId="40" fillId="29" borderId="284" xfId="0" applyFont="1" applyFill="1" applyBorder="1" applyAlignment="1">
      <alignment vertical="center"/>
    </xf>
    <xf numFmtId="0" fontId="120" fillId="29" borderId="284" xfId="0" applyFont="1" applyFill="1" applyBorder="1" applyAlignment="1">
      <alignment horizontal="center" vertical="center" wrapText="1"/>
    </xf>
    <xf numFmtId="0" fontId="40" fillId="0" borderId="285" xfId="0" applyFont="1" applyFill="1" applyBorder="1" applyAlignment="1">
      <alignment horizontal="center" vertical="center" shrinkToFit="1"/>
    </xf>
    <xf numFmtId="0" fontId="40" fillId="29" borderId="106" xfId="0" applyFont="1" applyFill="1" applyBorder="1" applyAlignment="1">
      <alignment horizontal="left" vertical="center"/>
    </xf>
    <xf numFmtId="0" fontId="120" fillId="29" borderId="106" xfId="0" applyFont="1" applyFill="1" applyBorder="1" applyAlignment="1">
      <alignment horizontal="center" vertical="center" wrapText="1"/>
    </xf>
    <xf numFmtId="0" fontId="0" fillId="29" borderId="106" xfId="0" applyFont="1" applyFill="1" applyBorder="1" applyAlignment="1">
      <alignment vertical="center"/>
    </xf>
    <xf numFmtId="0" fontId="32" fillId="29" borderId="106" xfId="0" applyFont="1" applyFill="1" applyBorder="1" applyAlignment="1">
      <alignment vertical="center"/>
    </xf>
    <xf numFmtId="0" fontId="120" fillId="29" borderId="287" xfId="0" applyFont="1" applyFill="1" applyBorder="1" applyAlignment="1">
      <alignment vertical="center"/>
    </xf>
    <xf numFmtId="0" fontId="120" fillId="29" borderId="287" xfId="0" applyFont="1" applyFill="1" applyBorder="1" applyAlignment="1">
      <alignment horizontal="center" vertical="center" wrapText="1"/>
    </xf>
    <xf numFmtId="0" fontId="33" fillId="29" borderId="94" xfId="0" applyFont="1" applyFill="1" applyBorder="1"/>
    <xf numFmtId="0" fontId="27" fillId="29" borderId="94" xfId="0" applyFont="1" applyFill="1" applyBorder="1" applyAlignment="1">
      <alignment vertical="center" wrapText="1"/>
    </xf>
    <xf numFmtId="0" fontId="27" fillId="29" borderId="94" xfId="0" applyFont="1" applyFill="1" applyBorder="1" applyAlignment="1">
      <alignment horizontal="center" vertical="center" wrapText="1"/>
    </xf>
    <xf numFmtId="167" fontId="0" fillId="0" borderId="94" xfId="0" applyNumberFormat="1" applyFont="1" applyFill="1" applyBorder="1" applyAlignment="1" applyProtection="1">
      <alignment horizontal="center" vertical="center" wrapText="1"/>
    </xf>
    <xf numFmtId="0" fontId="0" fillId="18" borderId="94" xfId="0" applyFont="1" applyFill="1" applyBorder="1" applyAlignment="1" applyProtection="1">
      <alignment vertical="center" wrapText="1"/>
      <protection locked="0"/>
    </xf>
    <xf numFmtId="1" fontId="24" fillId="10" borderId="94" xfId="0" applyNumberFormat="1" applyFont="1" applyFill="1" applyBorder="1" applyAlignment="1" applyProtection="1">
      <alignment horizontal="center" vertical="center"/>
      <protection locked="0"/>
    </xf>
    <xf numFmtId="0" fontId="137" fillId="29" borderId="80" xfId="0" applyFont="1" applyFill="1" applyBorder="1" applyAlignment="1" applyProtection="1">
      <alignment horizontal="left" wrapText="1"/>
    </xf>
    <xf numFmtId="0" fontId="88" fillId="18" borderId="94" xfId="0" applyFont="1" applyFill="1" applyBorder="1" applyAlignment="1" applyProtection="1">
      <alignment vertical="center"/>
      <protection locked="0"/>
    </xf>
    <xf numFmtId="1" fontId="157" fillId="10" borderId="94" xfId="0" applyNumberFormat="1" applyFont="1" applyFill="1" applyBorder="1" applyAlignment="1" applyProtection="1">
      <alignment horizontal="center" vertical="center"/>
      <protection locked="0"/>
    </xf>
    <xf numFmtId="0" fontId="0" fillId="0" borderId="0" xfId="0" applyFill="1"/>
    <xf numFmtId="0" fontId="10" fillId="16" borderId="221" xfId="2821" applyFont="1" applyFill="1" applyBorder="1" applyAlignment="1" applyProtection="1">
      <alignment horizontal="center" vertical="center" wrapText="1"/>
      <protection hidden="1"/>
    </xf>
    <xf numFmtId="0" fontId="0" fillId="0" borderId="0" xfId="0" applyFill="1" applyBorder="1" applyAlignment="1">
      <alignment horizontal="center"/>
    </xf>
    <xf numFmtId="0" fontId="165" fillId="47" borderId="0" xfId="0" applyFont="1" applyFill="1"/>
    <xf numFmtId="0" fontId="0" fillId="15" borderId="270" xfId="0" applyFont="1" applyFill="1" applyBorder="1" applyAlignment="1">
      <alignment horizontal="center" vertical="center"/>
    </xf>
    <xf numFmtId="0" fontId="33" fillId="15" borderId="270" xfId="0" applyFont="1" applyFill="1" applyBorder="1" applyAlignment="1">
      <alignment horizontal="center" vertical="center"/>
    </xf>
    <xf numFmtId="0" fontId="161" fillId="47" borderId="0" xfId="0" applyFont="1" applyFill="1" applyBorder="1" applyAlignment="1">
      <alignment vertical="center"/>
    </xf>
    <xf numFmtId="0" fontId="162" fillId="47" borderId="0" xfId="2278" applyFont="1" applyFill="1" applyBorder="1" applyAlignment="1">
      <alignment vertical="center" wrapText="1"/>
    </xf>
    <xf numFmtId="0" fontId="2" fillId="0" borderId="0" xfId="0" applyFont="1" applyFill="1" applyBorder="1" applyAlignment="1" applyProtection="1">
      <alignment horizontal="center" vertical="center"/>
    </xf>
    <xf numFmtId="2" fontId="0" fillId="19" borderId="0" xfId="0" applyNumberFormat="1" applyFill="1" applyBorder="1" applyAlignment="1">
      <alignment horizontal="center" vertical="center"/>
    </xf>
    <xf numFmtId="0" fontId="2" fillId="19" borderId="0" xfId="0" applyFont="1" applyFill="1" applyBorder="1" applyAlignment="1" applyProtection="1">
      <alignment horizontal="center" vertical="center"/>
    </xf>
    <xf numFmtId="0" fontId="0" fillId="19" borderId="0" xfId="0" applyFont="1" applyFill="1" applyBorder="1" applyAlignment="1">
      <alignment horizontal="center" vertical="center"/>
    </xf>
    <xf numFmtId="2" fontId="16" fillId="55" borderId="11" xfId="0" applyNumberFormat="1" applyFont="1" applyFill="1" applyBorder="1" applyAlignment="1">
      <alignment horizontal="center"/>
    </xf>
    <xf numFmtId="0" fontId="46" fillId="36" borderId="288" xfId="0" applyFont="1" applyFill="1" applyBorder="1" applyAlignment="1" applyProtection="1">
      <alignment horizontal="left" vertical="center" wrapText="1" indent="1"/>
    </xf>
    <xf numFmtId="0" fontId="27" fillId="36" borderId="288" xfId="0" applyFont="1" applyFill="1" applyBorder="1" applyAlignment="1" applyProtection="1">
      <alignment horizontal="center" vertical="center" wrapText="1"/>
    </xf>
    <xf numFmtId="0" fontId="31" fillId="36" borderId="288" xfId="0" applyFont="1" applyFill="1" applyBorder="1" applyAlignment="1" applyProtection="1">
      <alignment horizontal="center" vertical="center"/>
    </xf>
    <xf numFmtId="0" fontId="32" fillId="36" borderId="288" xfId="0" applyFont="1" applyFill="1" applyBorder="1" applyAlignment="1">
      <alignment horizontal="center" wrapText="1"/>
    </xf>
    <xf numFmtId="0" fontId="27" fillId="44" borderId="290" xfId="0" applyFont="1" applyFill="1" applyBorder="1" applyAlignment="1" applyProtection="1">
      <alignment horizontal="left" vertical="center" indent="1"/>
    </xf>
    <xf numFmtId="0" fontId="0" fillId="11" borderId="290" xfId="0" applyFill="1" applyBorder="1" applyAlignment="1" applyProtection="1">
      <alignment horizontal="center" vertical="center"/>
      <protection locked="0"/>
    </xf>
    <xf numFmtId="9" fontId="2" fillId="44" borderId="290" xfId="2765" applyFont="1" applyFill="1" applyBorder="1" applyAlignment="1" applyProtection="1">
      <alignment horizontal="center" vertical="center"/>
    </xf>
    <xf numFmtId="0" fontId="0" fillId="19" borderId="290" xfId="0" applyFill="1" applyBorder="1" applyAlignment="1" applyProtection="1">
      <alignment horizontal="center" vertical="center"/>
    </xf>
    <xf numFmtId="9" fontId="2" fillId="44" borderId="290" xfId="2765" applyFont="1" applyFill="1" applyBorder="1" applyAlignment="1" applyProtection="1">
      <alignment horizontal="center"/>
    </xf>
    <xf numFmtId="0" fontId="27" fillId="44" borderId="289" xfId="0" applyFont="1" applyFill="1" applyBorder="1" applyAlignment="1" applyProtection="1">
      <alignment horizontal="left" vertical="center" indent="1"/>
    </xf>
    <xf numFmtId="0" fontId="0" fillId="11" borderId="289" xfId="0" applyFill="1" applyBorder="1" applyAlignment="1" applyProtection="1">
      <alignment horizontal="center" vertical="center"/>
      <protection locked="0"/>
    </xf>
    <xf numFmtId="9" fontId="2" fillId="44" borderId="289" xfId="2765" applyFont="1" applyFill="1" applyBorder="1" applyAlignment="1" applyProtection="1">
      <alignment horizontal="center" vertical="center"/>
    </xf>
    <xf numFmtId="0" fontId="0" fillId="19" borderId="289" xfId="0" applyFill="1" applyBorder="1" applyAlignment="1" applyProtection="1">
      <alignment horizontal="center" vertical="center"/>
    </xf>
    <xf numFmtId="9" fontId="2" fillId="44" borderId="289" xfId="2765" applyFont="1" applyFill="1" applyBorder="1" applyAlignment="1" applyProtection="1">
      <alignment horizontal="center"/>
    </xf>
    <xf numFmtId="0" fontId="30" fillId="44" borderId="289" xfId="0" applyFont="1" applyFill="1" applyBorder="1" applyAlignment="1" applyProtection="1">
      <alignment horizontal="left" vertical="center" indent="1"/>
    </xf>
    <xf numFmtId="0" fontId="27" fillId="11" borderId="289" xfId="0" applyFont="1" applyFill="1" applyBorder="1" applyAlignment="1" applyProtection="1">
      <alignment horizontal="left" vertical="center" indent="1"/>
      <protection locked="0"/>
    </xf>
    <xf numFmtId="9" fontId="2" fillId="11" borderId="289" xfId="2765" applyFont="1" applyFill="1" applyBorder="1" applyAlignment="1" applyProtection="1">
      <alignment horizontal="center" vertical="center"/>
      <protection locked="0"/>
    </xf>
    <xf numFmtId="0" fontId="28" fillId="20" borderId="289" xfId="0" applyFont="1" applyFill="1" applyBorder="1" applyAlignment="1" applyProtection="1">
      <alignment horizontal="left" vertical="center" indent="1"/>
    </xf>
    <xf numFmtId="0" fontId="28" fillId="20" borderId="289" xfId="0" applyFont="1" applyFill="1" applyBorder="1" applyAlignment="1" applyProtection="1">
      <alignment horizontal="left" vertical="center" wrapText="1"/>
    </xf>
    <xf numFmtId="3" fontId="28" fillId="20" borderId="289" xfId="0" applyNumberFormat="1" applyFont="1" applyFill="1" applyBorder="1" applyAlignment="1" applyProtection="1">
      <alignment horizontal="center" vertical="center"/>
    </xf>
    <xf numFmtId="3" fontId="40" fillId="20" borderId="289" xfId="0" applyNumberFormat="1" applyFont="1" applyFill="1" applyBorder="1" applyAlignment="1" applyProtection="1">
      <alignment horizontal="center" vertical="center"/>
    </xf>
    <xf numFmtId="0" fontId="0" fillId="36" borderId="289" xfId="0" applyFill="1" applyBorder="1"/>
    <xf numFmtId="0" fontId="40" fillId="47" borderId="0" xfId="0" applyFont="1" applyFill="1" applyBorder="1" applyAlignment="1">
      <alignment horizontal="left" vertical="center" indent="3"/>
    </xf>
    <xf numFmtId="0" fontId="85" fillId="47" borderId="0" xfId="0" applyFont="1" applyFill="1" applyBorder="1" applyAlignment="1">
      <alignment vertical="center"/>
    </xf>
    <xf numFmtId="0" fontId="0" fillId="47" borderId="0" xfId="0" applyFill="1" applyAlignment="1"/>
    <xf numFmtId="0" fontId="38" fillId="16" borderId="291" xfId="2821" applyFont="1" applyFill="1" applyBorder="1" applyAlignment="1">
      <alignment vertical="center" wrapText="1"/>
    </xf>
    <xf numFmtId="0" fontId="38" fillId="16" borderId="208" xfId="2821" applyFont="1" applyFill="1" applyBorder="1" applyAlignment="1">
      <alignment vertical="center" wrapText="1"/>
    </xf>
    <xf numFmtId="0" fontId="32" fillId="29" borderId="292" xfId="0" applyFont="1" applyFill="1" applyBorder="1" applyAlignment="1">
      <alignment wrapText="1"/>
    </xf>
    <xf numFmtId="9" fontId="0" fillId="53" borderId="293" xfId="0" applyNumberFormat="1" applyFill="1" applyBorder="1" applyAlignment="1">
      <alignment horizontal="center"/>
    </xf>
    <xf numFmtId="3" fontId="0" fillId="0" borderId="94" xfId="0" applyNumberFormat="1" applyBorder="1" applyAlignment="1">
      <alignment horizontal="center"/>
    </xf>
    <xf numFmtId="3" fontId="0" fillId="0" borderId="210" xfId="0" applyNumberFormat="1" applyBorder="1" applyAlignment="1">
      <alignment horizontal="center"/>
    </xf>
    <xf numFmtId="3" fontId="0" fillId="0" borderId="214" xfId="0" applyNumberFormat="1" applyBorder="1" applyAlignment="1">
      <alignment horizontal="center"/>
    </xf>
    <xf numFmtId="3" fontId="0" fillId="0" borderId="215" xfId="0" applyNumberFormat="1" applyBorder="1" applyAlignment="1">
      <alignment horizontal="center"/>
    </xf>
    <xf numFmtId="0" fontId="27" fillId="29" borderId="94" xfId="0" applyFont="1" applyFill="1" applyBorder="1" applyAlignment="1">
      <alignment horizontal="center"/>
    </xf>
    <xf numFmtId="0" fontId="27" fillId="29" borderId="210" xfId="0" applyFont="1" applyFill="1" applyBorder="1" applyAlignment="1">
      <alignment horizontal="center"/>
    </xf>
    <xf numFmtId="0" fontId="0" fillId="0" borderId="207" xfId="0" applyBorder="1" applyAlignment="1">
      <alignment horizontal="center" vertical="center"/>
    </xf>
    <xf numFmtId="0" fontId="134" fillId="15" borderId="210" xfId="2821" applyFont="1" applyFill="1" applyBorder="1" applyAlignment="1">
      <alignment horizontal="left" vertical="center"/>
    </xf>
    <xf numFmtId="0" fontId="0" fillId="0" borderId="209" xfId="0" applyBorder="1" applyAlignment="1">
      <alignment horizontal="center" vertical="center"/>
    </xf>
    <xf numFmtId="0" fontId="134" fillId="15" borderId="291" xfId="2821" applyFont="1" applyFill="1" applyBorder="1" applyAlignment="1">
      <alignment horizontal="left" vertical="center"/>
    </xf>
    <xf numFmtId="0" fontId="134" fillId="15" borderId="208" xfId="2821" applyFont="1" applyFill="1" applyBorder="1" applyAlignment="1">
      <alignment horizontal="left" vertical="center"/>
    </xf>
    <xf numFmtId="0" fontId="0" fillId="0" borderId="211" xfId="0" applyBorder="1" applyAlignment="1">
      <alignment horizontal="center" vertical="center"/>
    </xf>
    <xf numFmtId="0" fontId="134" fillId="15" borderId="214" xfId="2821" applyFont="1" applyFill="1" applyBorder="1" applyAlignment="1">
      <alignment horizontal="left" vertical="center"/>
    </xf>
    <xf numFmtId="0" fontId="134" fillId="15" borderId="231" xfId="2821" applyFont="1" applyFill="1" applyBorder="1" applyAlignment="1">
      <alignment horizontal="left" vertical="center"/>
    </xf>
    <xf numFmtId="0" fontId="0" fillId="0" borderId="228" xfId="0" applyBorder="1" applyAlignment="1">
      <alignment horizontal="center" vertical="center"/>
    </xf>
    <xf numFmtId="0" fontId="134" fillId="15" borderId="215" xfId="2821" applyFont="1" applyFill="1" applyBorder="1" applyAlignment="1">
      <alignment horizontal="left" vertical="center"/>
    </xf>
    <xf numFmtId="0" fontId="42" fillId="69" borderId="0" xfId="2821" applyFont="1" applyFill="1" applyBorder="1" applyAlignment="1">
      <alignment vertical="center"/>
    </xf>
    <xf numFmtId="0" fontId="0" fillId="47" borderId="0" xfId="0" applyFill="1" applyAlignment="1">
      <alignment horizontal="right" vertical="center"/>
    </xf>
    <xf numFmtId="0" fontId="42" fillId="47" borderId="0" xfId="2821" applyFont="1" applyFill="1" applyBorder="1" applyAlignment="1">
      <alignment horizontal="left" vertical="center"/>
    </xf>
    <xf numFmtId="0" fontId="0" fillId="47" borderId="0" xfId="0" applyFill="1" applyAlignment="1">
      <alignment horizontal="left"/>
    </xf>
    <xf numFmtId="0" fontId="134" fillId="55" borderId="0" xfId="2821" applyFont="1" applyFill="1" applyBorder="1" applyAlignment="1">
      <alignment horizontal="left" vertical="center"/>
    </xf>
    <xf numFmtId="0" fontId="25" fillId="16" borderId="225" xfId="2821" applyFont="1" applyFill="1" applyBorder="1" applyAlignment="1" applyProtection="1">
      <alignment horizontal="center" vertical="center" wrapText="1"/>
      <protection hidden="1"/>
    </xf>
    <xf numFmtId="49" fontId="27" fillId="16" borderId="210" xfId="2821" applyNumberFormat="1" applyFont="1" applyFill="1" applyBorder="1" applyAlignment="1">
      <alignment horizontal="center" vertical="center"/>
    </xf>
    <xf numFmtId="49" fontId="27" fillId="16" borderId="215" xfId="2821" applyNumberFormat="1" applyFont="1" applyFill="1" applyBorder="1" applyAlignment="1">
      <alignment horizontal="center" vertical="center"/>
    </xf>
    <xf numFmtId="0" fontId="0" fillId="47" borderId="0" xfId="0" applyFill="1" applyAlignment="1">
      <alignment wrapText="1"/>
    </xf>
    <xf numFmtId="0" fontId="0" fillId="29" borderId="120" xfId="0" applyFont="1" applyFill="1" applyBorder="1" applyAlignment="1">
      <alignment horizontal="left" vertical="center"/>
    </xf>
    <xf numFmtId="0" fontId="0" fillId="29" borderId="120" xfId="0" applyFont="1" applyFill="1" applyBorder="1" applyAlignment="1">
      <alignment vertical="center"/>
    </xf>
    <xf numFmtId="0" fontId="0" fillId="29" borderId="286" xfId="0" applyFont="1" applyFill="1" applyBorder="1" applyAlignment="1">
      <alignment vertical="center"/>
    </xf>
    <xf numFmtId="0" fontId="111" fillId="29" borderId="266" xfId="0" applyFont="1" applyFill="1" applyBorder="1" applyAlignment="1">
      <alignment vertical="center"/>
    </xf>
    <xf numFmtId="0" fontId="111" fillId="29" borderId="287" xfId="0" applyFont="1" applyFill="1" applyBorder="1" applyAlignment="1">
      <alignment vertical="center"/>
    </xf>
    <xf numFmtId="0" fontId="32" fillId="18" borderId="94" xfId="0" applyFont="1" applyFill="1" applyBorder="1" applyAlignment="1" applyProtection="1">
      <alignment horizontal="left" vertical="center"/>
      <protection locked="0"/>
    </xf>
    <xf numFmtId="0" fontId="27" fillId="47" borderId="0" xfId="0" applyFont="1" applyFill="1" applyBorder="1" applyAlignment="1" applyProtection="1"/>
    <xf numFmtId="0" fontId="40" fillId="47" borderId="0" xfId="0" applyFont="1" applyFill="1" applyBorder="1" applyAlignment="1" applyProtection="1">
      <alignment vertical="top"/>
    </xf>
    <xf numFmtId="0" fontId="0" fillId="47" borderId="87" xfId="0" applyFont="1" applyFill="1" applyBorder="1" applyProtection="1"/>
    <xf numFmtId="0" fontId="24" fillId="47" borderId="0" xfId="0" applyFont="1" applyFill="1" applyBorder="1"/>
    <xf numFmtId="0" fontId="0" fillId="47" borderId="0" xfId="0" applyFill="1" applyAlignment="1">
      <alignment vertical="center"/>
    </xf>
    <xf numFmtId="0" fontId="107" fillId="47" borderId="0" xfId="0" applyFont="1" applyFill="1" applyBorder="1" applyAlignment="1">
      <alignment vertical="center"/>
    </xf>
    <xf numFmtId="1" fontId="157" fillId="10" borderId="210" xfId="0" applyNumberFormat="1" applyFont="1" applyFill="1" applyBorder="1" applyAlignment="1" applyProtection="1">
      <alignment horizontal="center" vertical="center"/>
      <protection locked="0"/>
    </xf>
    <xf numFmtId="49" fontId="25" fillId="10" borderId="214" xfId="0" applyNumberFormat="1" applyFont="1" applyFill="1" applyBorder="1" applyAlignment="1" applyProtection="1">
      <alignment horizontal="left" vertical="center" shrinkToFit="1"/>
      <protection locked="0"/>
    </xf>
    <xf numFmtId="0" fontId="88" fillId="32" borderId="214" xfId="2822" applyFont="1" applyFill="1" applyBorder="1" applyAlignment="1" applyProtection="1">
      <alignment horizontal="center" vertical="center" wrapText="1"/>
      <protection locked="0"/>
    </xf>
    <xf numFmtId="1" fontId="155" fillId="0" borderId="294" xfId="0" applyNumberFormat="1" applyFont="1" applyFill="1" applyBorder="1" applyAlignment="1" applyProtection="1">
      <alignment horizontal="center" vertical="center"/>
    </xf>
    <xf numFmtId="167" fontId="88" fillId="15" borderId="214" xfId="0" applyNumberFormat="1" applyFont="1" applyFill="1" applyBorder="1" applyAlignment="1" applyProtection="1">
      <alignment horizontal="center" vertical="center"/>
    </xf>
    <xf numFmtId="0" fontId="88" fillId="18" borderId="214" xfId="0" applyFont="1" applyFill="1" applyBorder="1" applyAlignment="1" applyProtection="1">
      <alignment vertical="center"/>
      <protection locked="0"/>
    </xf>
    <xf numFmtId="1" fontId="157" fillId="10" borderId="214" xfId="0" applyNumberFormat="1" applyFont="1" applyFill="1" applyBorder="1" applyAlignment="1" applyProtection="1">
      <alignment horizontal="center" vertical="center"/>
      <protection locked="0"/>
    </xf>
    <xf numFmtId="1" fontId="157" fillId="10" borderId="215" xfId="0" applyNumberFormat="1" applyFont="1" applyFill="1" applyBorder="1" applyAlignment="1" applyProtection="1">
      <alignment horizontal="center" vertical="center"/>
      <protection locked="0"/>
    </xf>
    <xf numFmtId="0" fontId="27" fillId="29" borderId="217" xfId="0" applyFont="1" applyFill="1" applyBorder="1" applyAlignment="1">
      <alignment horizontal="center" vertical="center" wrapText="1"/>
    </xf>
    <xf numFmtId="0" fontId="62" fillId="29" borderId="210" xfId="0" applyFont="1" applyFill="1" applyBorder="1" applyAlignment="1">
      <alignment horizontal="center" vertical="center" wrapText="1"/>
    </xf>
    <xf numFmtId="2" fontId="0" fillId="29" borderId="217" xfId="0" applyNumberFormat="1" applyFill="1" applyBorder="1" applyAlignment="1" applyProtection="1">
      <alignment vertical="center"/>
    </xf>
    <xf numFmtId="1" fontId="31" fillId="53" borderId="210" xfId="0" applyNumberFormat="1" applyFont="1" applyFill="1" applyBorder="1" applyAlignment="1" applyProtection="1">
      <alignment horizontal="center" vertical="center"/>
    </xf>
    <xf numFmtId="0" fontId="25" fillId="49" borderId="217" xfId="0" applyFont="1" applyFill="1" applyBorder="1" applyAlignment="1" applyProtection="1">
      <alignment horizontal="left" vertical="center"/>
      <protection locked="0"/>
    </xf>
    <xf numFmtId="2" fontId="27" fillId="47" borderId="98" xfId="0" applyNumberFormat="1" applyFont="1" applyFill="1" applyBorder="1" applyAlignment="1" applyProtection="1">
      <alignment horizontal="center" vertical="center" shrinkToFit="1"/>
    </xf>
    <xf numFmtId="0" fontId="33" fillId="29" borderId="221" xfId="0" applyFont="1" applyFill="1" applyBorder="1"/>
    <xf numFmtId="0" fontId="27" fillId="29" borderId="217" xfId="0" applyFont="1" applyFill="1" applyBorder="1" applyAlignment="1">
      <alignment vertical="center" wrapText="1"/>
    </xf>
    <xf numFmtId="0" fontId="0" fillId="32" borderId="217" xfId="0" applyFont="1" applyFill="1" applyBorder="1" applyAlignment="1" applyProtection="1">
      <alignment horizontal="left" vertical="center" wrapText="1" indent="1" shrinkToFit="1"/>
      <protection locked="0"/>
    </xf>
    <xf numFmtId="1" fontId="24" fillId="10" borderId="210" xfId="0" applyNumberFormat="1" applyFont="1" applyFill="1" applyBorder="1" applyAlignment="1" applyProtection="1">
      <alignment horizontal="center" vertical="center"/>
      <protection locked="0"/>
    </xf>
    <xf numFmtId="1" fontId="0" fillId="33" borderId="217" xfId="0" applyNumberFormat="1" applyFont="1" applyFill="1" applyBorder="1" applyAlignment="1" applyProtection="1">
      <alignment horizontal="left" vertical="center" wrapText="1" indent="1"/>
      <protection locked="0"/>
    </xf>
    <xf numFmtId="2" fontId="0" fillId="33" borderId="214" xfId="0" applyNumberFormat="1" applyFont="1" applyFill="1" applyBorder="1" applyAlignment="1" applyProtection="1">
      <alignment horizontal="center" vertical="center" shrinkToFit="1"/>
      <protection locked="0"/>
    </xf>
    <xf numFmtId="0" fontId="0" fillId="32" borderId="214" xfId="0" applyFont="1" applyFill="1" applyBorder="1" applyAlignment="1" applyProtection="1">
      <alignment horizontal="center" vertical="center" shrinkToFit="1"/>
      <protection locked="0"/>
    </xf>
    <xf numFmtId="1" fontId="0" fillId="33" borderId="214" xfId="0" applyNumberFormat="1" applyFont="1" applyFill="1" applyBorder="1" applyAlignment="1" applyProtection="1">
      <alignment horizontal="center" vertical="center" wrapText="1"/>
      <protection locked="0"/>
    </xf>
    <xf numFmtId="167" fontId="0" fillId="0" borderId="214" xfId="0" applyNumberFormat="1" applyFont="1" applyFill="1" applyBorder="1" applyAlignment="1" applyProtection="1">
      <alignment horizontal="center" vertical="center" wrapText="1"/>
    </xf>
    <xf numFmtId="0" fontId="0" fillId="18" borderId="214" xfId="0" applyFont="1" applyFill="1" applyBorder="1" applyAlignment="1" applyProtection="1">
      <alignment vertical="center" wrapText="1"/>
      <protection locked="0"/>
    </xf>
    <xf numFmtId="1" fontId="24" fillId="10" borderId="214" xfId="0" applyNumberFormat="1" applyFont="1" applyFill="1" applyBorder="1" applyAlignment="1" applyProtection="1">
      <alignment horizontal="center" vertical="center"/>
      <protection locked="0"/>
    </xf>
    <xf numFmtId="1" fontId="24" fillId="10" borderId="215" xfId="0" applyNumberFormat="1" applyFont="1" applyFill="1" applyBorder="1" applyAlignment="1" applyProtection="1">
      <alignment horizontal="center" vertical="center"/>
      <protection locked="0"/>
    </xf>
    <xf numFmtId="2" fontId="0" fillId="29" borderId="218" xfId="0" applyNumberFormat="1" applyFill="1" applyBorder="1" applyAlignment="1" applyProtection="1">
      <alignment vertical="center"/>
    </xf>
    <xf numFmtId="1" fontId="31" fillId="53" borderId="291" xfId="0" applyNumberFormat="1" applyFont="1" applyFill="1" applyBorder="1" applyAlignment="1" applyProtection="1">
      <alignment horizontal="center" vertical="center"/>
    </xf>
    <xf numFmtId="0" fontId="27" fillId="14" borderId="87" xfId="0" applyFont="1" applyFill="1" applyBorder="1" applyAlignment="1" applyProtection="1">
      <alignment horizontal="left" vertical="center" wrapText="1"/>
    </xf>
    <xf numFmtId="2" fontId="27" fillId="29" borderId="87" xfId="0" applyNumberFormat="1" applyFont="1" applyFill="1" applyBorder="1" applyAlignment="1" applyProtection="1">
      <alignment horizontal="left" vertical="center"/>
    </xf>
    <xf numFmtId="1" fontId="28" fillId="31" borderId="87" xfId="0" applyNumberFormat="1" applyFont="1" applyFill="1" applyBorder="1" applyAlignment="1" applyProtection="1">
      <alignment horizontal="center" vertical="center"/>
    </xf>
    <xf numFmtId="0" fontId="27" fillId="14" borderId="198" xfId="0" applyFont="1" applyFill="1" applyBorder="1" applyAlignment="1" applyProtection="1">
      <alignment horizontal="center" vertical="center" wrapText="1"/>
    </xf>
    <xf numFmtId="0" fontId="28" fillId="0" borderId="143" xfId="0" applyFont="1" applyFill="1" applyBorder="1" applyAlignment="1">
      <alignment horizontal="left" vertical="center"/>
    </xf>
    <xf numFmtId="0" fontId="28" fillId="0" borderId="143" xfId="0" applyFont="1" applyFill="1" applyBorder="1" applyAlignment="1">
      <alignment horizontal="center" vertical="center"/>
    </xf>
    <xf numFmtId="0" fontId="25" fillId="49" borderId="237" xfId="0" applyFont="1" applyFill="1" applyBorder="1" applyAlignment="1" applyProtection="1">
      <alignment horizontal="left" vertical="center"/>
      <protection locked="0"/>
    </xf>
    <xf numFmtId="3" fontId="48" fillId="11" borderId="210" xfId="2821" applyNumberFormat="1" applyFont="1" applyFill="1" applyBorder="1" applyAlignment="1" applyProtection="1">
      <alignment horizontal="center" vertical="center"/>
      <protection locked="0"/>
    </xf>
    <xf numFmtId="3" fontId="48" fillId="11" borderId="215" xfId="2821" applyNumberFormat="1" applyFont="1" applyFill="1" applyBorder="1" applyAlignment="1" applyProtection="1">
      <alignment horizontal="center" vertical="center"/>
      <protection locked="0"/>
    </xf>
    <xf numFmtId="0" fontId="147" fillId="45" borderId="256" xfId="0" applyFont="1" applyFill="1" applyBorder="1" applyAlignment="1">
      <alignment horizontal="center" vertical="center"/>
    </xf>
    <xf numFmtId="0" fontId="147" fillId="72" borderId="195" xfId="0" applyFont="1" applyFill="1" applyBorder="1" applyAlignment="1">
      <alignment vertical="center"/>
    </xf>
    <xf numFmtId="0" fontId="147" fillId="72" borderId="84" xfId="0" applyFont="1" applyFill="1" applyBorder="1" applyAlignment="1">
      <alignment vertical="center"/>
    </xf>
    <xf numFmtId="2" fontId="147" fillId="45" borderId="256" xfId="0" applyNumberFormat="1" applyFont="1" applyFill="1" applyBorder="1" applyAlignment="1">
      <alignment horizontal="center" vertical="center"/>
    </xf>
    <xf numFmtId="2" fontId="147" fillId="45" borderId="86" xfId="0" applyNumberFormat="1" applyFont="1" applyFill="1" applyBorder="1" applyAlignment="1">
      <alignment horizontal="center" vertical="center"/>
    </xf>
    <xf numFmtId="175" fontId="27" fillId="0" borderId="217" xfId="0" applyNumberFormat="1" applyFont="1" applyFill="1" applyBorder="1" applyAlignment="1" applyProtection="1">
      <alignment horizontal="center" vertical="center"/>
    </xf>
    <xf numFmtId="175" fontId="172" fillId="0" borderId="210" xfId="0" applyNumberFormat="1" applyFont="1" applyFill="1" applyBorder="1" applyAlignment="1" applyProtection="1">
      <alignment horizontal="center" vertical="center"/>
    </xf>
    <xf numFmtId="175" fontId="27" fillId="0" borderId="218" xfId="0" applyNumberFormat="1" applyFont="1" applyFill="1" applyBorder="1" applyAlignment="1" applyProtection="1">
      <alignment horizontal="center" vertical="center"/>
    </xf>
    <xf numFmtId="175" fontId="172" fillId="0" borderId="291" xfId="0" applyNumberFormat="1" applyFont="1" applyFill="1" applyBorder="1" applyAlignment="1" applyProtection="1">
      <alignment horizontal="center" vertical="center"/>
    </xf>
    <xf numFmtId="175" fontId="172" fillId="0" borderId="87" xfId="0" applyNumberFormat="1" applyFont="1" applyFill="1" applyBorder="1" applyAlignment="1" applyProtection="1">
      <alignment horizontal="center" vertical="center"/>
    </xf>
    <xf numFmtId="2" fontId="34" fillId="10" borderId="87" xfId="0" applyNumberFormat="1" applyFont="1" applyFill="1" applyBorder="1" applyAlignment="1" applyProtection="1">
      <alignment horizontal="center" vertical="center"/>
      <protection locked="0"/>
    </xf>
    <xf numFmtId="0" fontId="27" fillId="14" borderId="84" xfId="0" applyFont="1" applyFill="1" applyBorder="1" applyAlignment="1" applyProtection="1">
      <alignment horizontal="center" vertical="center"/>
    </xf>
    <xf numFmtId="0" fontId="27" fillId="14" borderId="122" xfId="0" applyFont="1" applyFill="1" applyBorder="1" applyAlignment="1" applyProtection="1">
      <alignment horizontal="left" vertical="center" wrapText="1"/>
    </xf>
    <xf numFmtId="1" fontId="0" fillId="0" borderId="87" xfId="0" applyNumberFormat="1" applyBorder="1" applyAlignment="1">
      <alignment horizontal="center" vertical="center"/>
    </xf>
    <xf numFmtId="167" fontId="132" fillId="0" borderId="87" xfId="0" applyNumberFormat="1" applyFont="1" applyFill="1" applyBorder="1" applyAlignment="1" applyProtection="1">
      <alignment horizontal="center" vertical="center" shrinkToFit="1"/>
    </xf>
    <xf numFmtId="0" fontId="0" fillId="0" borderId="163" xfId="0" applyFill="1" applyBorder="1" applyAlignment="1" applyProtection="1">
      <alignment horizontal="center"/>
      <protection locked="0"/>
    </xf>
    <xf numFmtId="0" fontId="0" fillId="0" borderId="0" xfId="0" applyFont="1" applyBorder="1"/>
    <xf numFmtId="176" fontId="0" fillId="14" borderId="0" xfId="0" applyNumberFormat="1" applyFont="1" applyFill="1" applyProtection="1"/>
    <xf numFmtId="175" fontId="0" fillId="0" borderId="87" xfId="0" applyNumberFormat="1" applyFont="1" applyFill="1" applyBorder="1" applyAlignment="1" applyProtection="1">
      <alignment horizontal="center" vertical="center"/>
    </xf>
    <xf numFmtId="0" fontId="0" fillId="0" borderId="0" xfId="0" applyAlignment="1">
      <alignment horizontal="center"/>
    </xf>
    <xf numFmtId="0" fontId="172" fillId="0" borderId="0" xfId="0" applyFont="1"/>
    <xf numFmtId="0" fontId="172" fillId="0" borderId="0" xfId="0" applyFont="1" applyAlignment="1">
      <alignment horizontal="center"/>
    </xf>
    <xf numFmtId="1" fontId="172" fillId="0" borderId="0" xfId="0" applyNumberFormat="1" applyFont="1"/>
    <xf numFmtId="1" fontId="0" fillId="0" borderId="0" xfId="0" applyNumberFormat="1" applyAlignment="1">
      <alignment horizontal="center"/>
    </xf>
    <xf numFmtId="0" fontId="0" fillId="0" borderId="0" xfId="0" applyAlignment="1">
      <alignment horizontal="right"/>
    </xf>
    <xf numFmtId="1" fontId="0" fillId="0" borderId="0" xfId="0" applyNumberFormat="1" applyAlignment="1">
      <alignment horizontal="right"/>
    </xf>
    <xf numFmtId="1" fontId="0" fillId="0" borderId="0" xfId="0" applyNumberFormat="1" applyAlignment="1"/>
    <xf numFmtId="1" fontId="0" fillId="0" borderId="0" xfId="0" applyNumberFormat="1" applyFont="1" applyAlignment="1">
      <alignment horizontal="center"/>
    </xf>
    <xf numFmtId="2" fontId="0" fillId="0" borderId="0" xfId="0" applyNumberFormat="1" applyAlignment="1">
      <alignment horizontal="center"/>
    </xf>
    <xf numFmtId="1" fontId="172" fillId="0" borderId="0" xfId="0" applyNumberFormat="1" applyFont="1" applyAlignment="1">
      <alignment horizontal="center"/>
    </xf>
    <xf numFmtId="0" fontId="172" fillId="0" borderId="0" xfId="0" applyFont="1" applyAlignment="1"/>
    <xf numFmtId="1" fontId="0" fillId="33" borderId="231" xfId="0" applyNumberFormat="1" applyFill="1" applyBorder="1" applyAlignment="1">
      <alignment horizontal="center" vertical="center"/>
    </xf>
    <xf numFmtId="1" fontId="0" fillId="33" borderId="231" xfId="0" applyNumberFormat="1" applyFill="1" applyBorder="1" applyAlignment="1">
      <alignment horizontal="right" vertical="center"/>
    </xf>
    <xf numFmtId="1" fontId="0" fillId="33" borderId="231" xfId="0" applyNumberFormat="1" applyFill="1" applyBorder="1" applyAlignment="1">
      <alignment vertical="center"/>
    </xf>
    <xf numFmtId="1" fontId="0" fillId="53" borderId="231" xfId="0" applyNumberFormat="1" applyFill="1" applyBorder="1" applyAlignment="1">
      <alignment horizontal="center" vertical="center"/>
    </xf>
    <xf numFmtId="1" fontId="0" fillId="53" borderId="231" xfId="0" applyNumberFormat="1" applyFill="1" applyBorder="1" applyAlignment="1">
      <alignment horizontal="right" vertical="center"/>
    </xf>
    <xf numFmtId="1" fontId="0" fillId="53" borderId="231" xfId="0" applyNumberFormat="1" applyFill="1" applyBorder="1" applyAlignment="1">
      <alignment vertical="center"/>
    </xf>
    <xf numFmtId="0" fontId="0" fillId="53" borderId="231" xfId="0" applyFill="1" applyBorder="1" applyAlignment="1">
      <alignment vertical="center"/>
    </xf>
    <xf numFmtId="1" fontId="0" fillId="33" borderId="143" xfId="0" applyNumberFormat="1" applyFill="1" applyBorder="1" applyAlignment="1">
      <alignment horizontal="center" vertical="center"/>
    </xf>
    <xf numFmtId="1" fontId="0" fillId="33" borderId="143" xfId="0" applyNumberFormat="1" applyFill="1" applyBorder="1" applyAlignment="1">
      <alignment horizontal="right" vertical="center"/>
    </xf>
    <xf numFmtId="1" fontId="0" fillId="33" borderId="143" xfId="0" applyNumberFormat="1" applyFill="1" applyBorder="1" applyAlignment="1">
      <alignment vertical="center"/>
    </xf>
    <xf numFmtId="0" fontId="0" fillId="33" borderId="143" xfId="0" applyFill="1" applyBorder="1" applyAlignment="1">
      <alignment vertical="center"/>
    </xf>
    <xf numFmtId="0" fontId="0" fillId="33" borderId="231" xfId="0" applyFill="1" applyBorder="1" applyAlignment="1">
      <alignment vertical="center"/>
    </xf>
    <xf numFmtId="1" fontId="0" fillId="33" borderId="186" xfId="0" applyNumberFormat="1" applyFill="1" applyBorder="1" applyAlignment="1">
      <alignment horizontal="center" vertical="center"/>
    </xf>
    <xf numFmtId="1" fontId="0" fillId="53" borderId="84" xfId="0" applyNumberFormat="1" applyFill="1" applyBorder="1" applyAlignment="1">
      <alignment horizontal="center" vertical="center"/>
    </xf>
    <xf numFmtId="1" fontId="0" fillId="33" borderId="80" xfId="0" applyNumberFormat="1" applyFill="1" applyBorder="1" applyAlignment="1">
      <alignment horizontal="center" vertical="center"/>
    </xf>
    <xf numFmtId="1" fontId="0" fillId="33" borderId="84" xfId="0" applyNumberFormat="1" applyFill="1" applyBorder="1" applyAlignment="1">
      <alignment horizontal="center" vertical="center"/>
    </xf>
    <xf numFmtId="0" fontId="0" fillId="33" borderId="122" xfId="0" applyFill="1" applyBorder="1" applyAlignment="1">
      <alignment horizontal="left" vertical="center"/>
    </xf>
    <xf numFmtId="0" fontId="0" fillId="53" borderId="122" xfId="0" applyFill="1" applyBorder="1" applyAlignment="1">
      <alignment horizontal="left" vertical="center"/>
    </xf>
    <xf numFmtId="0" fontId="0" fillId="33" borderId="87" xfId="0" applyFill="1" applyBorder="1" applyAlignment="1">
      <alignment horizontal="left" vertical="center"/>
    </xf>
    <xf numFmtId="0" fontId="0" fillId="33" borderId="84" xfId="0" applyFill="1" applyBorder="1" applyAlignment="1">
      <alignment horizontal="left" vertical="center"/>
    </xf>
    <xf numFmtId="0" fontId="0" fillId="53" borderId="80" xfId="0" applyFill="1" applyBorder="1" applyAlignment="1">
      <alignment horizontal="left" vertical="center"/>
    </xf>
    <xf numFmtId="1" fontId="0" fillId="53" borderId="80" xfId="0" applyNumberFormat="1" applyFill="1" applyBorder="1" applyAlignment="1">
      <alignment horizontal="center" vertical="center"/>
    </xf>
    <xf numFmtId="0" fontId="0" fillId="33" borderId="143" xfId="0" applyFill="1" applyBorder="1" applyAlignment="1"/>
    <xf numFmtId="0" fontId="0" fillId="53" borderId="143" xfId="0" applyFill="1" applyBorder="1" applyAlignment="1"/>
    <xf numFmtId="0" fontId="27" fillId="29" borderId="176" xfId="0" applyFont="1" applyFill="1" applyBorder="1" applyAlignment="1">
      <alignment horizontal="left" vertical="center"/>
    </xf>
    <xf numFmtId="0" fontId="27" fillId="29" borderId="178" xfId="0" applyFont="1" applyFill="1" applyBorder="1" applyAlignment="1">
      <alignment vertical="center"/>
    </xf>
    <xf numFmtId="1" fontId="0" fillId="33" borderId="303" xfId="0" applyNumberFormat="1" applyFill="1" applyBorder="1" applyAlignment="1">
      <alignment vertical="center"/>
    </xf>
    <xf numFmtId="1" fontId="0" fillId="53" borderId="303" xfId="0" applyNumberFormat="1" applyFill="1" applyBorder="1" applyAlignment="1">
      <alignment vertical="center"/>
    </xf>
    <xf numFmtId="1" fontId="0" fillId="33" borderId="184" xfId="0" applyNumberFormat="1" applyFill="1" applyBorder="1" applyAlignment="1">
      <alignment vertical="center"/>
    </xf>
    <xf numFmtId="0" fontId="0" fillId="33" borderId="193" xfId="0" applyFill="1" applyBorder="1" applyAlignment="1"/>
    <xf numFmtId="0" fontId="32" fillId="0" borderId="0" xfId="0" applyFont="1" applyAlignment="1">
      <alignment horizontal="left"/>
    </xf>
    <xf numFmtId="0" fontId="178" fillId="0" borderId="0" xfId="0" applyFont="1" applyAlignment="1">
      <alignment horizontal="left"/>
    </xf>
    <xf numFmtId="0" fontId="32"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horizontal="right" vertical="center"/>
    </xf>
    <xf numFmtId="0" fontId="179" fillId="0" borderId="0" xfId="0" applyFont="1" applyAlignment="1">
      <alignment horizontal="center" vertical="center"/>
    </xf>
    <xf numFmtId="0" fontId="30" fillId="0" borderId="0" xfId="0" applyFont="1" applyAlignment="1">
      <alignment horizontal="left" vertical="center"/>
    </xf>
    <xf numFmtId="0" fontId="30" fillId="0" borderId="0" xfId="0" applyFont="1" applyAlignment="1">
      <alignment vertical="center"/>
    </xf>
    <xf numFmtId="0" fontId="0" fillId="33" borderId="195" xfId="0" applyFont="1" applyFill="1" applyBorder="1" applyAlignment="1">
      <alignment horizontal="left" vertical="center"/>
    </xf>
    <xf numFmtId="0" fontId="0" fillId="53" borderId="195" xfId="0" applyFont="1" applyFill="1" applyBorder="1" applyAlignment="1">
      <alignment horizontal="left" vertical="center"/>
    </xf>
    <xf numFmtId="0" fontId="32" fillId="33" borderId="195" xfId="0" applyFont="1" applyFill="1" applyBorder="1" applyAlignment="1">
      <alignment horizontal="left" vertical="center"/>
    </xf>
    <xf numFmtId="0" fontId="32" fillId="53" borderId="195" xfId="0" applyFont="1" applyFill="1" applyBorder="1" applyAlignment="1">
      <alignment horizontal="left" vertical="center"/>
    </xf>
    <xf numFmtId="0" fontId="0" fillId="33" borderId="195" xfId="0" applyFont="1" applyFill="1" applyBorder="1" applyAlignment="1">
      <alignment horizontal="center" vertical="center"/>
    </xf>
    <xf numFmtId="0" fontId="0" fillId="33" borderId="0" xfId="0" applyFont="1" applyFill="1" applyBorder="1" applyAlignment="1">
      <alignment horizontal="right" vertical="center"/>
    </xf>
    <xf numFmtId="0" fontId="0" fillId="33" borderId="0" xfId="0" applyFont="1" applyFill="1" applyBorder="1" applyAlignment="1">
      <alignment horizontal="center" vertical="center"/>
    </xf>
    <xf numFmtId="0" fontId="0" fillId="53" borderId="195" xfId="0" applyFont="1" applyFill="1" applyBorder="1" applyAlignment="1">
      <alignment horizontal="center" vertical="center"/>
    </xf>
    <xf numFmtId="0" fontId="0" fillId="53" borderId="0" xfId="0" applyFont="1" applyFill="1" applyBorder="1" applyAlignment="1">
      <alignment horizontal="right" vertical="center"/>
    </xf>
    <xf numFmtId="0" fontId="0" fillId="53" borderId="0" xfId="0" applyFont="1" applyFill="1" applyBorder="1" applyAlignment="1">
      <alignment horizontal="center" vertical="center"/>
    </xf>
    <xf numFmtId="0" fontId="32" fillId="33" borderId="195" xfId="0" applyFont="1" applyFill="1" applyBorder="1" applyAlignment="1">
      <alignment horizontal="center" vertical="center"/>
    </xf>
    <xf numFmtId="0" fontId="32" fillId="33" borderId="0" xfId="0" applyFont="1" applyFill="1" applyBorder="1" applyAlignment="1">
      <alignment horizontal="right" vertical="center"/>
    </xf>
    <xf numFmtId="0" fontId="32" fillId="33" borderId="0" xfId="0" applyFont="1" applyFill="1" applyBorder="1" applyAlignment="1">
      <alignment horizontal="center" vertical="center"/>
    </xf>
    <xf numFmtId="0" fontId="32" fillId="53" borderId="195" xfId="0" applyFont="1" applyFill="1" applyBorder="1" applyAlignment="1">
      <alignment horizontal="center" vertical="center"/>
    </xf>
    <xf numFmtId="0" fontId="32" fillId="53" borderId="0" xfId="0" applyFont="1" applyFill="1" applyBorder="1" applyAlignment="1">
      <alignment horizontal="right" vertical="center"/>
    </xf>
    <xf numFmtId="0" fontId="32" fillId="53" borderId="0" xfId="0" applyFont="1" applyFill="1" applyBorder="1" applyAlignment="1">
      <alignment horizontal="center" vertical="center"/>
    </xf>
    <xf numFmtId="0" fontId="0" fillId="53" borderId="299" xfId="0" applyFont="1" applyFill="1" applyBorder="1" applyAlignment="1">
      <alignment horizontal="center" vertical="center"/>
    </xf>
    <xf numFmtId="0" fontId="0" fillId="53" borderId="194" xfId="0" applyFont="1" applyFill="1" applyBorder="1" applyAlignment="1">
      <alignment horizontal="left" vertical="center"/>
    </xf>
    <xf numFmtId="0" fontId="0" fillId="53" borderId="194" xfId="0" applyFont="1" applyFill="1" applyBorder="1" applyAlignment="1">
      <alignment horizontal="center" vertical="center"/>
    </xf>
    <xf numFmtId="0" fontId="0" fillId="53" borderId="299" xfId="0" applyFont="1" applyFill="1" applyBorder="1" applyAlignment="1">
      <alignment horizontal="right" vertical="center"/>
    </xf>
    <xf numFmtId="0" fontId="0" fillId="53" borderId="299" xfId="0" applyFont="1" applyFill="1" applyBorder="1" applyAlignment="1"/>
    <xf numFmtId="0" fontId="0" fillId="53" borderId="0" xfId="0" applyFont="1" applyFill="1" applyBorder="1" applyAlignment="1"/>
    <xf numFmtId="0" fontId="27" fillId="29" borderId="178" xfId="0" applyFont="1" applyFill="1" applyBorder="1" applyAlignment="1"/>
    <xf numFmtId="0" fontId="0" fillId="33" borderId="299" xfId="0" applyFont="1" applyFill="1" applyBorder="1" applyAlignment="1">
      <alignment horizontal="right" vertical="center"/>
    </xf>
    <xf numFmtId="0" fontId="0" fillId="33" borderId="299" xfId="0" applyFont="1" applyFill="1" applyBorder="1" applyAlignment="1">
      <alignment horizontal="center" vertical="center"/>
    </xf>
    <xf numFmtId="0" fontId="0" fillId="33" borderId="299" xfId="0" applyFont="1" applyFill="1" applyBorder="1" applyAlignment="1"/>
    <xf numFmtId="0" fontId="0" fillId="33" borderId="0" xfId="0" applyFont="1" applyFill="1" applyBorder="1" applyAlignment="1"/>
    <xf numFmtId="0" fontId="0" fillId="33" borderId="0" xfId="0" applyFont="1" applyFill="1" applyBorder="1" applyAlignment="1">
      <alignment vertical="center"/>
    </xf>
    <xf numFmtId="0" fontId="0" fillId="53" borderId="299" xfId="0" applyFont="1" applyFill="1" applyBorder="1" applyAlignment="1">
      <alignment vertical="center"/>
    </xf>
    <xf numFmtId="0" fontId="0" fillId="53" borderId="0" xfId="0" applyFont="1" applyFill="1" applyBorder="1" applyAlignment="1">
      <alignment vertical="center"/>
    </xf>
    <xf numFmtId="0" fontId="0" fillId="33" borderId="299" xfId="0" applyFont="1" applyFill="1" applyBorder="1" applyAlignment="1">
      <alignment vertical="center"/>
    </xf>
    <xf numFmtId="0" fontId="32" fillId="33" borderId="0" xfId="0" applyFont="1" applyFill="1" applyBorder="1" applyAlignment="1">
      <alignment vertical="center"/>
    </xf>
    <xf numFmtId="0" fontId="32" fillId="53" borderId="0" xfId="0" applyFont="1" applyFill="1" applyBorder="1" applyAlignment="1">
      <alignment vertical="center"/>
    </xf>
    <xf numFmtId="0" fontId="32" fillId="33" borderId="299" xfId="0" applyFont="1" applyFill="1" applyBorder="1" applyAlignment="1">
      <alignment horizontal="right" vertical="center"/>
    </xf>
    <xf numFmtId="0" fontId="32" fillId="33" borderId="299" xfId="0" applyFont="1" applyFill="1" applyBorder="1" applyAlignment="1">
      <alignment horizontal="center" vertical="center"/>
    </xf>
    <xf numFmtId="0" fontId="32" fillId="33" borderId="299" xfId="0" applyFont="1" applyFill="1" applyBorder="1" applyAlignment="1">
      <alignment vertical="center"/>
    </xf>
    <xf numFmtId="0" fontId="0" fillId="33" borderId="299" xfId="0" applyFill="1" applyBorder="1" applyAlignment="1"/>
    <xf numFmtId="0" fontId="0" fillId="33" borderId="0" xfId="0" applyFill="1" applyBorder="1" applyAlignment="1"/>
    <xf numFmtId="0" fontId="32" fillId="53" borderId="299" xfId="0" applyFont="1" applyFill="1" applyBorder="1" applyAlignment="1">
      <alignment horizontal="right" vertical="center"/>
    </xf>
    <xf numFmtId="0" fontId="32" fillId="53" borderId="299" xfId="0" applyFont="1" applyFill="1" applyBorder="1" applyAlignment="1">
      <alignment horizontal="center" vertical="center"/>
    </xf>
    <xf numFmtId="0" fontId="32" fillId="53" borderId="299" xfId="0" applyFont="1" applyFill="1" applyBorder="1" applyAlignment="1">
      <alignment vertical="center"/>
    </xf>
    <xf numFmtId="0" fontId="0" fillId="53" borderId="299" xfId="0" applyFill="1" applyBorder="1" applyAlignment="1"/>
    <xf numFmtId="0" fontId="0" fillId="53" borderId="0" xfId="0" applyFill="1" applyBorder="1" applyAlignment="1"/>
    <xf numFmtId="0" fontId="0" fillId="33" borderId="149" xfId="0" applyFont="1" applyFill="1" applyBorder="1" applyAlignment="1">
      <alignment vertical="center"/>
    </xf>
    <xf numFmtId="0" fontId="0" fillId="53" borderId="307" xfId="0" applyFont="1" applyFill="1" applyBorder="1" applyAlignment="1">
      <alignment vertical="center"/>
    </xf>
    <xf numFmtId="0" fontId="0" fillId="53" borderId="149" xfId="0" applyFont="1" applyFill="1" applyBorder="1" applyAlignment="1">
      <alignment vertical="center"/>
    </xf>
    <xf numFmtId="0" fontId="0" fillId="33" borderId="309" xfId="0" applyFont="1" applyFill="1" applyBorder="1" applyAlignment="1">
      <alignment horizontal="left" vertical="center"/>
    </xf>
    <xf numFmtId="0" fontId="0" fillId="33" borderId="309" xfId="0" applyFont="1" applyFill="1" applyBorder="1" applyAlignment="1">
      <alignment horizontal="center" vertical="center"/>
    </xf>
    <xf numFmtId="0" fontId="0" fillId="33" borderId="307" xfId="0" applyFont="1" applyFill="1" applyBorder="1" applyAlignment="1">
      <alignment vertical="center"/>
    </xf>
    <xf numFmtId="0" fontId="32" fillId="33" borderId="309" xfId="0" applyFont="1" applyFill="1" applyBorder="1" applyAlignment="1">
      <alignment horizontal="left" vertical="center"/>
    </xf>
    <xf numFmtId="0" fontId="32" fillId="33" borderId="309" xfId="0" applyFont="1" applyFill="1" applyBorder="1" applyAlignment="1">
      <alignment horizontal="center" vertical="center"/>
    </xf>
    <xf numFmtId="0" fontId="32" fillId="33" borderId="307" xfId="0" applyFont="1" applyFill="1" applyBorder="1" applyAlignment="1">
      <alignment vertical="center"/>
    </xf>
    <xf numFmtId="0" fontId="32" fillId="33" borderId="149" xfId="0" applyFont="1" applyFill="1" applyBorder="1" applyAlignment="1">
      <alignment vertical="center"/>
    </xf>
    <xf numFmtId="0" fontId="32" fillId="53" borderId="309" xfId="0" applyFont="1" applyFill="1" applyBorder="1" applyAlignment="1">
      <alignment horizontal="left" vertical="center"/>
    </xf>
    <xf numFmtId="0" fontId="32" fillId="53" borderId="309" xfId="0" applyFont="1" applyFill="1" applyBorder="1" applyAlignment="1">
      <alignment horizontal="center" vertical="center"/>
    </xf>
    <xf numFmtId="0" fontId="32" fillId="53" borderId="307" xfId="0" applyFont="1" applyFill="1" applyBorder="1" applyAlignment="1">
      <alignment vertical="center"/>
    </xf>
    <xf numFmtId="0" fontId="32" fillId="53" borderId="149" xfId="0" applyFont="1" applyFill="1" applyBorder="1" applyAlignment="1">
      <alignment vertical="center"/>
    </xf>
    <xf numFmtId="0" fontId="32" fillId="33" borderId="310" xfId="0" applyFont="1" applyFill="1" applyBorder="1" applyAlignment="1">
      <alignment horizontal="left" vertical="center"/>
    </xf>
    <xf numFmtId="0" fontId="32" fillId="33" borderId="310" xfId="0" applyFont="1" applyFill="1" applyBorder="1" applyAlignment="1">
      <alignment horizontal="center" vertical="center"/>
    </xf>
    <xf numFmtId="0" fontId="32" fillId="33" borderId="153" xfId="0" applyFont="1" applyFill="1" applyBorder="1" applyAlignment="1">
      <alignment horizontal="right" vertical="center"/>
    </xf>
    <xf numFmtId="0" fontId="32" fillId="33" borderId="153" xfId="0" applyFont="1" applyFill="1" applyBorder="1" applyAlignment="1">
      <alignment horizontal="center" vertical="center"/>
    </xf>
    <xf numFmtId="0" fontId="32" fillId="33" borderId="153" xfId="0" applyFont="1" applyFill="1" applyBorder="1" applyAlignment="1">
      <alignment vertical="center"/>
    </xf>
    <xf numFmtId="0" fontId="0" fillId="33" borderId="153" xfId="0" applyFill="1" applyBorder="1" applyAlignment="1"/>
    <xf numFmtId="0" fontId="32" fillId="33" borderId="154" xfId="0" applyFont="1" applyFill="1" applyBorder="1" applyAlignment="1">
      <alignment vertical="center"/>
    </xf>
    <xf numFmtId="0" fontId="27" fillId="29" borderId="302" xfId="0" applyFont="1" applyFill="1" applyBorder="1" applyAlignment="1">
      <alignment horizontal="center" vertical="center"/>
    </xf>
    <xf numFmtId="0" fontId="27" fillId="29" borderId="231" xfId="0" applyFont="1" applyFill="1" applyBorder="1" applyAlignment="1">
      <alignment vertical="center"/>
    </xf>
    <xf numFmtId="2" fontId="0" fillId="29" borderId="231" xfId="0" applyNumberFormat="1" applyFill="1" applyBorder="1" applyAlignment="1">
      <alignment horizontal="center" vertical="center"/>
    </xf>
    <xf numFmtId="0" fontId="27" fillId="29" borderId="183" xfId="0" applyFont="1" applyFill="1" applyBorder="1" applyAlignment="1">
      <alignment horizontal="center"/>
    </xf>
    <xf numFmtId="0" fontId="27" fillId="29" borderId="143" xfId="0" applyFont="1" applyFill="1" applyBorder="1"/>
    <xf numFmtId="0" fontId="27" fillId="33" borderId="171" xfId="0" applyFont="1" applyFill="1" applyBorder="1" applyAlignment="1">
      <alignment horizontal="left" vertical="center"/>
    </xf>
    <xf numFmtId="0" fontId="27" fillId="53" borderId="122" xfId="0" applyFont="1" applyFill="1" applyBorder="1" applyAlignment="1">
      <alignment horizontal="left" vertical="center"/>
    </xf>
    <xf numFmtId="0" fontId="27" fillId="33" borderId="87" xfId="0" applyFont="1" applyFill="1" applyBorder="1" applyAlignment="1">
      <alignment horizontal="left" vertical="center"/>
    </xf>
    <xf numFmtId="0" fontId="27" fillId="33" borderId="122" xfId="0" applyFont="1" applyFill="1" applyBorder="1" applyAlignment="1">
      <alignment horizontal="left" vertical="center"/>
    </xf>
    <xf numFmtId="0" fontId="27" fillId="45" borderId="302" xfId="0" applyFont="1" applyFill="1" applyBorder="1" applyAlignment="1">
      <alignment horizontal="center" vertical="center"/>
    </xf>
    <xf numFmtId="0" fontId="27" fillId="45" borderId="231" xfId="0" applyFont="1" applyFill="1" applyBorder="1" applyAlignment="1">
      <alignment vertical="center"/>
    </xf>
    <xf numFmtId="2" fontId="0" fillId="45" borderId="231" xfId="0" applyNumberFormat="1" applyFill="1" applyBorder="1" applyAlignment="1">
      <alignment horizontal="center" vertical="center"/>
    </xf>
    <xf numFmtId="0" fontId="27" fillId="45" borderId="183" xfId="0" applyFont="1" applyFill="1" applyBorder="1" applyAlignment="1">
      <alignment horizontal="center" vertical="center"/>
    </xf>
    <xf numFmtId="0" fontId="27" fillId="45" borderId="143" xfId="0" applyFont="1" applyFill="1" applyBorder="1" applyAlignment="1">
      <alignment vertical="center"/>
    </xf>
    <xf numFmtId="2" fontId="0" fillId="45" borderId="143" xfId="0" applyNumberFormat="1" applyFill="1" applyBorder="1" applyAlignment="1">
      <alignment horizontal="center" vertical="center"/>
    </xf>
    <xf numFmtId="0" fontId="27" fillId="45" borderId="183" xfId="0" applyFont="1" applyFill="1" applyBorder="1" applyAlignment="1">
      <alignment horizontal="center"/>
    </xf>
    <xf numFmtId="0" fontId="27" fillId="45" borderId="143" xfId="0" applyFont="1" applyFill="1" applyBorder="1"/>
    <xf numFmtId="0" fontId="27" fillId="45" borderId="304" xfId="0" applyFont="1" applyFill="1" applyBorder="1" applyAlignment="1">
      <alignment horizontal="center"/>
    </xf>
    <xf numFmtId="0" fontId="27" fillId="45" borderId="193" xfId="0" applyFont="1" applyFill="1" applyBorder="1"/>
    <xf numFmtId="0" fontId="27" fillId="45" borderId="0" xfId="0" applyFont="1" applyFill="1" applyBorder="1" applyAlignment="1">
      <alignment vertical="center"/>
    </xf>
    <xf numFmtId="2" fontId="0" fillId="45" borderId="0" xfId="0" applyNumberFormat="1" applyFont="1" applyFill="1" applyBorder="1" applyAlignment="1">
      <alignment horizontal="center" vertical="center"/>
    </xf>
    <xf numFmtId="0" fontId="27" fillId="45" borderId="299" xfId="0" applyFont="1" applyFill="1" applyBorder="1" applyAlignment="1">
      <alignment vertical="center"/>
    </xf>
    <xf numFmtId="2" fontId="0" fillId="45" borderId="299" xfId="0" applyNumberFormat="1" applyFont="1" applyFill="1" applyBorder="1" applyAlignment="1">
      <alignment horizontal="center" vertical="center"/>
    </xf>
    <xf numFmtId="0" fontId="30" fillId="45" borderId="299" xfId="0" applyFont="1" applyFill="1" applyBorder="1" applyAlignment="1">
      <alignment vertical="center"/>
    </xf>
    <xf numFmtId="2" fontId="32" fillId="45" borderId="299" xfId="0" applyNumberFormat="1" applyFont="1" applyFill="1" applyBorder="1" applyAlignment="1">
      <alignment horizontal="center" vertical="center"/>
    </xf>
    <xf numFmtId="0" fontId="30" fillId="45" borderId="0" xfId="0" applyFont="1" applyFill="1" applyBorder="1" applyAlignment="1">
      <alignment vertical="center"/>
    </xf>
    <xf numFmtId="2" fontId="32" fillId="45" borderId="0" xfId="0" applyNumberFormat="1" applyFont="1" applyFill="1" applyBorder="1" applyAlignment="1">
      <alignment horizontal="center" vertical="center"/>
    </xf>
    <xf numFmtId="0" fontId="30" fillId="45" borderId="153" xfId="0" applyFont="1" applyFill="1" applyBorder="1" applyAlignment="1">
      <alignment vertical="center"/>
    </xf>
    <xf numFmtId="2" fontId="32" fillId="45" borderId="153" xfId="0" applyNumberFormat="1" applyFont="1" applyFill="1" applyBorder="1" applyAlignment="1">
      <alignment horizontal="center" vertical="center"/>
    </xf>
    <xf numFmtId="0" fontId="27" fillId="29" borderId="299" xfId="0" applyFont="1" applyFill="1" applyBorder="1" applyAlignment="1">
      <alignment vertical="center"/>
    </xf>
    <xf numFmtId="2" fontId="0" fillId="29" borderId="299" xfId="0" applyNumberFormat="1" applyFont="1" applyFill="1" applyBorder="1" applyAlignment="1">
      <alignment horizontal="center" vertical="center"/>
    </xf>
    <xf numFmtId="0" fontId="27" fillId="29" borderId="0" xfId="0" applyFont="1" applyFill="1" applyBorder="1" applyAlignment="1">
      <alignment vertical="center"/>
    </xf>
    <xf numFmtId="2" fontId="0" fillId="29" borderId="0" xfId="0" applyNumberFormat="1" applyFont="1" applyFill="1" applyBorder="1" applyAlignment="1">
      <alignment horizontal="center" vertical="center"/>
    </xf>
    <xf numFmtId="0" fontId="30" fillId="29" borderId="299" xfId="0" applyFont="1" applyFill="1" applyBorder="1" applyAlignment="1">
      <alignment vertical="center"/>
    </xf>
    <xf numFmtId="2" fontId="32" fillId="29" borderId="299" xfId="0" applyNumberFormat="1" applyFont="1" applyFill="1" applyBorder="1" applyAlignment="1">
      <alignment horizontal="center" vertical="center"/>
    </xf>
    <xf numFmtId="0" fontId="30" fillId="29" borderId="0" xfId="0" applyFont="1" applyFill="1" applyBorder="1" applyAlignment="1">
      <alignment vertical="center"/>
    </xf>
    <xf numFmtId="2" fontId="32" fillId="29" borderId="0" xfId="0" applyNumberFormat="1" applyFont="1" applyFill="1" applyBorder="1" applyAlignment="1">
      <alignment horizontal="center" vertical="center"/>
    </xf>
    <xf numFmtId="0" fontId="27" fillId="29" borderId="176" xfId="0" applyFont="1" applyFill="1" applyBorder="1" applyAlignment="1">
      <alignment horizontal="center" vertical="center"/>
    </xf>
    <xf numFmtId="0" fontId="27" fillId="33" borderId="203" xfId="0" applyFont="1" applyFill="1" applyBorder="1" applyAlignment="1">
      <alignment horizontal="left" vertical="center"/>
    </xf>
    <xf numFmtId="0" fontId="27" fillId="53" borderId="311" xfId="0" applyFont="1" applyFill="1" applyBorder="1" applyAlignment="1">
      <alignment horizontal="left" vertical="center"/>
    </xf>
    <xf numFmtId="0" fontId="27" fillId="53" borderId="203" xfId="0" applyFont="1" applyFill="1" applyBorder="1" applyAlignment="1">
      <alignment horizontal="left" vertical="center"/>
    </xf>
    <xf numFmtId="0" fontId="27" fillId="33" borderId="311" xfId="0" applyFont="1" applyFill="1" applyBorder="1" applyAlignment="1">
      <alignment horizontal="left" vertical="center"/>
    </xf>
    <xf numFmtId="0" fontId="30" fillId="33" borderId="311" xfId="0" applyFont="1" applyFill="1" applyBorder="1" applyAlignment="1">
      <alignment horizontal="left" vertical="center"/>
    </xf>
    <xf numFmtId="0" fontId="30" fillId="33" borderId="203" xfId="0" applyFont="1" applyFill="1" applyBorder="1" applyAlignment="1">
      <alignment horizontal="left" vertical="center"/>
    </xf>
    <xf numFmtId="0" fontId="30" fillId="53" borderId="311" xfId="0" applyFont="1" applyFill="1" applyBorder="1" applyAlignment="1">
      <alignment horizontal="left" vertical="center"/>
    </xf>
    <xf numFmtId="0" fontId="30" fillId="53" borderId="203" xfId="0" applyFont="1" applyFill="1" applyBorder="1" applyAlignment="1">
      <alignment horizontal="left" vertical="center"/>
    </xf>
    <xf numFmtId="0" fontId="30" fillId="33" borderId="312" xfId="0" applyFont="1" applyFill="1" applyBorder="1" applyAlignment="1">
      <alignment horizontal="left" vertical="center"/>
    </xf>
    <xf numFmtId="0" fontId="136" fillId="0" borderId="0" xfId="0" applyFont="1" applyAlignment="1">
      <alignment horizontal="center"/>
    </xf>
    <xf numFmtId="175" fontId="0" fillId="0" borderId="0" xfId="0" applyNumberFormat="1"/>
    <xf numFmtId="175" fontId="0" fillId="0" borderId="0" xfId="0" applyNumberFormat="1" applyFont="1" applyBorder="1"/>
    <xf numFmtId="1" fontId="0" fillId="0" borderId="0" xfId="0" applyNumberFormat="1" applyFont="1" applyBorder="1"/>
    <xf numFmtId="0" fontId="0" fillId="0" borderId="170" xfId="0" applyBorder="1"/>
    <xf numFmtId="1" fontId="0" fillId="0" borderId="178" xfId="0" applyNumberFormat="1" applyBorder="1"/>
    <xf numFmtId="0" fontId="0" fillId="0" borderId="178" xfId="0" applyBorder="1"/>
    <xf numFmtId="0" fontId="0" fillId="73" borderId="0" xfId="0" applyFill="1"/>
    <xf numFmtId="0" fontId="0" fillId="73" borderId="0" xfId="0" applyFill="1" applyAlignment="1">
      <alignment horizontal="center"/>
    </xf>
    <xf numFmtId="0" fontId="0" fillId="73" borderId="0" xfId="0" applyFill="1" applyAlignment="1">
      <alignment horizontal="left"/>
    </xf>
    <xf numFmtId="0" fontId="0" fillId="73" borderId="0" xfId="0" applyFill="1" applyAlignment="1">
      <alignment horizontal="right"/>
    </xf>
    <xf numFmtId="0" fontId="0" fillId="73" borderId="0" xfId="0" applyFill="1" applyAlignment="1"/>
    <xf numFmtId="0" fontId="27" fillId="73" borderId="0" xfId="0" applyFont="1" applyFill="1" applyAlignment="1">
      <alignment vertical="center" wrapText="1"/>
    </xf>
    <xf numFmtId="2" fontId="0" fillId="73" borderId="0" xfId="0" applyNumberFormat="1" applyFill="1" applyAlignment="1">
      <alignment horizontal="center"/>
    </xf>
    <xf numFmtId="1" fontId="0" fillId="73" borderId="0" xfId="0" applyNumberFormat="1" applyFill="1" applyAlignment="1">
      <alignment horizontal="center"/>
    </xf>
    <xf numFmtId="1" fontId="0" fillId="73" borderId="0" xfId="0" applyNumberFormat="1" applyFill="1" applyAlignment="1">
      <alignment horizontal="right"/>
    </xf>
    <xf numFmtId="1" fontId="0" fillId="73" borderId="0" xfId="0" applyNumberFormat="1" applyFill="1" applyAlignment="1"/>
    <xf numFmtId="0" fontId="27" fillId="14" borderId="87" xfId="0" applyFont="1" applyFill="1" applyBorder="1" applyAlignment="1" applyProtection="1">
      <alignment horizontal="left" vertical="center"/>
    </xf>
    <xf numFmtId="0" fontId="0" fillId="14" borderId="0" xfId="0" applyFont="1" applyFill="1" applyAlignment="1" applyProtection="1">
      <alignment horizontal="left"/>
    </xf>
    <xf numFmtId="2" fontId="27" fillId="29" borderId="87" xfId="0" applyNumberFormat="1" applyFont="1" applyFill="1" applyBorder="1" applyAlignment="1" applyProtection="1">
      <alignment vertical="center"/>
    </xf>
    <xf numFmtId="177" fontId="0" fillId="14" borderId="0" xfId="0" applyNumberFormat="1" applyFont="1" applyFill="1" applyProtection="1"/>
    <xf numFmtId="2" fontId="27" fillId="29" borderId="81" xfId="0" applyNumberFormat="1" applyFont="1" applyFill="1" applyBorder="1" applyAlignment="1" applyProtection="1">
      <alignment vertical="center"/>
    </xf>
    <xf numFmtId="2" fontId="27" fillId="29" borderId="80" xfId="0" applyNumberFormat="1" applyFont="1" applyFill="1" applyBorder="1" applyAlignment="1" applyProtection="1">
      <alignment horizontal="left" vertical="center"/>
    </xf>
    <xf numFmtId="0" fontId="59" fillId="25" borderId="81" xfId="2278" applyNumberFormat="1" applyFont="1" applyFill="1" applyBorder="1" applyAlignment="1" applyProtection="1">
      <alignment horizontal="center" vertical="center"/>
    </xf>
    <xf numFmtId="0" fontId="31" fillId="29" borderId="87" xfId="0" applyFont="1" applyFill="1" applyBorder="1" applyAlignment="1" applyProtection="1">
      <alignment horizontal="center" vertical="center"/>
    </xf>
    <xf numFmtId="0" fontId="0" fillId="0" borderId="0" xfId="0" applyFont="1" applyAlignment="1">
      <alignment horizontal="center"/>
    </xf>
    <xf numFmtId="0" fontId="27" fillId="29" borderId="279" xfId="0" applyFont="1" applyFill="1" applyBorder="1" applyAlignment="1">
      <alignment horizontal="left" vertical="center"/>
    </xf>
    <xf numFmtId="0" fontId="27" fillId="29" borderId="178" xfId="0" applyFont="1" applyFill="1" applyBorder="1" applyAlignment="1">
      <alignment horizontal="center" vertical="center"/>
    </xf>
    <xf numFmtId="0" fontId="0" fillId="0" borderId="0" xfId="0" applyAlignment="1">
      <alignment horizontal="center"/>
    </xf>
    <xf numFmtId="1" fontId="0" fillId="0" borderId="0" xfId="0" applyNumberFormat="1" applyAlignment="1">
      <alignment horizontal="center"/>
    </xf>
    <xf numFmtId="0" fontId="47" fillId="0" borderId="87" xfId="0" applyFont="1" applyFill="1" applyBorder="1" applyAlignment="1" applyProtection="1">
      <alignment horizontal="center" vertical="center"/>
    </xf>
    <xf numFmtId="175" fontId="27" fillId="0" borderId="87" xfId="0" applyNumberFormat="1" applyFont="1" applyFill="1" applyBorder="1" applyAlignment="1" applyProtection="1">
      <alignment horizontal="center" vertical="center"/>
    </xf>
    <xf numFmtId="49" fontId="28" fillId="14" borderId="0" xfId="0" applyNumberFormat="1" applyFont="1" applyFill="1" applyBorder="1" applyAlignment="1" applyProtection="1">
      <alignment horizontal="center" vertical="center"/>
    </xf>
    <xf numFmtId="49" fontId="28" fillId="14" borderId="0" xfId="0" applyNumberFormat="1" applyFont="1" applyFill="1" applyBorder="1" applyAlignment="1" applyProtection="1">
      <alignment horizontal="right" vertical="center" indent="1"/>
    </xf>
    <xf numFmtId="0" fontId="27" fillId="14" borderId="198" xfId="0" applyFont="1" applyFill="1" applyBorder="1" applyAlignment="1" applyProtection="1">
      <alignment horizontal="center" wrapText="1"/>
    </xf>
    <xf numFmtId="0" fontId="109" fillId="74" borderId="0" xfId="0" applyFont="1" applyFill="1" applyBorder="1" applyAlignment="1" applyProtection="1">
      <alignment vertical="center"/>
    </xf>
    <xf numFmtId="0" fontId="58" fillId="74" borderId="0" xfId="0" applyFont="1" applyFill="1" applyBorder="1" applyAlignment="1" applyProtection="1">
      <alignment vertical="center" wrapText="1"/>
    </xf>
    <xf numFmtId="0" fontId="122" fillId="74" borderId="0" xfId="0" applyFont="1" applyFill="1" applyBorder="1" applyAlignment="1" applyProtection="1">
      <alignment horizontal="left" vertical="center"/>
    </xf>
    <xf numFmtId="0" fontId="122" fillId="74" borderId="0" xfId="0" applyFont="1" applyFill="1" applyBorder="1" applyAlignment="1" applyProtection="1">
      <alignment vertical="center"/>
    </xf>
    <xf numFmtId="0" fontId="27" fillId="76" borderId="0" xfId="2821" applyFont="1" applyFill="1" applyBorder="1" applyAlignment="1">
      <alignment horizontal="left" vertical="center" wrapText="1"/>
    </xf>
    <xf numFmtId="0" fontId="0" fillId="76" borderId="0" xfId="2821" applyFont="1" applyFill="1" applyBorder="1" applyAlignment="1">
      <alignment vertical="center"/>
    </xf>
    <xf numFmtId="0" fontId="0" fillId="76" borderId="0" xfId="2821" applyFont="1" applyFill="1"/>
    <xf numFmtId="0" fontId="0" fillId="47" borderId="0" xfId="2821" applyFont="1" applyFill="1" applyBorder="1"/>
    <xf numFmtId="0" fontId="33" fillId="47" borderId="0" xfId="2821" applyFont="1" applyFill="1" applyBorder="1" applyAlignment="1">
      <alignment vertical="center" wrapText="1"/>
    </xf>
    <xf numFmtId="0" fontId="2" fillId="47" borderId="0" xfId="0" applyFont="1" applyFill="1" applyBorder="1" applyAlignment="1" applyProtection="1">
      <alignment vertical="center" wrapText="1"/>
    </xf>
    <xf numFmtId="0" fontId="34" fillId="47" borderId="0" xfId="0" applyFont="1" applyFill="1" applyBorder="1" applyAlignment="1">
      <alignment vertical="center" wrapText="1"/>
    </xf>
    <xf numFmtId="0" fontId="97" fillId="47" borderId="0" xfId="2278" applyNumberFormat="1" applyFont="1" applyFill="1" applyBorder="1" applyAlignment="1" applyProtection="1">
      <alignment vertical="center" wrapText="1"/>
    </xf>
    <xf numFmtId="0" fontId="33" fillId="47" borderId="0" xfId="2821" applyFont="1" applyFill="1" applyBorder="1" applyAlignment="1">
      <alignment vertical="center"/>
    </xf>
    <xf numFmtId="0" fontId="24" fillId="55" borderId="0" xfId="0" applyFont="1" applyFill="1"/>
    <xf numFmtId="0" fontId="46" fillId="76" borderId="0" xfId="2821" applyFont="1" applyFill="1" applyBorder="1" applyAlignment="1">
      <alignment horizontal="left" indent="1"/>
    </xf>
    <xf numFmtId="0" fontId="31" fillId="76" borderId="0" xfId="2821" applyFont="1" applyFill="1" applyBorder="1" applyAlignment="1">
      <alignment horizontal="left" indent="1"/>
    </xf>
    <xf numFmtId="0" fontId="31" fillId="76" borderId="0" xfId="2821" applyFont="1" applyFill="1" applyBorder="1" applyAlignment="1"/>
    <xf numFmtId="0" fontId="45" fillId="34" borderId="309" xfId="2821" applyFont="1" applyFill="1" applyBorder="1" applyAlignment="1" applyProtection="1">
      <alignment horizontal="left" vertical="center" indent="1"/>
    </xf>
    <xf numFmtId="0" fontId="0" fillId="0" borderId="299" xfId="2821" applyFont="1" applyBorder="1"/>
    <xf numFmtId="0" fontId="10" fillId="19" borderId="314" xfId="2821" applyFont="1" applyFill="1" applyBorder="1" applyAlignment="1" applyProtection="1">
      <alignment horizontal="center" vertical="center"/>
    </xf>
    <xf numFmtId="0" fontId="46" fillId="11" borderId="210" xfId="2821" applyNumberFormat="1" applyFont="1" applyFill="1" applyBorder="1" applyAlignment="1" applyProtection="1">
      <alignment horizontal="center" vertical="center"/>
      <protection locked="0"/>
    </xf>
    <xf numFmtId="0" fontId="0" fillId="19" borderId="256" xfId="2821" applyFont="1" applyFill="1" applyBorder="1"/>
    <xf numFmtId="0" fontId="0" fillId="19" borderId="86" xfId="2821" applyFont="1" applyFill="1" applyBorder="1"/>
    <xf numFmtId="0" fontId="31" fillId="47" borderId="0" xfId="0" applyFont="1" applyFill="1" applyAlignment="1">
      <alignment horizontal="right" wrapText="1"/>
    </xf>
    <xf numFmtId="0" fontId="60" fillId="47" borderId="0" xfId="0" applyFont="1" applyFill="1" applyBorder="1" applyAlignment="1">
      <alignment vertical="top" wrapText="1"/>
    </xf>
    <xf numFmtId="0" fontId="18" fillId="47" borderId="0" xfId="2821" applyFont="1" applyFill="1" applyBorder="1" applyAlignment="1">
      <alignment vertical="center"/>
    </xf>
    <xf numFmtId="0" fontId="108" fillId="30" borderId="224" xfId="2821" applyFont="1" applyFill="1" applyBorder="1" applyAlignment="1">
      <alignment horizontal="left" indent="1"/>
    </xf>
    <xf numFmtId="0" fontId="106" fillId="30" borderId="242" xfId="2821" applyFont="1" applyFill="1" applyBorder="1" applyAlignment="1">
      <alignment horizontal="center" vertical="center" wrapText="1"/>
    </xf>
    <xf numFmtId="4" fontId="48" fillId="11" borderId="210" xfId="2821" applyNumberFormat="1" applyFont="1" applyFill="1" applyBorder="1" applyAlignment="1" applyProtection="1">
      <alignment horizontal="center" vertical="center"/>
      <protection locked="0"/>
    </xf>
    <xf numFmtId="0" fontId="108" fillId="30" borderId="213" xfId="2821" applyFont="1" applyFill="1" applyBorder="1" applyAlignment="1">
      <alignment horizontal="left" indent="1"/>
    </xf>
    <xf numFmtId="4" fontId="46" fillId="9" borderId="215" xfId="2821" applyNumberFormat="1" applyFont="1" applyFill="1" applyBorder="1" applyAlignment="1">
      <alignment horizontal="center" vertical="center"/>
    </xf>
    <xf numFmtId="3" fontId="0" fillId="19" borderId="94" xfId="0" applyNumberFormat="1" applyFont="1" applyFill="1" applyBorder="1" applyAlignment="1" applyProtection="1">
      <alignment horizontal="center" vertical="center" shrinkToFit="1"/>
    </xf>
    <xf numFmtId="0" fontId="33" fillId="74" borderId="0" xfId="0" applyFont="1" applyFill="1" applyBorder="1" applyAlignment="1">
      <alignment horizontal="left" vertical="center"/>
    </xf>
    <xf numFmtId="0" fontId="0" fillId="74" borderId="0" xfId="0" applyFont="1" applyFill="1"/>
    <xf numFmtId="0" fontId="103" fillId="74" borderId="0" xfId="0" applyFont="1" applyFill="1" applyBorder="1" applyAlignment="1">
      <alignment horizontal="left" vertical="center"/>
    </xf>
    <xf numFmtId="0" fontId="59" fillId="25" borderId="244" xfId="2278" applyNumberFormat="1" applyFont="1" applyFill="1" applyBorder="1" applyAlignment="1" applyProtection="1">
      <alignment horizontal="center" vertical="center"/>
      <protection locked="0"/>
    </xf>
    <xf numFmtId="0" fontId="103" fillId="74" borderId="80" xfId="0" applyFont="1" applyFill="1" applyBorder="1" applyAlignment="1">
      <alignment horizontal="left" vertical="center" indent="1"/>
    </xf>
    <xf numFmtId="0" fontId="72" fillId="74" borderId="188" xfId="0" applyFont="1" applyFill="1" applyBorder="1" applyAlignment="1">
      <alignment horizontal="left" vertical="center"/>
    </xf>
    <xf numFmtId="0" fontId="0" fillId="74" borderId="188" xfId="0" applyFill="1" applyBorder="1"/>
    <xf numFmtId="0" fontId="73" fillId="74" borderId="188" xfId="2278" applyNumberFormat="1" applyFont="1" applyFill="1" applyBorder="1" applyAlignment="1" applyProtection="1">
      <alignment horizontal="center" vertical="center"/>
    </xf>
    <xf numFmtId="0" fontId="109" fillId="74" borderId="143" xfId="0" applyFont="1" applyFill="1" applyBorder="1" applyAlignment="1">
      <alignment vertical="center"/>
    </xf>
    <xf numFmtId="0" fontId="116" fillId="74" borderId="143" xfId="0" applyFont="1" applyFill="1" applyBorder="1" applyProtection="1"/>
    <xf numFmtId="0" fontId="116" fillId="74" borderId="143" xfId="0" applyFont="1" applyFill="1" applyBorder="1" applyAlignment="1" applyProtection="1">
      <alignment horizontal="center"/>
    </xf>
    <xf numFmtId="0" fontId="141" fillId="74" borderId="143" xfId="0" applyFont="1" applyFill="1" applyBorder="1" applyAlignment="1" applyProtection="1">
      <alignment horizontal="right" vertical="center"/>
    </xf>
    <xf numFmtId="0" fontId="32" fillId="74" borderId="143" xfId="0" applyFont="1" applyFill="1" applyBorder="1" applyProtection="1"/>
    <xf numFmtId="0" fontId="30" fillId="76" borderId="0" xfId="2821" applyFont="1" applyFill="1" applyBorder="1" applyAlignment="1">
      <alignment horizontal="left" vertical="top" wrapText="1"/>
    </xf>
    <xf numFmtId="0" fontId="181" fillId="25" borderId="81" xfId="2278" applyNumberFormat="1" applyFont="1" applyFill="1" applyBorder="1" applyAlignment="1" applyProtection="1">
      <alignment horizontal="center" vertical="center"/>
    </xf>
    <xf numFmtId="0" fontId="103" fillId="74"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0" fontId="0" fillId="0" borderId="0" xfId="0" applyFill="1" applyBorder="1" applyAlignment="1" applyProtection="1"/>
    <xf numFmtId="0" fontId="27" fillId="0" borderId="0" xfId="0" applyFont="1" applyProtection="1"/>
    <xf numFmtId="0" fontId="0" fillId="34" borderId="0" xfId="0" applyFill="1" applyBorder="1" applyProtection="1"/>
    <xf numFmtId="0" fontId="27" fillId="0" borderId="87" xfId="0" applyFont="1" applyFill="1" applyBorder="1" applyAlignment="1" applyProtection="1">
      <alignment horizontal="center" vertical="center" wrapText="1"/>
    </xf>
    <xf numFmtId="0" fontId="27" fillId="0" borderId="187" xfId="0" applyFont="1" applyFill="1" applyBorder="1" applyAlignment="1" applyProtection="1">
      <alignment horizontal="center" vertical="center" wrapText="1"/>
    </xf>
    <xf numFmtId="0" fontId="27" fillId="0" borderId="174" xfId="0" applyFont="1" applyFill="1" applyBorder="1" applyAlignment="1" applyProtection="1">
      <alignment vertical="center" wrapText="1"/>
    </xf>
    <xf numFmtId="0" fontId="27" fillId="0" borderId="81" xfId="0" applyFont="1" applyFill="1" applyBorder="1" applyAlignment="1" applyProtection="1">
      <alignment horizontal="center" vertical="center" wrapText="1"/>
    </xf>
    <xf numFmtId="0" fontId="25" fillId="0" borderId="217" xfId="0" applyFont="1" applyFill="1" applyBorder="1" applyAlignment="1" applyProtection="1">
      <alignment horizontal="left" vertical="center"/>
    </xf>
    <xf numFmtId="0" fontId="25" fillId="0" borderId="87" xfId="0" applyFont="1" applyBorder="1" applyAlignment="1" applyProtection="1">
      <alignment horizontal="center" vertical="center"/>
    </xf>
    <xf numFmtId="0" fontId="25" fillId="0" borderId="187" xfId="0" applyFont="1" applyBorder="1" applyAlignment="1" applyProtection="1">
      <alignment horizontal="center" vertical="center"/>
    </xf>
    <xf numFmtId="0" fontId="25" fillId="0" borderId="157" xfId="0" applyFont="1" applyBorder="1" applyAlignment="1" applyProtection="1">
      <alignment horizontal="center" vertical="center"/>
    </xf>
    <xf numFmtId="0" fontId="25" fillId="0" borderId="81" xfId="0" applyFont="1" applyBorder="1" applyAlignment="1" applyProtection="1">
      <alignment horizontal="center" vertical="center"/>
    </xf>
    <xf numFmtId="0" fontId="27" fillId="0" borderId="0" xfId="0" applyFont="1" applyFill="1" applyBorder="1" applyProtection="1"/>
    <xf numFmtId="0" fontId="25" fillId="0" borderId="0" xfId="0" applyFont="1" applyBorder="1" applyAlignment="1" applyProtection="1">
      <alignment horizontal="center" vertical="center"/>
    </xf>
    <xf numFmtId="44" fontId="0" fillId="0" borderId="0" xfId="0" applyNumberFormat="1" applyFill="1" applyBorder="1" applyProtection="1"/>
    <xf numFmtId="0" fontId="27" fillId="0" borderId="155" xfId="0" applyFont="1" applyFill="1" applyBorder="1" applyAlignment="1" applyProtection="1">
      <alignment horizontal="center" vertical="center"/>
    </xf>
    <xf numFmtId="0" fontId="0" fillId="0" borderId="194" xfId="0" applyFill="1" applyBorder="1" applyProtection="1"/>
    <xf numFmtId="0" fontId="27" fillId="0" borderId="196" xfId="0" applyFont="1" applyBorder="1" applyProtection="1"/>
    <xf numFmtId="0" fontId="0" fillId="0" borderId="197" xfId="0" applyFill="1" applyBorder="1" applyProtection="1"/>
    <xf numFmtId="0" fontId="27" fillId="0" borderId="194" xfId="0" applyFont="1" applyBorder="1" applyProtection="1"/>
    <xf numFmtId="0" fontId="0" fillId="0" borderId="299" xfId="0" applyBorder="1" applyProtection="1"/>
    <xf numFmtId="0" fontId="0" fillId="0" borderId="197" xfId="0" applyBorder="1" applyProtection="1"/>
    <xf numFmtId="0" fontId="25" fillId="0" borderId="0" xfId="0" applyFont="1" applyProtection="1"/>
    <xf numFmtId="0" fontId="0" fillId="0" borderId="0" xfId="0" applyAlignment="1" applyProtection="1">
      <alignment horizontal="center"/>
    </xf>
    <xf numFmtId="0" fontId="0" fillId="0" borderId="0" xfId="0" applyFont="1" applyAlignment="1" applyProtection="1">
      <alignment horizontal="center"/>
    </xf>
    <xf numFmtId="0" fontId="0" fillId="0" borderId="195" xfId="0" applyFill="1" applyBorder="1" applyProtection="1"/>
    <xf numFmtId="0" fontId="0" fillId="0" borderId="256" xfId="0" applyFill="1" applyBorder="1" applyProtection="1"/>
    <xf numFmtId="0" fontId="0" fillId="0" borderId="195" xfId="0" applyBorder="1" applyProtection="1"/>
    <xf numFmtId="0" fontId="0" fillId="0" borderId="0" xfId="0" applyBorder="1" applyProtection="1"/>
    <xf numFmtId="0" fontId="0" fillId="0" borderId="256" xfId="0" applyBorder="1" applyProtection="1"/>
    <xf numFmtId="0" fontId="0" fillId="0" borderId="256" xfId="0" applyFill="1" applyBorder="1" applyAlignment="1" applyProtection="1"/>
    <xf numFmtId="0" fontId="27" fillId="0" borderId="195" xfId="0" applyFont="1" applyBorder="1" applyAlignment="1" applyProtection="1">
      <alignment horizontal="center"/>
    </xf>
    <xf numFmtId="0" fontId="27" fillId="0" borderId="0" xfId="0" applyFont="1" applyBorder="1" applyAlignment="1" applyProtection="1">
      <alignment horizontal="center"/>
    </xf>
    <xf numFmtId="0" fontId="27" fillId="0" borderId="256" xfId="0" applyFont="1" applyBorder="1" applyAlignment="1" applyProtection="1">
      <alignment horizontal="center"/>
    </xf>
    <xf numFmtId="0" fontId="27" fillId="0" borderId="0" xfId="0" applyFont="1" applyAlignment="1" applyProtection="1">
      <alignment horizontal="left"/>
    </xf>
    <xf numFmtId="0" fontId="27" fillId="0" borderId="0" xfId="0" applyFont="1" applyAlignment="1" applyProtection="1">
      <alignment horizontal="center"/>
    </xf>
    <xf numFmtId="0" fontId="27" fillId="62" borderId="0" xfId="0" applyFont="1" applyFill="1" applyBorder="1" applyAlignment="1" applyProtection="1"/>
    <xf numFmtId="0" fontId="0" fillId="34" borderId="0" xfId="0" applyFill="1" applyBorder="1" applyAlignment="1" applyProtection="1"/>
    <xf numFmtId="0" fontId="50" fillId="0" borderId="0" xfId="0" applyFont="1" applyFill="1" applyBorder="1" applyAlignment="1" applyProtection="1"/>
    <xf numFmtId="0" fontId="27" fillId="0" borderId="195" xfId="0" applyFont="1" applyFill="1" applyBorder="1" applyAlignment="1" applyProtection="1"/>
    <xf numFmtId="0" fontId="27" fillId="0" borderId="0" xfId="0" applyFont="1" applyFill="1" applyBorder="1" applyAlignment="1" applyProtection="1"/>
    <xf numFmtId="0" fontId="27" fillId="0" borderId="256" xfId="0" applyFont="1" applyFill="1" applyBorder="1" applyAlignment="1" applyProtection="1"/>
    <xf numFmtId="0" fontId="0" fillId="0" borderId="195" xfId="0" applyBorder="1" applyAlignment="1" applyProtection="1">
      <alignment wrapText="1"/>
    </xf>
    <xf numFmtId="0" fontId="0" fillId="0" borderId="0" xfId="0" applyBorder="1" applyAlignment="1" applyProtection="1">
      <alignment wrapText="1"/>
    </xf>
    <xf numFmtId="0" fontId="25" fillId="0" borderId="195" xfId="0" applyFont="1" applyBorder="1" applyAlignment="1" applyProtection="1">
      <alignment wrapText="1"/>
    </xf>
    <xf numFmtId="0" fontId="25" fillId="0" borderId="0" xfId="0" applyFont="1" applyBorder="1" applyAlignment="1" applyProtection="1">
      <alignment wrapText="1"/>
    </xf>
    <xf numFmtId="0" fontId="25" fillId="0" borderId="256" xfId="0" applyFont="1" applyBorder="1" applyAlignment="1" applyProtection="1">
      <alignment wrapText="1"/>
    </xf>
    <xf numFmtId="0" fontId="60" fillId="0" borderId="0" xfId="0" applyFont="1" applyAlignment="1" applyProtection="1">
      <alignment wrapText="1"/>
    </xf>
    <xf numFmtId="0" fontId="25" fillId="0" borderId="0" xfId="0" applyFont="1" applyAlignment="1" applyProtection="1">
      <alignment wrapText="1"/>
    </xf>
    <xf numFmtId="0" fontId="25" fillId="0" borderId="0" xfId="0" applyFont="1" applyAlignment="1" applyProtection="1">
      <alignment horizontal="center" wrapText="1"/>
    </xf>
    <xf numFmtId="0" fontId="173" fillId="0" borderId="0" xfId="0" applyFont="1" applyAlignment="1" applyProtection="1">
      <alignment horizontal="center" wrapText="1"/>
    </xf>
    <xf numFmtId="0" fontId="25" fillId="0" borderId="0" xfId="0" applyFont="1" applyAlignment="1" applyProtection="1">
      <alignment horizontal="center"/>
    </xf>
    <xf numFmtId="167" fontId="27" fillId="0" borderId="155" xfId="0" applyNumberFormat="1" applyFont="1" applyFill="1" applyBorder="1" applyAlignment="1" applyProtection="1">
      <alignment horizontal="center" vertical="center"/>
    </xf>
    <xf numFmtId="167" fontId="0" fillId="0" borderId="0" xfId="0" applyNumberFormat="1" applyFill="1" applyBorder="1" applyAlignment="1" applyProtection="1"/>
    <xf numFmtId="2" fontId="0" fillId="0" borderId="0" xfId="0" applyNumberFormat="1" applyFill="1" applyBorder="1" applyAlignment="1" applyProtection="1"/>
    <xf numFmtId="1" fontId="0" fillId="0" borderId="0" xfId="0" applyNumberFormat="1" applyFill="1" applyBorder="1" applyAlignment="1" applyProtection="1">
      <alignment horizontal="center"/>
    </xf>
    <xf numFmtId="0" fontId="0" fillId="0" borderId="195" xfId="0" applyFill="1" applyBorder="1" applyAlignment="1" applyProtection="1"/>
    <xf numFmtId="0" fontId="0" fillId="0" borderId="195" xfId="0" applyFont="1" applyBorder="1" applyProtection="1"/>
    <xf numFmtId="0" fontId="0" fillId="0" borderId="0" xfId="0" applyFont="1" applyBorder="1" applyProtection="1"/>
    <xf numFmtId="167" fontId="24" fillId="0" borderId="0" xfId="0" applyNumberFormat="1" applyFont="1" applyBorder="1" applyAlignment="1" applyProtection="1">
      <alignment vertical="center"/>
    </xf>
    <xf numFmtId="0" fontId="24" fillId="0" borderId="195" xfId="0" applyFont="1" applyBorder="1" applyAlignment="1" applyProtection="1">
      <alignment vertical="center"/>
    </xf>
    <xf numFmtId="0" fontId="24" fillId="0" borderId="0" xfId="0" applyFont="1" applyBorder="1" applyAlignment="1" applyProtection="1">
      <alignment vertical="center"/>
    </xf>
    <xf numFmtId="2" fontId="24" fillId="0" borderId="0" xfId="0" applyNumberFormat="1" applyFont="1" applyBorder="1" applyAlignment="1" applyProtection="1">
      <alignment vertical="center"/>
    </xf>
    <xf numFmtId="174" fontId="45" fillId="0" borderId="0" xfId="0" applyNumberFormat="1" applyFont="1" applyBorder="1" applyAlignment="1" applyProtection="1">
      <alignment vertical="center"/>
    </xf>
    <xf numFmtId="174" fontId="45" fillId="0" borderId="256" xfId="0" applyNumberFormat="1" applyFont="1" applyBorder="1" applyAlignment="1" applyProtection="1">
      <alignment vertical="center"/>
    </xf>
    <xf numFmtId="0" fontId="24" fillId="0" borderId="0" xfId="0" applyFont="1" applyAlignment="1" applyProtection="1">
      <alignment vertical="center"/>
    </xf>
    <xf numFmtId="175" fontId="45" fillId="0" borderId="190" xfId="0" applyNumberFormat="1" applyFont="1" applyBorder="1" applyAlignment="1" applyProtection="1">
      <alignment vertical="center"/>
    </xf>
    <xf numFmtId="176" fontId="24" fillId="0" borderId="87" xfId="0" applyNumberFormat="1" applyFont="1" applyBorder="1" applyAlignment="1" applyProtection="1">
      <alignment vertical="center"/>
    </xf>
    <xf numFmtId="0" fontId="45" fillId="0" borderId="0" xfId="0" applyFont="1" applyAlignment="1" applyProtection="1">
      <alignment vertical="center"/>
    </xf>
    <xf numFmtId="0" fontId="24" fillId="0" borderId="0" xfId="0" applyFont="1" applyProtection="1"/>
    <xf numFmtId="1" fontId="24" fillId="0" borderId="0" xfId="0" applyNumberFormat="1" applyFont="1" applyAlignment="1" applyProtection="1">
      <alignment vertical="center"/>
    </xf>
    <xf numFmtId="2" fontId="24" fillId="0" borderId="0" xfId="0" applyNumberFormat="1" applyFont="1" applyAlignment="1" applyProtection="1">
      <alignment vertical="center"/>
    </xf>
    <xf numFmtId="1" fontId="24" fillId="0" borderId="0" xfId="0" applyNumberFormat="1" applyFont="1" applyAlignment="1" applyProtection="1">
      <alignment horizontal="center"/>
    </xf>
    <xf numFmtId="1" fontId="24" fillId="0" borderId="0" xfId="0" applyNumberFormat="1" applyFont="1" applyAlignment="1" applyProtection="1">
      <alignment horizontal="center" vertical="center"/>
    </xf>
    <xf numFmtId="0" fontId="0" fillId="0" borderId="194" xfId="0" applyFill="1" applyBorder="1" applyAlignment="1" applyProtection="1"/>
    <xf numFmtId="175" fontId="27" fillId="0" borderId="190" xfId="0" applyNumberFormat="1" applyFont="1" applyFill="1" applyBorder="1" applyAlignment="1" applyProtection="1">
      <alignment horizontal="center"/>
    </xf>
    <xf numFmtId="0" fontId="0" fillId="0" borderId="84" xfId="0" applyFill="1" applyBorder="1" applyAlignment="1" applyProtection="1"/>
    <xf numFmtId="0" fontId="0" fillId="0" borderId="231" xfId="0" applyFill="1" applyBorder="1" applyAlignment="1" applyProtection="1"/>
    <xf numFmtId="0" fontId="0" fillId="0" borderId="86" xfId="0" applyFill="1" applyBorder="1" applyAlignment="1" applyProtection="1"/>
    <xf numFmtId="0" fontId="0" fillId="0" borderId="122" xfId="0" applyFill="1" applyBorder="1" applyAlignment="1" applyProtection="1"/>
    <xf numFmtId="0" fontId="130" fillId="24" borderId="87" xfId="0" applyFont="1" applyFill="1" applyBorder="1" applyAlignment="1" applyProtection="1">
      <alignment vertical="center"/>
    </xf>
    <xf numFmtId="0" fontId="122" fillId="24" borderId="80" xfId="0" applyFont="1" applyFill="1" applyBorder="1" applyAlignment="1" applyProtection="1">
      <alignment vertical="center"/>
    </xf>
    <xf numFmtId="0" fontId="122" fillId="24" borderId="143" xfId="0" applyFont="1" applyFill="1" applyBorder="1" applyAlignment="1" applyProtection="1">
      <alignment vertical="center"/>
    </xf>
    <xf numFmtId="0" fontId="122" fillId="24" borderId="81" xfId="0" applyFont="1" applyFill="1" applyBorder="1" applyAlignment="1" applyProtection="1">
      <alignment vertical="center"/>
    </xf>
    <xf numFmtId="0" fontId="103" fillId="24" borderId="0" xfId="0" applyFont="1" applyFill="1" applyBorder="1" applyAlignment="1" applyProtection="1">
      <alignment horizontal="left" vertical="center"/>
    </xf>
    <xf numFmtId="0" fontId="132" fillId="47" borderId="174" xfId="0" applyFont="1" applyFill="1" applyBorder="1" applyAlignment="1" applyProtection="1">
      <alignment horizontal="center" vertical="center" shrinkToFit="1"/>
    </xf>
    <xf numFmtId="0" fontId="132" fillId="47" borderId="171" xfId="0" applyFont="1" applyFill="1" applyBorder="1" applyAlignment="1" applyProtection="1">
      <alignment horizontal="center" vertical="center" shrinkToFit="1"/>
    </xf>
    <xf numFmtId="0" fontId="132" fillId="47" borderId="172" xfId="0" applyFont="1" applyFill="1" applyBorder="1" applyAlignment="1" applyProtection="1">
      <alignment horizontal="center" vertical="center" shrinkToFit="1"/>
    </xf>
    <xf numFmtId="0" fontId="132" fillId="47" borderId="83" xfId="0" applyFont="1" applyFill="1" applyBorder="1" applyAlignment="1" applyProtection="1">
      <alignment horizontal="center" vertical="center"/>
    </xf>
    <xf numFmtId="0" fontId="132" fillId="0" borderId="0" xfId="0" applyFont="1" applyFill="1" applyBorder="1" applyAlignment="1" applyProtection="1">
      <alignment vertical="center"/>
    </xf>
    <xf numFmtId="0" fontId="132" fillId="0" borderId="0" xfId="0" applyFont="1" applyFill="1" applyBorder="1" applyAlignment="1" applyProtection="1">
      <alignment vertical="center" shrinkToFit="1"/>
    </xf>
    <xf numFmtId="0" fontId="0" fillId="47" borderId="0" xfId="0" applyFill="1" applyBorder="1" applyAlignment="1" applyProtection="1"/>
    <xf numFmtId="0" fontId="132" fillId="0" borderId="0" xfId="0" applyFont="1" applyFill="1" applyBorder="1" applyAlignment="1" applyProtection="1">
      <alignment horizontal="center" vertical="center" shrinkToFit="1"/>
    </xf>
    <xf numFmtId="0" fontId="132" fillId="47" borderId="156" xfId="0" applyFont="1" applyFill="1" applyBorder="1" applyAlignment="1" applyProtection="1">
      <alignment horizontal="center" vertical="center" shrinkToFit="1"/>
    </xf>
    <xf numFmtId="0" fontId="132" fillId="47" borderId="87" xfId="0" applyFont="1" applyFill="1" applyBorder="1" applyAlignment="1" applyProtection="1">
      <alignment horizontal="center" vertical="center" shrinkToFit="1"/>
    </xf>
    <xf numFmtId="0" fontId="132" fillId="47" borderId="168" xfId="0" applyFont="1" applyFill="1" applyBorder="1" applyAlignment="1" applyProtection="1">
      <alignment horizontal="center" vertical="center" shrinkToFit="1"/>
    </xf>
    <xf numFmtId="0" fontId="140" fillId="47" borderId="86" xfId="0" applyFont="1" applyFill="1" applyBorder="1" applyAlignment="1" applyProtection="1">
      <alignment horizontal="center" vertical="center"/>
    </xf>
    <xf numFmtId="0" fontId="132" fillId="47" borderId="87" xfId="0" applyFont="1" applyFill="1" applyBorder="1" applyAlignment="1" applyProtection="1">
      <alignment horizontal="center" vertical="center"/>
    </xf>
    <xf numFmtId="167" fontId="33" fillId="0" borderId="87" xfId="0" applyNumberFormat="1" applyFont="1" applyFill="1" applyBorder="1" applyAlignment="1" applyProtection="1">
      <alignment horizontal="center" vertical="center"/>
    </xf>
    <xf numFmtId="167" fontId="132" fillId="0" borderId="156" xfId="0" applyNumberFormat="1" applyFont="1" applyFill="1" applyBorder="1" applyAlignment="1" applyProtection="1">
      <alignment horizontal="center" vertical="center"/>
    </xf>
    <xf numFmtId="167" fontId="132" fillId="0" borderId="87" xfId="0" applyNumberFormat="1" applyFont="1" applyFill="1" applyBorder="1" applyAlignment="1" applyProtection="1">
      <alignment horizontal="center" vertical="center"/>
    </xf>
    <xf numFmtId="167" fontId="132" fillId="0" borderId="168" xfId="0" applyNumberFormat="1" applyFont="1" applyFill="1" applyBorder="1" applyAlignment="1" applyProtection="1">
      <alignment horizontal="center" vertical="center"/>
    </xf>
    <xf numFmtId="0" fontId="132" fillId="0" borderId="156" xfId="0" applyFont="1" applyFill="1" applyBorder="1" applyAlignment="1" applyProtection="1">
      <alignment horizontal="center" vertical="center"/>
    </xf>
    <xf numFmtId="0" fontId="132" fillId="0" borderId="87" xfId="0" applyFont="1" applyFill="1" applyBorder="1" applyAlignment="1" applyProtection="1">
      <alignment horizontal="center" vertical="center"/>
    </xf>
    <xf numFmtId="0" fontId="132" fillId="0" borderId="168" xfId="0" applyFont="1" applyFill="1" applyBorder="1" applyAlignment="1" applyProtection="1">
      <alignment horizontal="center" vertical="center"/>
    </xf>
    <xf numFmtId="167" fontId="132" fillId="0" borderId="86" xfId="0" applyNumberFormat="1" applyFont="1" applyFill="1" applyBorder="1" applyAlignment="1" applyProtection="1">
      <alignment horizontal="center" vertical="center"/>
    </xf>
    <xf numFmtId="1" fontId="132" fillId="0" borderId="87" xfId="0" applyNumberFormat="1" applyFont="1" applyFill="1" applyBorder="1" applyAlignment="1" applyProtection="1">
      <alignment horizontal="center" vertical="center"/>
    </xf>
    <xf numFmtId="0" fontId="167" fillId="0" borderId="0" xfId="0" applyFont="1" applyProtection="1"/>
    <xf numFmtId="0" fontId="167" fillId="70" borderId="194" xfId="0" applyFont="1" applyFill="1" applyBorder="1" applyProtection="1"/>
    <xf numFmtId="0" fontId="167" fillId="70" borderId="299" xfId="0" applyFont="1" applyFill="1" applyBorder="1" applyProtection="1"/>
    <xf numFmtId="0" fontId="167" fillId="70" borderId="197" xfId="0" applyFont="1" applyFill="1" applyBorder="1" applyProtection="1"/>
    <xf numFmtId="174" fontId="0" fillId="0" borderId="0" xfId="0" applyNumberFormat="1" applyProtection="1"/>
    <xf numFmtId="0" fontId="167" fillId="29" borderId="0" xfId="0" applyFont="1" applyFill="1" applyProtection="1"/>
    <xf numFmtId="0" fontId="167" fillId="70" borderId="195" xfId="0" applyFont="1" applyFill="1" applyBorder="1" applyAlignment="1" applyProtection="1">
      <alignment wrapText="1"/>
    </xf>
    <xf numFmtId="0" fontId="167" fillId="70" borderId="0" xfId="0" applyFont="1" applyFill="1" applyBorder="1" applyProtection="1"/>
    <xf numFmtId="0" fontId="167" fillId="70" borderId="256" xfId="0" applyFont="1" applyFill="1" applyBorder="1" applyAlignment="1" applyProtection="1">
      <alignment wrapText="1"/>
    </xf>
    <xf numFmtId="0" fontId="167" fillId="70" borderId="195" xfId="0" applyFont="1" applyFill="1" applyBorder="1" applyProtection="1"/>
    <xf numFmtId="0" fontId="167" fillId="70" borderId="256" xfId="0" applyFont="1" applyFill="1" applyBorder="1" applyProtection="1"/>
    <xf numFmtId="0" fontId="167" fillId="66" borderId="84" xfId="0" applyFont="1" applyFill="1" applyBorder="1" applyAlignment="1" applyProtection="1">
      <alignment horizontal="center"/>
    </xf>
    <xf numFmtId="0" fontId="167" fillId="66" borderId="231" xfId="0" applyFont="1" applyFill="1" applyBorder="1" applyAlignment="1" applyProtection="1">
      <alignment horizontal="center"/>
    </xf>
    <xf numFmtId="0" fontId="167" fillId="66" borderId="86" xfId="0" applyFont="1" applyFill="1" applyBorder="1" applyAlignment="1" applyProtection="1">
      <alignment horizontal="center"/>
    </xf>
    <xf numFmtId="2" fontId="132" fillId="0" borderId="87" xfId="0" applyNumberFormat="1" applyFont="1" applyFill="1" applyBorder="1" applyAlignment="1" applyProtection="1">
      <alignment horizontal="center" vertical="center"/>
    </xf>
    <xf numFmtId="0" fontId="167" fillId="29" borderId="0" xfId="0" applyFont="1" applyFill="1" applyAlignment="1" applyProtection="1">
      <alignment horizontal="center"/>
    </xf>
    <xf numFmtId="0" fontId="0" fillId="0" borderId="0" xfId="0" applyFill="1" applyBorder="1" applyAlignment="1" applyProtection="1">
      <alignment horizontal="right"/>
    </xf>
    <xf numFmtId="49" fontId="0" fillId="0" borderId="0" xfId="0" applyNumberFormat="1" applyFill="1" applyBorder="1" applyAlignment="1" applyProtection="1"/>
    <xf numFmtId="0" fontId="0" fillId="71" borderId="0" xfId="0" applyFill="1" applyAlignment="1" applyProtection="1">
      <alignment horizontal="right"/>
    </xf>
    <xf numFmtId="0" fontId="167" fillId="71" borderId="0" xfId="0" applyFont="1" applyFill="1" applyAlignment="1" applyProtection="1">
      <alignment horizontal="right"/>
    </xf>
    <xf numFmtId="167" fontId="31" fillId="47" borderId="175" xfId="0" applyNumberFormat="1" applyFont="1" applyFill="1" applyBorder="1" applyAlignment="1" applyProtection="1">
      <alignment horizontal="center" vertical="center"/>
    </xf>
    <xf numFmtId="167" fontId="31" fillId="47" borderId="176" xfId="0" applyNumberFormat="1" applyFont="1" applyFill="1" applyBorder="1" applyAlignment="1" applyProtection="1">
      <alignment horizontal="center" vertical="center"/>
    </xf>
    <xf numFmtId="167" fontId="31" fillId="47" borderId="177" xfId="0" applyNumberFormat="1" applyFont="1" applyFill="1" applyBorder="1" applyAlignment="1" applyProtection="1">
      <alignment horizontal="center" vertical="center"/>
    </xf>
    <xf numFmtId="0" fontId="173" fillId="0" borderId="0" xfId="0" applyFont="1" applyProtection="1"/>
    <xf numFmtId="0" fontId="132" fillId="34" borderId="0" xfId="0" applyFont="1" applyFill="1" applyBorder="1" applyAlignment="1" applyProtection="1">
      <alignment vertical="center" shrinkToFit="1"/>
    </xf>
    <xf numFmtId="174" fontId="25" fillId="0" borderId="0" xfId="0" applyNumberFormat="1" applyFont="1" applyProtection="1"/>
    <xf numFmtId="167" fontId="34" fillId="0" borderId="0" xfId="0" applyNumberFormat="1" applyFont="1" applyFill="1" applyBorder="1" applyAlignment="1" applyProtection="1">
      <alignment horizontal="center" vertical="center"/>
    </xf>
    <xf numFmtId="0" fontId="33" fillId="0" borderId="0" xfId="0" applyFont="1" applyFill="1" applyBorder="1" applyAlignment="1" applyProtection="1">
      <alignment vertical="center"/>
    </xf>
    <xf numFmtId="1" fontId="10" fillId="0" borderId="0" xfId="0" applyNumberFormat="1" applyFont="1" applyFill="1" applyBorder="1" applyAlignment="1" applyProtection="1">
      <alignment horizontal="center" vertical="center"/>
    </xf>
    <xf numFmtId="0" fontId="167" fillId="70" borderId="84" xfId="0" applyFont="1" applyFill="1" applyBorder="1" applyProtection="1"/>
    <xf numFmtId="0" fontId="167" fillId="70" borderId="231" xfId="0" applyFont="1" applyFill="1" applyBorder="1" applyAlignment="1" applyProtection="1">
      <alignment wrapText="1"/>
    </xf>
    <xf numFmtId="0" fontId="167" fillId="70" borderId="86" xfId="0" applyFont="1" applyFill="1" applyBorder="1" applyAlignment="1" applyProtection="1">
      <alignment wrapText="1"/>
    </xf>
    <xf numFmtId="4" fontId="0" fillId="0" borderId="0" xfId="0" applyNumberFormat="1" applyProtection="1"/>
    <xf numFmtId="0" fontId="103" fillId="74" borderId="80" xfId="0" applyFont="1" applyFill="1" applyBorder="1" applyAlignment="1" applyProtection="1">
      <alignment horizontal="left" vertical="center" indent="1"/>
    </xf>
    <xf numFmtId="0" fontId="30" fillId="74" borderId="143" xfId="0" applyFont="1" applyFill="1" applyBorder="1" applyAlignment="1" applyProtection="1">
      <alignment vertical="center"/>
    </xf>
    <xf numFmtId="0" fontId="32" fillId="78" borderId="143" xfId="0" applyFont="1" applyFill="1" applyBorder="1" applyProtection="1"/>
    <xf numFmtId="0" fontId="46" fillId="74" borderId="143" xfId="0" applyFont="1" applyFill="1" applyBorder="1" applyAlignment="1" applyProtection="1">
      <alignment horizontal="left" vertical="center" indent="1"/>
    </xf>
    <xf numFmtId="0" fontId="115" fillId="74" borderId="143" xfId="0" applyFont="1" applyFill="1" applyBorder="1" applyAlignment="1" applyProtection="1">
      <alignment vertical="center"/>
    </xf>
    <xf numFmtId="0" fontId="0" fillId="0" borderId="87" xfId="0" applyBorder="1" applyAlignment="1" applyProtection="1">
      <alignment horizontal="center" vertical="center"/>
    </xf>
    <xf numFmtId="0" fontId="37" fillId="16" borderId="216" xfId="0" applyFont="1" applyFill="1" applyBorder="1" applyAlignment="1" applyProtection="1">
      <alignment horizontal="center" vertical="center" wrapText="1"/>
    </xf>
    <xf numFmtId="0" fontId="27" fillId="16" borderId="98" xfId="0" applyFont="1" applyFill="1" applyBorder="1" applyAlignment="1" applyProtection="1">
      <alignment horizontal="center" vertical="center" wrapText="1"/>
    </xf>
    <xf numFmtId="0" fontId="0" fillId="16" borderId="98" xfId="0" applyFont="1" applyFill="1" applyBorder="1" applyAlignment="1" applyProtection="1">
      <alignment horizontal="center" vertical="center" wrapText="1"/>
    </xf>
    <xf numFmtId="0" fontId="31" fillId="30" borderId="98" xfId="0" applyFont="1" applyFill="1" applyBorder="1" applyAlignment="1" applyProtection="1">
      <alignment horizontal="center" vertical="center" wrapText="1"/>
    </xf>
    <xf numFmtId="0" fontId="30" fillId="16" borderId="245" xfId="0" applyFont="1" applyFill="1" applyBorder="1" applyAlignment="1" applyProtection="1">
      <alignment horizontal="center" vertical="center" wrapText="1"/>
    </xf>
    <xf numFmtId="0" fontId="30" fillId="16" borderId="98" xfId="0" applyFont="1" applyFill="1" applyBorder="1" applyAlignment="1" applyProtection="1">
      <alignment horizontal="center" vertical="center" wrapText="1"/>
    </xf>
    <xf numFmtId="0" fontId="62" fillId="16" borderId="98" xfId="0" applyFont="1" applyFill="1" applyBorder="1" applyAlignment="1" applyProtection="1">
      <alignment horizontal="center" vertical="center" wrapText="1"/>
    </xf>
    <xf numFmtId="0" fontId="113" fillId="29" borderId="246" xfId="0" applyFont="1" applyFill="1" applyBorder="1" applyAlignment="1" applyProtection="1">
      <alignment horizontal="center" vertical="center" wrapText="1"/>
    </xf>
    <xf numFmtId="0" fontId="31" fillId="16" borderId="98" xfId="0" applyFont="1" applyFill="1" applyBorder="1" applyAlignment="1" applyProtection="1">
      <alignment horizontal="left" vertical="center" wrapText="1"/>
    </xf>
    <xf numFmtId="0" fontId="25" fillId="15" borderId="0" xfId="0" applyFont="1" applyFill="1" applyBorder="1" applyProtection="1"/>
    <xf numFmtId="0" fontId="30" fillId="29" borderId="217" xfId="0" applyFont="1" applyFill="1" applyBorder="1" applyAlignment="1" applyProtection="1">
      <alignment horizontal="center" vertical="center" wrapText="1"/>
    </xf>
    <xf numFmtId="0" fontId="62" fillId="29" borderId="210" xfId="0" applyFont="1" applyFill="1" applyBorder="1" applyAlignment="1" applyProtection="1">
      <alignment horizontal="center" vertical="center" wrapText="1"/>
    </xf>
    <xf numFmtId="0" fontId="62" fillId="29" borderId="217" xfId="0" applyFont="1" applyFill="1" applyBorder="1" applyAlignment="1" applyProtection="1">
      <alignment horizontal="center" vertical="center" wrapText="1"/>
    </xf>
    <xf numFmtId="0" fontId="170" fillId="29" borderId="300" xfId="0" applyFont="1" applyFill="1" applyBorder="1" applyAlignment="1" applyProtection="1">
      <alignment horizontal="center" vertical="center" wrapText="1"/>
    </xf>
    <xf numFmtId="0" fontId="0" fillId="0" borderId="0" xfId="0" applyAlignment="1" applyProtection="1">
      <alignment horizontal="center" vertical="center"/>
    </xf>
    <xf numFmtId="0" fontId="27" fillId="0" borderId="0" xfId="0" applyFont="1" applyFill="1" applyBorder="1" applyAlignment="1" applyProtection="1">
      <alignment horizontal="center" vertical="center" wrapText="1"/>
    </xf>
    <xf numFmtId="0" fontId="0" fillId="0" borderId="87" xfId="0" applyBorder="1" applyAlignment="1" applyProtection="1">
      <alignment vertical="center" wrapText="1"/>
    </xf>
    <xf numFmtId="0" fontId="0" fillId="0" borderId="87" xfId="0" applyBorder="1" applyAlignment="1" applyProtection="1">
      <alignment horizontal="center" vertical="center" wrapText="1"/>
    </xf>
    <xf numFmtId="0" fontId="28" fillId="0" borderId="187" xfId="0" applyFont="1" applyBorder="1" applyProtection="1"/>
    <xf numFmtId="0" fontId="40" fillId="0" borderId="188" xfId="0" applyFont="1" applyBorder="1" applyProtection="1"/>
    <xf numFmtId="0" fontId="40" fillId="0" borderId="87" xfId="0" applyFont="1" applyBorder="1" applyProtection="1"/>
    <xf numFmtId="0" fontId="28" fillId="0" borderId="87" xfId="0" applyFont="1" applyBorder="1" applyProtection="1"/>
    <xf numFmtId="0" fontId="27" fillId="0" borderId="165" xfId="0" applyFont="1" applyBorder="1" applyProtection="1"/>
    <xf numFmtId="0" fontId="0" fillId="0" borderId="0" xfId="0" applyAlignment="1" applyProtection="1">
      <alignment wrapText="1"/>
    </xf>
    <xf numFmtId="0" fontId="25" fillId="47" borderId="0" xfId="0" applyFont="1" applyFill="1" applyAlignment="1" applyProtection="1">
      <alignment vertical="center"/>
    </xf>
    <xf numFmtId="0" fontId="135" fillId="16" borderId="217" xfId="2189" applyNumberFormat="1" applyFont="1" applyFill="1" applyBorder="1" applyAlignment="1" applyProtection="1">
      <alignment horizontal="center" vertical="center"/>
    </xf>
    <xf numFmtId="0" fontId="88" fillId="0" borderId="0" xfId="0" applyFont="1" applyBorder="1" applyProtection="1"/>
    <xf numFmtId="0" fontId="25" fillId="0" borderId="0" xfId="0" applyFont="1" applyAlignment="1" applyProtection="1">
      <alignment vertical="center"/>
    </xf>
    <xf numFmtId="167" fontId="25" fillId="0" borderId="87" xfId="0" applyNumberFormat="1" applyFont="1" applyBorder="1" applyAlignment="1" applyProtection="1">
      <alignment horizontal="center" vertical="center"/>
    </xf>
    <xf numFmtId="167" fontId="25" fillId="0" borderId="0" xfId="0" applyNumberFormat="1" applyFont="1" applyAlignment="1" applyProtection="1">
      <alignment vertical="center"/>
    </xf>
    <xf numFmtId="167" fontId="25" fillId="0" borderId="0" xfId="0" applyNumberFormat="1" applyFont="1" applyBorder="1" applyAlignment="1" applyProtection="1">
      <alignment horizontal="center" vertical="center"/>
    </xf>
    <xf numFmtId="0" fontId="0" fillId="0" borderId="87" xfId="0" applyBorder="1" applyProtection="1"/>
    <xf numFmtId="0" fontId="40" fillId="0" borderId="195" xfId="0" applyFont="1" applyBorder="1" applyProtection="1"/>
    <xf numFmtId="0" fontId="150" fillId="0" borderId="195" xfId="0" applyFont="1" applyBorder="1" applyProtection="1"/>
    <xf numFmtId="0" fontId="150" fillId="0" borderId="0" xfId="0" applyFont="1" applyBorder="1" applyProtection="1"/>
    <xf numFmtId="0" fontId="150" fillId="0" borderId="203" xfId="0" applyFont="1" applyBorder="1" applyProtection="1"/>
    <xf numFmtId="0" fontId="150" fillId="0" borderId="190" xfId="0" applyFont="1" applyBorder="1" applyProtection="1"/>
    <xf numFmtId="0" fontId="40" fillId="0" borderId="203" xfId="0" applyFont="1" applyBorder="1" applyProtection="1"/>
    <xf numFmtId="0" fontId="40" fillId="0" borderId="0" xfId="0" applyFont="1" applyProtection="1"/>
    <xf numFmtId="0" fontId="0" fillId="0" borderId="87" xfId="0" applyBorder="1" applyAlignment="1" applyProtection="1"/>
    <xf numFmtId="0" fontId="0" fillId="0" borderId="186" xfId="0" applyBorder="1" applyAlignment="1" applyProtection="1"/>
    <xf numFmtId="0" fontId="0" fillId="0" borderId="126" xfId="0" applyBorder="1" applyAlignment="1" applyProtection="1"/>
    <xf numFmtId="0" fontId="0" fillId="0" borderId="127" xfId="0" applyBorder="1" applyAlignment="1" applyProtection="1"/>
    <xf numFmtId="0" fontId="25" fillId="0" borderId="195" xfId="0" applyFont="1" applyBorder="1" applyAlignment="1" applyProtection="1">
      <alignment vertical="center"/>
    </xf>
    <xf numFmtId="2" fontId="25" fillId="0" borderId="0" xfId="0" applyNumberFormat="1" applyFont="1" applyAlignment="1" applyProtection="1">
      <alignment vertical="center"/>
    </xf>
    <xf numFmtId="174" fontId="60" fillId="0" borderId="0" xfId="0" applyNumberFormat="1" applyFont="1" applyAlignment="1" applyProtection="1">
      <alignment vertical="center"/>
    </xf>
    <xf numFmtId="0" fontId="60" fillId="0" borderId="0" xfId="0" applyFont="1" applyAlignment="1" applyProtection="1">
      <alignment vertical="center"/>
    </xf>
    <xf numFmtId="1" fontId="25" fillId="0" borderId="0" xfId="0" applyNumberFormat="1" applyFont="1" applyAlignment="1" applyProtection="1">
      <alignment vertical="center"/>
    </xf>
    <xf numFmtId="1" fontId="25" fillId="0" borderId="0" xfId="0" applyNumberFormat="1" applyFont="1" applyAlignment="1" applyProtection="1">
      <alignment horizontal="center"/>
    </xf>
    <xf numFmtId="1" fontId="25" fillId="0" borderId="0" xfId="0" applyNumberFormat="1" applyFont="1" applyAlignment="1" applyProtection="1">
      <alignment horizontal="center" vertical="center"/>
    </xf>
    <xf numFmtId="0" fontId="0" fillId="0" borderId="87" xfId="0" quotePrefix="1" applyBorder="1" applyAlignment="1" applyProtection="1"/>
    <xf numFmtId="0" fontId="0" fillId="0" borderId="87" xfId="0" applyBorder="1" applyAlignment="1" applyProtection="1">
      <alignment horizontal="center"/>
    </xf>
    <xf numFmtId="0" fontId="0" fillId="0" borderId="168" xfId="0" applyBorder="1" applyAlignment="1" applyProtection="1">
      <alignment horizontal="center"/>
    </xf>
    <xf numFmtId="0" fontId="0" fillId="0" borderId="87" xfId="0" applyBorder="1" applyAlignment="1" applyProtection="1">
      <alignment horizontal="left" vertical="center"/>
    </xf>
    <xf numFmtId="0" fontId="0" fillId="0" borderId="87" xfId="0" applyNumberFormat="1" applyBorder="1" applyAlignment="1" applyProtection="1">
      <alignment horizontal="center" vertical="center"/>
    </xf>
    <xf numFmtId="0" fontId="147" fillId="0" borderId="168" xfId="0" applyNumberFormat="1" applyFont="1" applyBorder="1" applyAlignment="1" applyProtection="1">
      <alignment horizontal="center" vertical="center"/>
    </xf>
    <xf numFmtId="0" fontId="0" fillId="0" borderId="156" xfId="0" applyBorder="1" applyAlignment="1" applyProtection="1">
      <alignment vertical="center"/>
    </xf>
    <xf numFmtId="0" fontId="0" fillId="0" borderId="156" xfId="0" applyBorder="1" applyAlignment="1" applyProtection="1">
      <alignment vertical="center" wrapText="1"/>
    </xf>
    <xf numFmtId="0" fontId="0" fillId="0" borderId="168" xfId="0" applyNumberFormat="1" applyBorder="1" applyAlignment="1" applyProtection="1">
      <alignment horizontal="center" vertical="center"/>
    </xf>
    <xf numFmtId="0" fontId="147" fillId="0" borderId="87" xfId="0" applyNumberFormat="1" applyFont="1" applyBorder="1" applyAlignment="1" applyProtection="1">
      <alignment horizontal="center" vertical="center"/>
    </xf>
    <xf numFmtId="0" fontId="32" fillId="29" borderId="292" xfId="0" applyFont="1" applyFill="1" applyBorder="1" applyAlignment="1" applyProtection="1">
      <alignment wrapText="1"/>
    </xf>
    <xf numFmtId="9" fontId="0" fillId="53" borderId="293" xfId="0" applyNumberFormat="1" applyFill="1" applyBorder="1" applyAlignment="1" applyProtection="1">
      <alignment horizontal="center"/>
    </xf>
    <xf numFmtId="0" fontId="25" fillId="0" borderId="0" xfId="0" applyFont="1" applyBorder="1" applyProtection="1"/>
    <xf numFmtId="0" fontId="151" fillId="0" borderId="87" xfId="0" applyFont="1" applyBorder="1" applyProtection="1"/>
    <xf numFmtId="0" fontId="151" fillId="0" borderId="87" xfId="0" applyFont="1" applyFill="1" applyBorder="1" applyAlignment="1" applyProtection="1">
      <alignment wrapText="1"/>
    </xf>
    <xf numFmtId="0" fontId="151" fillId="0" borderId="87" xfId="0" applyFont="1" applyBorder="1" applyAlignment="1" applyProtection="1">
      <alignment wrapText="1"/>
    </xf>
    <xf numFmtId="49" fontId="151" fillId="29" borderId="87" xfId="0" applyNumberFormat="1" applyFont="1" applyFill="1" applyBorder="1" applyProtection="1"/>
    <xf numFmtId="0" fontId="151" fillId="29" borderId="87" xfId="0" applyNumberFormat="1" applyFont="1" applyFill="1" applyBorder="1" applyProtection="1"/>
    <xf numFmtId="0" fontId="151" fillId="29" borderId="87" xfId="0" applyFont="1" applyFill="1" applyBorder="1" applyProtection="1"/>
    <xf numFmtId="0" fontId="151" fillId="0" borderId="87" xfId="0" applyFont="1" applyFill="1" applyBorder="1" applyProtection="1"/>
    <xf numFmtId="49" fontId="151" fillId="0" borderId="87" xfId="0" applyNumberFormat="1" applyFont="1" applyBorder="1" applyProtection="1"/>
    <xf numFmtId="0" fontId="151" fillId="0" borderId="87" xfId="0" applyNumberFormat="1" applyFont="1" applyFill="1" applyBorder="1" applyProtection="1"/>
    <xf numFmtId="0" fontId="155" fillId="15" borderId="0" xfId="0" applyFont="1" applyFill="1" applyBorder="1" applyProtection="1"/>
    <xf numFmtId="0" fontId="151" fillId="0" borderId="0" xfId="0" applyFont="1" applyProtection="1"/>
    <xf numFmtId="9" fontId="151" fillId="0" borderId="0" xfId="0" applyNumberFormat="1" applyFont="1" applyProtection="1"/>
    <xf numFmtId="0" fontId="135" fillId="16" borderId="237" xfId="2189" applyNumberFormat="1" applyFont="1" applyFill="1" applyBorder="1" applyAlignment="1" applyProtection="1">
      <alignment horizontal="center" vertical="center"/>
    </xf>
    <xf numFmtId="0" fontId="155" fillId="15" borderId="231" xfId="0" applyFont="1" applyFill="1" applyBorder="1" applyProtection="1"/>
    <xf numFmtId="0" fontId="40" fillId="0" borderId="201" xfId="0" applyFont="1" applyBorder="1" applyProtection="1"/>
    <xf numFmtId="0" fontId="150" fillId="0" borderId="201" xfId="0" applyFont="1" applyBorder="1" applyProtection="1"/>
    <xf numFmtId="0" fontId="150" fillId="0" borderId="198" xfId="0" applyFont="1" applyBorder="1" applyProtection="1"/>
    <xf numFmtId="0" fontId="150" fillId="0" borderId="191" xfId="0" applyFont="1" applyBorder="1" applyProtection="1"/>
    <xf numFmtId="0" fontId="40" fillId="0" borderId="191" xfId="0" applyFont="1" applyBorder="1" applyProtection="1"/>
    <xf numFmtId="0" fontId="25" fillId="65" borderId="0" xfId="0" applyFont="1" applyFill="1" applyProtection="1"/>
    <xf numFmtId="0" fontId="25" fillId="65" borderId="0" xfId="0" applyFont="1" applyFill="1" applyBorder="1" applyProtection="1"/>
    <xf numFmtId="0" fontId="60" fillId="0" borderId="87" xfId="0" applyFont="1" applyBorder="1" applyAlignment="1" applyProtection="1">
      <alignment horizontal="center" vertical="center"/>
    </xf>
    <xf numFmtId="167" fontId="149" fillId="0" borderId="87" xfId="0" applyNumberFormat="1" applyFont="1" applyBorder="1" applyAlignment="1" applyProtection="1">
      <alignment horizontal="center" vertical="center"/>
    </xf>
    <xf numFmtId="0" fontId="149" fillId="0" borderId="0" xfId="0" applyFont="1" applyAlignment="1" applyProtection="1">
      <alignment horizontal="center" vertical="center"/>
    </xf>
    <xf numFmtId="167" fontId="149" fillId="0" borderId="0" xfId="0" applyNumberFormat="1" applyFont="1" applyBorder="1" applyAlignment="1" applyProtection="1">
      <alignment horizontal="center" vertical="center"/>
    </xf>
    <xf numFmtId="167" fontId="60" fillId="0" borderId="193" xfId="0" applyNumberFormat="1" applyFont="1" applyBorder="1" applyAlignment="1" applyProtection="1">
      <alignment horizontal="center" vertical="center"/>
    </xf>
    <xf numFmtId="0" fontId="25" fillId="0" borderId="193" xfId="0" applyFont="1" applyBorder="1" applyProtection="1"/>
    <xf numFmtId="167" fontId="149" fillId="0" borderId="0" xfId="0" applyNumberFormat="1" applyFont="1" applyBorder="1" applyAlignment="1" applyProtection="1">
      <alignment vertical="center"/>
    </xf>
    <xf numFmtId="0" fontId="168" fillId="0" borderId="0" xfId="0" applyFont="1" applyProtection="1"/>
    <xf numFmtId="2" fontId="25" fillId="47" borderId="0" xfId="0" applyNumberFormat="1" applyFont="1" applyFill="1" applyProtection="1"/>
    <xf numFmtId="167" fontId="60" fillId="0" borderId="153" xfId="0" applyNumberFormat="1" applyFont="1" applyBorder="1" applyAlignment="1" applyProtection="1">
      <alignment horizontal="center" vertical="center"/>
    </xf>
    <xf numFmtId="0" fontId="25" fillId="0" borderId="153" xfId="0" applyFont="1" applyBorder="1" applyProtection="1"/>
    <xf numFmtId="0" fontId="25" fillId="47" borderId="87" xfId="0" applyFont="1" applyFill="1" applyBorder="1" applyProtection="1"/>
    <xf numFmtId="0" fontId="39" fillId="47" borderId="0" xfId="0" applyFont="1" applyFill="1" applyBorder="1" applyProtection="1"/>
    <xf numFmtId="0" fontId="0" fillId="47" borderId="87" xfId="0" applyFill="1" applyBorder="1" applyAlignment="1" applyProtection="1"/>
    <xf numFmtId="0" fontId="25" fillId="55" borderId="87" xfId="0" applyFont="1" applyFill="1" applyBorder="1" applyAlignment="1" applyProtection="1">
      <alignment horizontal="left" vertical="center" indent="1"/>
    </xf>
    <xf numFmtId="0" fontId="41" fillId="47" borderId="0" xfId="0" applyFont="1" applyFill="1" applyBorder="1" applyProtection="1"/>
    <xf numFmtId="0" fontId="24" fillId="47" borderId="0" xfId="0" applyFont="1" applyFill="1" applyBorder="1" applyProtection="1"/>
    <xf numFmtId="0" fontId="0" fillId="47" borderId="87" xfId="0" applyFill="1" applyBorder="1" applyProtection="1"/>
    <xf numFmtId="0" fontId="25" fillId="47" borderId="0" xfId="0" applyFont="1" applyFill="1" applyBorder="1" applyProtection="1"/>
    <xf numFmtId="0" fontId="25" fillId="33" borderId="146" xfId="0" applyFont="1" applyFill="1" applyBorder="1" applyProtection="1"/>
    <xf numFmtId="0" fontId="25" fillId="33" borderId="147" xfId="0" applyFont="1" applyFill="1" applyBorder="1" applyProtection="1"/>
    <xf numFmtId="0" fontId="175" fillId="33" borderId="147" xfId="0" applyFont="1" applyFill="1" applyBorder="1" applyProtection="1"/>
    <xf numFmtId="0" fontId="25" fillId="33" borderId="127" xfId="0" applyFont="1" applyFill="1" applyBorder="1" applyAlignment="1" applyProtection="1"/>
    <xf numFmtId="0" fontId="25" fillId="33" borderId="231" xfId="0" applyFont="1" applyFill="1" applyBorder="1" applyAlignment="1" applyProtection="1"/>
    <xf numFmtId="0" fontId="25" fillId="33" borderId="157" xfId="0" applyFont="1" applyFill="1" applyBorder="1" applyProtection="1"/>
    <xf numFmtId="0" fontId="25" fillId="33" borderId="301" xfId="0" applyFont="1" applyFill="1" applyBorder="1" applyProtection="1"/>
    <xf numFmtId="0" fontId="25" fillId="33" borderId="199" xfId="0" applyFont="1" applyFill="1" applyBorder="1" applyProtection="1"/>
    <xf numFmtId="0" fontId="25" fillId="33" borderId="81" xfId="0" applyFont="1" applyFill="1" applyBorder="1" applyProtection="1"/>
    <xf numFmtId="0" fontId="175" fillId="0" borderId="0" xfId="0" applyFont="1" applyProtection="1"/>
    <xf numFmtId="0" fontId="60" fillId="0" borderId="0" xfId="0" applyFont="1" applyProtection="1"/>
    <xf numFmtId="0" fontId="25" fillId="0" borderId="0" xfId="0" applyFont="1" applyBorder="1" applyAlignment="1" applyProtection="1">
      <alignment horizontal="center"/>
    </xf>
    <xf numFmtId="49" fontId="25" fillId="47" borderId="0" xfId="0" applyNumberFormat="1" applyFont="1" applyFill="1" applyProtection="1"/>
    <xf numFmtId="0" fontId="176" fillId="0" borderId="87" xfId="0" applyFont="1" applyFill="1" applyBorder="1" applyAlignment="1" applyProtection="1">
      <alignment horizontal="center" vertical="center" wrapText="1"/>
    </xf>
    <xf numFmtId="49" fontId="25" fillId="0" borderId="0" xfId="0" applyNumberFormat="1" applyFont="1" applyProtection="1"/>
    <xf numFmtId="0" fontId="175" fillId="0" borderId="87" xfId="0" applyFont="1" applyBorder="1" applyAlignment="1" applyProtection="1">
      <alignment horizontal="center" vertical="center"/>
    </xf>
    <xf numFmtId="0" fontId="60" fillId="0" borderId="175" xfId="0" applyFont="1" applyBorder="1" applyAlignment="1" applyProtection="1">
      <alignment horizontal="center" vertical="center"/>
    </xf>
    <xf numFmtId="0" fontId="60" fillId="0" borderId="170" xfId="0" applyFont="1" applyBorder="1" applyAlignment="1" applyProtection="1">
      <alignment horizontal="center" vertical="center"/>
    </xf>
    <xf numFmtId="0" fontId="177" fillId="0" borderId="170" xfId="0" applyFont="1" applyBorder="1" applyAlignment="1" applyProtection="1">
      <alignment horizontal="center" vertical="center"/>
    </xf>
    <xf numFmtId="0" fontId="60" fillId="0" borderId="0" xfId="0" applyFont="1" applyBorder="1" applyAlignment="1" applyProtection="1">
      <alignment horizontal="center" vertical="center"/>
    </xf>
    <xf numFmtId="0" fontId="25" fillId="0" borderId="0" xfId="0" applyFont="1" applyFill="1" applyProtection="1"/>
    <xf numFmtId="0" fontId="25" fillId="33" borderId="190" xfId="0" applyFont="1" applyFill="1" applyBorder="1" applyAlignment="1" applyProtection="1">
      <alignment horizontal="center" vertical="center"/>
    </xf>
    <xf numFmtId="0" fontId="175" fillId="33" borderId="190" xfId="0" applyFont="1" applyFill="1" applyBorder="1" applyAlignment="1" applyProtection="1">
      <alignment horizontal="center" vertical="center"/>
    </xf>
    <xf numFmtId="0" fontId="25" fillId="0" borderId="190" xfId="0" applyFont="1" applyFill="1" applyBorder="1" applyAlignment="1" applyProtection="1">
      <alignment horizontal="center" vertical="center"/>
    </xf>
    <xf numFmtId="0" fontId="25" fillId="33" borderId="0" xfId="0" applyFont="1" applyFill="1" applyBorder="1" applyAlignment="1" applyProtection="1">
      <alignment horizontal="center" vertical="center"/>
    </xf>
    <xf numFmtId="0" fontId="177" fillId="0" borderId="175" xfId="0" applyFont="1" applyBorder="1" applyAlignment="1" applyProtection="1">
      <alignment horizontal="center" vertical="center"/>
    </xf>
    <xf numFmtId="0" fontId="60" fillId="0" borderId="0" xfId="0" applyFont="1" applyFill="1" applyBorder="1" applyAlignment="1" applyProtection="1">
      <alignment horizontal="center" vertical="center"/>
    </xf>
    <xf numFmtId="0" fontId="174" fillId="0" borderId="0" xfId="0" applyFont="1" applyProtection="1"/>
    <xf numFmtId="0" fontId="25" fillId="0" borderId="0" xfId="0" applyFont="1" applyAlignment="1" applyProtection="1">
      <alignment horizontal="center" vertical="center"/>
    </xf>
    <xf numFmtId="2" fontId="25" fillId="10" borderId="94" xfId="0" applyNumberFormat="1" applyFont="1" applyFill="1" applyBorder="1" applyAlignment="1" applyProtection="1">
      <alignment horizontal="center" vertical="center"/>
      <protection locked="0"/>
    </xf>
    <xf numFmtId="2" fontId="25" fillId="10" borderId="214" xfId="0" applyNumberFormat="1" applyFont="1" applyFill="1" applyBorder="1" applyAlignment="1" applyProtection="1">
      <alignment horizontal="center" vertical="center"/>
      <protection locked="0"/>
    </xf>
    <xf numFmtId="0" fontId="25" fillId="49" borderId="210" xfId="0" applyFont="1" applyFill="1" applyBorder="1" applyAlignment="1" applyProtection="1">
      <alignment horizontal="left" vertical="center"/>
      <protection locked="0"/>
    </xf>
    <xf numFmtId="0" fontId="25" fillId="49" borderId="215" xfId="0" applyFont="1" applyFill="1" applyBorder="1" applyAlignment="1" applyProtection="1">
      <alignment horizontal="left" vertical="center"/>
      <protection locked="0"/>
    </xf>
    <xf numFmtId="0" fontId="145" fillId="56" borderId="0" xfId="0" applyFont="1" applyFill="1" applyBorder="1" applyAlignment="1" applyProtection="1">
      <alignment vertical="center"/>
    </xf>
    <xf numFmtId="0" fontId="0" fillId="47" borderId="0" xfId="0" applyFill="1" applyBorder="1" applyProtection="1"/>
    <xf numFmtId="0" fontId="27" fillId="47" borderId="141" xfId="0" applyFont="1" applyFill="1" applyBorder="1" applyAlignment="1" applyProtection="1">
      <alignment vertical="center"/>
    </xf>
    <xf numFmtId="0" fontId="27" fillId="57" borderId="161" xfId="0" applyFont="1" applyFill="1" applyBorder="1" applyAlignment="1" applyProtection="1">
      <alignment horizontal="center" vertical="center"/>
    </xf>
    <xf numFmtId="0" fontId="0" fillId="47" borderId="141" xfId="0" applyFill="1" applyBorder="1" applyProtection="1"/>
    <xf numFmtId="0" fontId="27" fillId="0" borderId="87" xfId="0" applyFont="1" applyBorder="1" applyAlignment="1" applyProtection="1">
      <alignment horizontal="center" wrapText="1"/>
    </xf>
    <xf numFmtId="0" fontId="27" fillId="47" borderId="141" xfId="0" applyFont="1" applyFill="1" applyBorder="1" applyAlignment="1" applyProtection="1">
      <alignment horizontal="center" vertical="center" wrapText="1"/>
    </xf>
    <xf numFmtId="0" fontId="146" fillId="56" borderId="0" xfId="0" applyFont="1" applyFill="1" applyBorder="1" applyAlignment="1" applyProtection="1">
      <alignment horizontal="center" vertical="center" wrapText="1"/>
    </xf>
    <xf numFmtId="0" fontId="146" fillId="0" borderId="0" xfId="0" applyFont="1" applyFill="1" applyBorder="1" applyAlignment="1" applyProtection="1">
      <alignment horizontal="center" vertical="center" wrapText="1"/>
    </xf>
    <xf numFmtId="0" fontId="45" fillId="0" borderId="87" xfId="0" applyFont="1" applyBorder="1" applyAlignment="1" applyProtection="1">
      <alignment horizontal="center" vertical="center"/>
    </xf>
    <xf numFmtId="2" fontId="27" fillId="0" borderId="87" xfId="0" applyNumberFormat="1" applyFont="1" applyBorder="1" applyAlignment="1" applyProtection="1">
      <alignment horizontal="center" vertical="center"/>
    </xf>
    <xf numFmtId="0" fontId="27" fillId="0" borderId="162" xfId="0" applyFont="1" applyFill="1" applyBorder="1" applyAlignment="1" applyProtection="1">
      <alignment horizontal="center" vertical="center" wrapText="1"/>
    </xf>
    <xf numFmtId="0" fontId="0" fillId="0" borderId="87" xfId="0" applyFont="1" applyFill="1" applyBorder="1" applyAlignment="1" applyProtection="1">
      <alignment horizontal="left" vertical="center"/>
    </xf>
    <xf numFmtId="0" fontId="28" fillId="0" borderId="87" xfId="0" applyFont="1" applyFill="1" applyBorder="1" applyAlignment="1" applyProtection="1">
      <alignment horizontal="center" vertical="center"/>
    </xf>
    <xf numFmtId="0" fontId="27" fillId="0" borderId="87" xfId="0" applyFont="1" applyBorder="1" applyProtection="1"/>
    <xf numFmtId="1" fontId="0" fillId="0" borderId="87" xfId="0" applyNumberFormat="1" applyBorder="1" applyAlignment="1" applyProtection="1">
      <alignment horizontal="center"/>
    </xf>
    <xf numFmtId="1" fontId="35" fillId="0" borderId="87" xfId="0" applyNumberFormat="1" applyFont="1" applyBorder="1" applyAlignment="1" applyProtection="1">
      <alignment horizontal="center"/>
    </xf>
    <xf numFmtId="1" fontId="0" fillId="0" borderId="87" xfId="0" applyNumberFormat="1" applyFont="1" applyBorder="1" applyAlignment="1" applyProtection="1">
      <alignment horizontal="center"/>
    </xf>
    <xf numFmtId="1" fontId="0" fillId="0" borderId="187" xfId="0" applyNumberFormat="1" applyFont="1" applyBorder="1" applyAlignment="1" applyProtection="1">
      <alignment horizontal="center"/>
    </xf>
    <xf numFmtId="0" fontId="0" fillId="0" borderId="0" xfId="0" applyFill="1" applyAlignment="1" applyProtection="1">
      <alignment horizontal="center" vertical="center"/>
    </xf>
    <xf numFmtId="0" fontId="0" fillId="0" borderId="0" xfId="0" applyFill="1" applyBorder="1" applyAlignment="1" applyProtection="1">
      <alignment horizontal="center" vertical="center"/>
    </xf>
    <xf numFmtId="0" fontId="33" fillId="0" borderId="87" xfId="0" applyFont="1" applyFill="1" applyBorder="1" applyAlignment="1" applyProtection="1">
      <alignment horizontal="left" vertical="center"/>
    </xf>
    <xf numFmtId="0" fontId="0" fillId="0" borderId="87" xfId="2772" applyFont="1" applyFill="1" applyBorder="1" applyAlignment="1" applyProtection="1">
      <alignment vertical="center"/>
    </xf>
    <xf numFmtId="0" fontId="33" fillId="0" borderId="87" xfId="0" applyFont="1" applyFill="1" applyBorder="1" applyAlignment="1" applyProtection="1">
      <alignment vertical="center"/>
    </xf>
    <xf numFmtId="1" fontId="35" fillId="47" borderId="0" xfId="0" applyNumberFormat="1" applyFont="1" applyFill="1" applyAlignment="1" applyProtection="1">
      <alignment horizontal="center" vertical="center"/>
    </xf>
    <xf numFmtId="0" fontId="35" fillId="47" borderId="0" xfId="0" applyFont="1" applyFill="1" applyProtection="1"/>
    <xf numFmtId="0" fontId="27" fillId="47" borderId="0" xfId="0" applyFont="1" applyFill="1" applyBorder="1" applyAlignment="1" applyProtection="1">
      <alignment horizontal="left"/>
    </xf>
    <xf numFmtId="0" fontId="27" fillId="47" borderId="0" xfId="0" applyFont="1" applyFill="1" applyBorder="1" applyProtection="1"/>
    <xf numFmtId="1" fontId="0" fillId="47" borderId="0" xfId="0" applyNumberFormat="1" applyFill="1" applyBorder="1" applyProtection="1"/>
    <xf numFmtId="4" fontId="31" fillId="47" borderId="0" xfId="0" applyNumberFormat="1" applyFont="1" applyFill="1" applyBorder="1" applyAlignment="1" applyProtection="1">
      <alignment vertical="center"/>
    </xf>
    <xf numFmtId="4" fontId="27" fillId="47" borderId="0" xfId="0" applyNumberFormat="1" applyFont="1" applyFill="1" applyBorder="1" applyProtection="1"/>
    <xf numFmtId="0" fontId="27" fillId="47" borderId="0" xfId="0" applyFont="1" applyFill="1" applyBorder="1" applyAlignment="1" applyProtection="1">
      <alignment horizontal="center"/>
    </xf>
    <xf numFmtId="0" fontId="46" fillId="47" borderId="0" xfId="0" applyFont="1" applyFill="1" applyAlignment="1" applyProtection="1">
      <alignment horizontal="center" vertical="center" wrapText="1"/>
    </xf>
    <xf numFmtId="3" fontId="0" fillId="47" borderId="0" xfId="0" applyNumberFormat="1" applyFill="1" applyBorder="1" applyProtection="1"/>
    <xf numFmtId="1" fontId="0" fillId="47" borderId="0" xfId="0" applyNumberFormat="1" applyFill="1" applyAlignment="1" applyProtection="1">
      <alignment horizontal="center" vertical="center"/>
    </xf>
    <xf numFmtId="0" fontId="46" fillId="47" borderId="0" xfId="0" applyFont="1" applyFill="1" applyAlignment="1" applyProtection="1">
      <alignment horizontal="center" vertical="center"/>
    </xf>
    <xf numFmtId="3" fontId="0" fillId="47" borderId="0" xfId="0" applyNumberFormat="1" applyFill="1" applyProtection="1"/>
    <xf numFmtId="1" fontId="0" fillId="47" borderId="0" xfId="0" applyNumberFormat="1" applyFill="1" applyAlignment="1" applyProtection="1">
      <alignment vertical="center"/>
    </xf>
    <xf numFmtId="0" fontId="147" fillId="47" borderId="0" xfId="0" applyFont="1" applyFill="1" applyProtection="1"/>
    <xf numFmtId="0" fontId="147" fillId="47" borderId="0" xfId="0" applyFont="1" applyFill="1" applyBorder="1" applyProtection="1"/>
    <xf numFmtId="0" fontId="148" fillId="47" borderId="0" xfId="0" applyFont="1" applyFill="1" applyAlignment="1" applyProtection="1">
      <alignment horizontal="center" vertical="center" wrapText="1"/>
    </xf>
    <xf numFmtId="0" fontId="0" fillId="47" borderId="0" xfId="0" applyFont="1" applyFill="1" applyProtection="1"/>
    <xf numFmtId="0" fontId="0" fillId="47" borderId="0" xfId="0" applyFont="1" applyFill="1" applyBorder="1" applyProtection="1"/>
    <xf numFmtId="0" fontId="0" fillId="47" borderId="0" xfId="0" applyFont="1" applyFill="1" applyBorder="1" applyAlignment="1" applyProtection="1"/>
    <xf numFmtId="0" fontId="0" fillId="0" borderId="0" xfId="0" applyFont="1" applyProtection="1"/>
    <xf numFmtId="1" fontId="0" fillId="47" borderId="0" xfId="0" applyNumberFormat="1" applyFont="1" applyFill="1" applyBorder="1" applyProtection="1"/>
    <xf numFmtId="3" fontId="0" fillId="47" borderId="0" xfId="0" applyNumberFormat="1" applyFont="1" applyFill="1" applyProtection="1"/>
    <xf numFmtId="3" fontId="0" fillId="47" borderId="0" xfId="0" applyNumberFormat="1" applyFont="1" applyFill="1" applyAlignment="1" applyProtection="1">
      <alignment horizontal="left"/>
    </xf>
    <xf numFmtId="3" fontId="27" fillId="47" borderId="0" xfId="0" applyNumberFormat="1" applyFont="1" applyFill="1" applyProtection="1"/>
    <xf numFmtId="0" fontId="27" fillId="47" borderId="0" xfId="0" applyFont="1" applyFill="1" applyProtection="1"/>
    <xf numFmtId="3" fontId="27" fillId="47" borderId="0" xfId="0" applyNumberFormat="1" applyFont="1" applyFill="1" applyAlignment="1" applyProtection="1">
      <alignment horizontal="left"/>
    </xf>
    <xf numFmtId="167" fontId="10" fillId="60" borderId="87" xfId="0" applyNumberFormat="1" applyFont="1" applyFill="1" applyBorder="1" applyAlignment="1" applyProtection="1">
      <alignment horizontal="center" vertical="center"/>
      <protection locked="0"/>
    </xf>
    <xf numFmtId="167" fontId="0" fillId="32" borderId="80" xfId="0" applyNumberFormat="1" applyFont="1" applyFill="1" applyBorder="1" applyAlignment="1" applyProtection="1">
      <alignment horizontal="center" vertical="center" wrapText="1"/>
      <protection locked="0"/>
    </xf>
    <xf numFmtId="167" fontId="33" fillId="32" borderId="80" xfId="0" applyNumberFormat="1" applyFont="1" applyFill="1" applyBorder="1" applyAlignment="1" applyProtection="1">
      <alignment horizontal="center" vertical="center" wrapText="1"/>
      <protection locked="0"/>
    </xf>
    <xf numFmtId="175" fontId="0" fillId="0" borderId="190" xfId="0" applyNumberFormat="1" applyFill="1" applyBorder="1" applyAlignment="1" applyProtection="1">
      <alignment horizontal="center"/>
    </xf>
    <xf numFmtId="175" fontId="27" fillId="0" borderId="203" xfId="0" applyNumberFormat="1" applyFont="1" applyFill="1" applyBorder="1" applyAlignment="1" applyProtection="1">
      <alignment horizontal="center"/>
    </xf>
    <xf numFmtId="175" fontId="0" fillId="0" borderId="203" xfId="0" applyNumberFormat="1" applyFill="1" applyBorder="1" applyAlignment="1" applyProtection="1">
      <alignment horizontal="center"/>
    </xf>
    <xf numFmtId="175" fontId="27" fillId="0" borderId="122" xfId="0" applyNumberFormat="1" applyFont="1" applyFill="1" applyBorder="1" applyAlignment="1" applyProtection="1">
      <alignment horizontal="center"/>
    </xf>
    <xf numFmtId="175" fontId="0" fillId="0" borderId="122" xfId="0" applyNumberFormat="1" applyFill="1" applyBorder="1" applyAlignment="1" applyProtection="1">
      <alignment horizontal="center"/>
    </xf>
    <xf numFmtId="0" fontId="30" fillId="47" borderId="0" xfId="0" applyFont="1" applyFill="1" applyBorder="1" applyAlignment="1" applyProtection="1">
      <alignment vertical="center"/>
    </xf>
    <xf numFmtId="14" fontId="30" fillId="47" borderId="0" xfId="0" applyNumberFormat="1" applyFont="1" applyFill="1" applyBorder="1" applyAlignment="1" applyProtection="1">
      <alignment horizontal="center"/>
    </xf>
    <xf numFmtId="14" fontId="32" fillId="47" borderId="0" xfId="0" applyNumberFormat="1" applyFont="1" applyFill="1" applyBorder="1" applyAlignment="1" applyProtection="1">
      <alignment horizontal="center"/>
    </xf>
    <xf numFmtId="0" fontId="119" fillId="29" borderId="94" xfId="0" applyFont="1" applyFill="1" applyBorder="1" applyAlignment="1" applyProtection="1">
      <alignment horizontal="center" vertical="center" wrapText="1"/>
    </xf>
    <xf numFmtId="0" fontId="120" fillId="29" borderId="87" xfId="0" applyFont="1" applyFill="1" applyBorder="1" applyAlignment="1" applyProtection="1">
      <alignment horizontal="center" vertical="center"/>
    </xf>
    <xf numFmtId="3" fontId="61" fillId="35" borderId="97" xfId="0" applyNumberFormat="1" applyFont="1" applyFill="1" applyBorder="1" applyAlignment="1" applyProtection="1">
      <alignment horizontal="center" vertical="center"/>
    </xf>
    <xf numFmtId="0" fontId="108" fillId="29" borderId="87" xfId="0" applyFont="1" applyFill="1" applyBorder="1" applyAlignment="1" applyProtection="1">
      <alignment horizontal="center" vertical="center"/>
    </xf>
    <xf numFmtId="0" fontId="120" fillId="29" borderId="87" xfId="0" applyFont="1" applyFill="1" applyBorder="1" applyAlignment="1" applyProtection="1">
      <alignment horizontal="center" vertical="center" shrinkToFit="1"/>
    </xf>
    <xf numFmtId="0" fontId="0" fillId="11" borderId="94" xfId="0" applyNumberFormat="1" applyFont="1" applyFill="1" applyBorder="1" applyAlignment="1" applyProtection="1">
      <alignment horizontal="center" vertical="center" shrinkToFit="1"/>
    </xf>
    <xf numFmtId="166" fontId="0" fillId="35" borderId="94" xfId="0" applyNumberFormat="1" applyFont="1" applyFill="1" applyBorder="1" applyAlignment="1" applyProtection="1">
      <alignment horizontal="center" vertical="center" shrinkToFit="1"/>
    </xf>
    <xf numFmtId="3" fontId="0" fillId="35" borderId="94" xfId="0" applyNumberFormat="1" applyFont="1" applyFill="1" applyBorder="1" applyAlignment="1" applyProtection="1">
      <alignment horizontal="center" vertical="center" shrinkToFit="1"/>
    </xf>
    <xf numFmtId="3" fontId="32" fillId="19" borderId="98" xfId="0" applyNumberFormat="1" applyFont="1" applyFill="1" applyBorder="1" applyAlignment="1" applyProtection="1">
      <alignment horizontal="center" vertical="center" shrinkToFit="1"/>
    </xf>
    <xf numFmtId="3" fontId="32" fillId="19" borderId="208" xfId="0" applyNumberFormat="1" applyFont="1" applyFill="1" applyBorder="1" applyAlignment="1" applyProtection="1">
      <alignment horizontal="center" vertical="center" shrinkToFit="1"/>
    </xf>
    <xf numFmtId="3" fontId="32" fillId="19" borderId="94" xfId="0" applyNumberFormat="1" applyFont="1" applyFill="1" applyBorder="1" applyAlignment="1" applyProtection="1">
      <alignment horizontal="center" vertical="center" shrinkToFit="1"/>
    </xf>
    <xf numFmtId="3" fontId="32" fillId="19" borderId="210" xfId="0" applyNumberFormat="1" applyFont="1" applyFill="1" applyBorder="1" applyAlignment="1" applyProtection="1">
      <alignment horizontal="center" vertical="center" shrinkToFit="1"/>
    </xf>
    <xf numFmtId="3" fontId="32" fillId="19" borderId="214" xfId="0" applyNumberFormat="1" applyFont="1" applyFill="1" applyBorder="1" applyAlignment="1" applyProtection="1">
      <alignment horizontal="center" vertical="center" shrinkToFit="1"/>
    </xf>
    <xf numFmtId="3" fontId="32" fillId="19" borderId="215" xfId="0" applyNumberFormat="1" applyFont="1" applyFill="1" applyBorder="1" applyAlignment="1" applyProtection="1">
      <alignment horizontal="center" vertical="center" shrinkToFit="1"/>
    </xf>
    <xf numFmtId="0" fontId="110" fillId="74" borderId="0" xfId="0" applyFont="1" applyFill="1" applyBorder="1" applyAlignment="1" applyProtection="1">
      <alignment horizontal="center" vertical="center"/>
    </xf>
    <xf numFmtId="0" fontId="164" fillId="0" borderId="0" xfId="0" applyFont="1" applyFill="1" applyBorder="1" applyAlignment="1" applyProtection="1">
      <alignment horizontal="left" vertical="center"/>
    </xf>
    <xf numFmtId="3" fontId="0" fillId="35" borderId="95" xfId="0" applyNumberFormat="1" applyFont="1" applyFill="1" applyBorder="1" applyAlignment="1" applyProtection="1">
      <alignment horizontal="center" vertical="center" shrinkToFit="1"/>
    </xf>
    <xf numFmtId="0" fontId="0" fillId="11" borderId="100" xfId="0" applyNumberFormat="1" applyFont="1" applyFill="1" applyBorder="1" applyAlignment="1" applyProtection="1">
      <alignment horizontal="center" vertical="center" shrinkToFit="1"/>
    </xf>
    <xf numFmtId="166" fontId="0" fillId="35" borderId="100" xfId="0" applyNumberFormat="1" applyFont="1" applyFill="1" applyBorder="1" applyAlignment="1" applyProtection="1">
      <alignment horizontal="center" vertical="center" shrinkToFit="1"/>
    </xf>
    <xf numFmtId="3" fontId="0" fillId="35" borderId="100" xfId="0" applyNumberFormat="1" applyFont="1" applyFill="1" applyBorder="1" applyAlignment="1" applyProtection="1">
      <alignment horizontal="center" vertical="center" shrinkToFit="1"/>
    </xf>
    <xf numFmtId="3" fontId="0" fillId="35" borderId="101" xfId="0" applyNumberFormat="1" applyFont="1" applyFill="1" applyBorder="1" applyAlignment="1" applyProtection="1">
      <alignment horizontal="center" vertical="center" shrinkToFit="1"/>
    </xf>
    <xf numFmtId="0" fontId="108" fillId="47" borderId="0" xfId="0" applyFont="1" applyFill="1" applyBorder="1" applyProtection="1"/>
    <xf numFmtId="0" fontId="108" fillId="0" borderId="117" xfId="0" applyFont="1" applyFill="1" applyBorder="1" applyAlignment="1" applyProtection="1">
      <alignment horizontal="left"/>
    </xf>
    <xf numFmtId="0" fontId="108" fillId="0" borderId="116" xfId="0" applyFont="1" applyFill="1" applyBorder="1" applyAlignment="1" applyProtection="1">
      <alignment horizontal="center"/>
    </xf>
    <xf numFmtId="0" fontId="108" fillId="0" borderId="116" xfId="0" applyFont="1" applyFill="1" applyBorder="1" applyProtection="1"/>
    <xf numFmtId="0" fontId="117" fillId="0" borderId="267" xfId="0" applyFont="1" applyFill="1" applyBorder="1" applyAlignment="1" applyProtection="1">
      <alignment horizontal="right" vertical="center"/>
    </xf>
    <xf numFmtId="0" fontId="108" fillId="47" borderId="0" xfId="0" applyFont="1" applyFill="1" applyBorder="1" applyAlignment="1" applyProtection="1">
      <alignment horizontal="left"/>
    </xf>
    <xf numFmtId="0" fontId="108" fillId="47" borderId="0" xfId="0" applyFont="1" applyFill="1" applyBorder="1" applyAlignment="1" applyProtection="1">
      <alignment horizontal="center"/>
    </xf>
    <xf numFmtId="0" fontId="117" fillId="47" borderId="0" xfId="0" applyFont="1" applyFill="1" applyBorder="1" applyAlignment="1" applyProtection="1">
      <alignment horizontal="right" vertical="center"/>
    </xf>
    <xf numFmtId="0" fontId="0" fillId="47" borderId="195" xfId="0" applyFill="1" applyBorder="1" applyProtection="1"/>
    <xf numFmtId="0" fontId="63" fillId="47" borderId="0" xfId="0" applyFont="1" applyFill="1" applyBorder="1" applyAlignment="1" applyProtection="1">
      <alignment horizontal="right" vertical="top"/>
    </xf>
    <xf numFmtId="0" fontId="120" fillId="29" borderId="216" xfId="0" applyFont="1" applyFill="1" applyBorder="1" applyAlignment="1" applyProtection="1">
      <alignment horizontal="left" vertical="center"/>
    </xf>
    <xf numFmtId="1" fontId="0" fillId="0" borderId="107" xfId="0" applyNumberFormat="1" applyFont="1" applyFill="1" applyBorder="1" applyAlignment="1" applyProtection="1">
      <alignment horizontal="center" vertical="center" shrinkToFit="1"/>
    </xf>
    <xf numFmtId="2" fontId="32" fillId="0" borderId="98" xfId="0" applyNumberFormat="1" applyFont="1" applyFill="1" applyBorder="1" applyAlignment="1" applyProtection="1">
      <alignment horizontal="center" vertical="center" shrinkToFit="1"/>
    </xf>
    <xf numFmtId="3" fontId="27" fillId="0" borderId="98" xfId="2764" applyNumberFormat="1" applyFont="1" applyFill="1" applyBorder="1" applyAlignment="1" applyProtection="1">
      <alignment horizontal="center" vertical="center" shrinkToFit="1"/>
    </xf>
    <xf numFmtId="3" fontId="27" fillId="0" borderId="208" xfId="2764" applyNumberFormat="1" applyFont="1" applyFill="1" applyBorder="1" applyAlignment="1" applyProtection="1">
      <alignment horizontal="center" vertical="center" shrinkToFit="1"/>
    </xf>
    <xf numFmtId="0" fontId="120" fillId="29" borderId="217" xfId="0" applyFont="1" applyFill="1" applyBorder="1" applyAlignment="1" applyProtection="1">
      <alignment horizontal="left" vertical="center"/>
    </xf>
    <xf numFmtId="1" fontId="0" fillId="0" borderId="97" xfId="0" applyNumberFormat="1" applyFont="1" applyFill="1" applyBorder="1" applyAlignment="1" applyProtection="1">
      <alignment horizontal="center" vertical="center" shrinkToFit="1"/>
    </xf>
    <xf numFmtId="2" fontId="32" fillId="0" borderId="94" xfId="0" applyNumberFormat="1" applyFont="1" applyFill="1" applyBorder="1" applyAlignment="1" applyProtection="1">
      <alignment horizontal="center" vertical="center" shrinkToFit="1"/>
    </xf>
    <xf numFmtId="3" fontId="27" fillId="0" borderId="94" xfId="2764" applyNumberFormat="1" applyFont="1" applyFill="1" applyBorder="1" applyAlignment="1" applyProtection="1">
      <alignment horizontal="center" vertical="center" shrinkToFit="1"/>
    </xf>
    <xf numFmtId="3" fontId="27" fillId="0" borderId="210" xfId="2764" applyNumberFormat="1" applyFont="1" applyFill="1" applyBorder="1" applyAlignment="1" applyProtection="1">
      <alignment horizontal="center" vertical="center" shrinkToFit="1"/>
    </xf>
    <xf numFmtId="0" fontId="120" fillId="29" borderId="218" xfId="0" applyFont="1" applyFill="1" applyBorder="1" applyAlignment="1" applyProtection="1">
      <alignment horizontal="left" vertical="center"/>
    </xf>
    <xf numFmtId="1" fontId="0" fillId="0" borderId="102" xfId="0" applyNumberFormat="1" applyFont="1" applyFill="1" applyBorder="1" applyAlignment="1" applyProtection="1">
      <alignment horizontal="center" vertical="center" shrinkToFit="1"/>
    </xf>
    <xf numFmtId="2" fontId="32" fillId="0" borderId="100" xfId="0" applyNumberFormat="1" applyFont="1" applyFill="1" applyBorder="1" applyAlignment="1" applyProtection="1">
      <alignment horizontal="center" vertical="center" shrinkToFit="1"/>
    </xf>
    <xf numFmtId="3" fontId="31" fillId="0" borderId="213" xfId="2764" applyNumberFormat="1" applyFont="1" applyFill="1" applyBorder="1" applyAlignment="1" applyProtection="1">
      <alignment horizontal="center" vertical="center" shrinkToFit="1"/>
    </xf>
    <xf numFmtId="3" fontId="31" fillId="0" borderId="214" xfId="2764" applyNumberFormat="1" applyFont="1" applyFill="1" applyBorder="1" applyAlignment="1" applyProtection="1">
      <alignment horizontal="center" vertical="center" shrinkToFit="1"/>
    </xf>
    <xf numFmtId="3" fontId="31" fillId="0" borderId="215" xfId="2764" applyNumberFormat="1" applyFont="1" applyFill="1" applyBorder="1" applyAlignment="1" applyProtection="1">
      <alignment horizontal="center" vertical="center" shrinkToFit="1"/>
    </xf>
    <xf numFmtId="0" fontId="123" fillId="47" borderId="0" xfId="0" applyFont="1" applyFill="1" applyBorder="1" applyAlignment="1" applyProtection="1">
      <alignment horizontal="right" vertical="center"/>
    </xf>
    <xf numFmtId="0" fontId="122" fillId="47" borderId="0" xfId="0" applyFont="1" applyFill="1" applyBorder="1" applyAlignment="1" applyProtection="1">
      <alignment horizontal="left" vertical="center"/>
    </xf>
    <xf numFmtId="0" fontId="116" fillId="47" borderId="0" xfId="0" applyFont="1" applyFill="1" applyBorder="1" applyAlignment="1" applyProtection="1">
      <alignment vertical="center"/>
    </xf>
    <xf numFmtId="0" fontId="32" fillId="47" borderId="0" xfId="0" applyFont="1" applyFill="1" applyBorder="1" applyAlignment="1" applyProtection="1">
      <alignment vertical="center"/>
    </xf>
    <xf numFmtId="0" fontId="120" fillId="47" borderId="0" xfId="0" applyFont="1" applyFill="1" applyBorder="1" applyAlignment="1" applyProtection="1">
      <alignment vertical="center"/>
    </xf>
    <xf numFmtId="167" fontId="32" fillId="47" borderId="0" xfId="0" applyNumberFormat="1" applyFont="1" applyFill="1" applyBorder="1" applyAlignment="1" applyProtection="1">
      <alignment vertical="center"/>
    </xf>
    <xf numFmtId="0" fontId="38" fillId="47" borderId="0" xfId="0" applyFont="1" applyFill="1" applyBorder="1" applyAlignment="1" applyProtection="1">
      <alignment vertical="center" wrapText="1"/>
    </xf>
    <xf numFmtId="0" fontId="32" fillId="47" borderId="0" xfId="0" applyFont="1" applyFill="1" applyBorder="1" applyAlignment="1" applyProtection="1">
      <alignment horizontal="center" vertical="center"/>
    </xf>
    <xf numFmtId="0" fontId="118" fillId="47" borderId="0" xfId="0" applyFont="1" applyFill="1" applyBorder="1" applyAlignment="1" applyProtection="1">
      <alignment vertical="center" wrapText="1"/>
    </xf>
    <xf numFmtId="0" fontId="31" fillId="29" borderId="221" xfId="0" applyFont="1" applyFill="1" applyBorder="1" applyAlignment="1" applyProtection="1">
      <alignment horizontal="center" vertical="center"/>
    </xf>
    <xf numFmtId="0" fontId="109" fillId="74" borderId="188" xfId="0" applyFont="1" applyFill="1" applyBorder="1" applyAlignment="1">
      <alignment vertical="center"/>
    </xf>
    <xf numFmtId="0" fontId="28" fillId="34" borderId="299" xfId="2821" applyFont="1" applyFill="1" applyBorder="1" applyAlignment="1" applyProtection="1">
      <alignment horizontal="left" vertical="center"/>
      <protection locked="0"/>
    </xf>
    <xf numFmtId="1" fontId="31" fillId="31" borderId="87" xfId="0" applyNumberFormat="1" applyFont="1" applyFill="1" applyBorder="1" applyAlignment="1" applyProtection="1">
      <alignment horizontal="center" vertical="center"/>
      <protection locked="0"/>
    </xf>
    <xf numFmtId="167" fontId="31" fillId="31" borderId="87" xfId="0" applyNumberFormat="1" applyFont="1" applyFill="1" applyBorder="1" applyAlignment="1" applyProtection="1">
      <alignment horizontal="center" vertical="center"/>
      <protection locked="0"/>
    </xf>
    <xf numFmtId="167" fontId="132" fillId="0" borderId="87" xfId="0" applyNumberFormat="1" applyFont="1" applyFill="1" applyBorder="1" applyAlignment="1" applyProtection="1">
      <alignment horizontal="center" vertical="center" shrinkToFit="1"/>
      <protection locked="0"/>
    </xf>
    <xf numFmtId="0" fontId="32" fillId="18" borderId="214" xfId="0" applyFont="1" applyFill="1" applyBorder="1" applyAlignment="1" applyProtection="1">
      <alignment horizontal="left" vertical="center"/>
      <protection locked="0"/>
    </xf>
    <xf numFmtId="0" fontId="0" fillId="0" borderId="0" xfId="0" applyFont="1" applyAlignment="1">
      <alignment horizontal="center"/>
    </xf>
    <xf numFmtId="0" fontId="27" fillId="0" borderId="87" xfId="0" applyFont="1" applyFill="1" applyBorder="1" applyAlignment="1" applyProtection="1">
      <alignment horizontal="center" vertical="center"/>
    </xf>
    <xf numFmtId="2" fontId="0" fillId="29" borderId="143" xfId="0" applyNumberFormat="1" applyFill="1" applyBorder="1" applyAlignment="1">
      <alignment horizontal="center" vertical="center"/>
    </xf>
    <xf numFmtId="2" fontId="0" fillId="45" borderId="193" xfId="0" applyNumberFormat="1" applyFill="1" applyBorder="1" applyAlignment="1">
      <alignment horizontal="center" vertical="center"/>
    </xf>
    <xf numFmtId="0" fontId="27" fillId="53" borderId="87" xfId="0" applyFont="1" applyFill="1" applyBorder="1" applyAlignment="1">
      <alignment horizontal="left" vertical="center"/>
    </xf>
    <xf numFmtId="0" fontId="27" fillId="33" borderId="301" xfId="0" applyFont="1" applyFill="1" applyBorder="1" applyAlignment="1">
      <alignment horizontal="left" vertical="center"/>
    </xf>
    <xf numFmtId="0" fontId="0" fillId="33" borderId="80" xfId="0" applyFill="1" applyBorder="1" applyAlignment="1">
      <alignment horizontal="left" vertical="center"/>
    </xf>
    <xf numFmtId="0" fontId="0" fillId="33" borderId="158" xfId="0" applyFill="1" applyBorder="1" applyAlignment="1">
      <alignment horizontal="left" vertical="center"/>
    </xf>
    <xf numFmtId="1" fontId="0" fillId="33" borderId="158" xfId="0" applyNumberFormat="1" applyFill="1" applyBorder="1" applyAlignment="1">
      <alignment horizontal="center" vertical="center"/>
    </xf>
    <xf numFmtId="1" fontId="0" fillId="53" borderId="143" xfId="0" applyNumberFormat="1" applyFill="1" applyBorder="1" applyAlignment="1">
      <alignment horizontal="right" vertical="center"/>
    </xf>
    <xf numFmtId="1" fontId="0" fillId="33" borderId="193" xfId="0" applyNumberFormat="1" applyFill="1" applyBorder="1" applyAlignment="1">
      <alignment horizontal="right" vertical="center"/>
    </xf>
    <xf numFmtId="1" fontId="0" fillId="53" borderId="143" xfId="0" applyNumberFormat="1" applyFill="1" applyBorder="1" applyAlignment="1">
      <alignment horizontal="center" vertical="center"/>
    </xf>
    <xf numFmtId="1" fontId="0" fillId="33" borderId="193" xfId="0" applyNumberFormat="1" applyFill="1" applyBorder="1" applyAlignment="1">
      <alignment horizontal="center" vertical="center"/>
    </xf>
    <xf numFmtId="1" fontId="0" fillId="53" borderId="143" xfId="0" applyNumberFormat="1" applyFill="1" applyBorder="1" applyAlignment="1">
      <alignment vertical="center"/>
    </xf>
    <xf numFmtId="1" fontId="0" fillId="33" borderId="193" xfId="0" applyNumberFormat="1" applyFill="1" applyBorder="1" applyAlignment="1">
      <alignment vertical="center"/>
    </xf>
    <xf numFmtId="1" fontId="0" fillId="53" borderId="184" xfId="0" applyNumberFormat="1" applyFill="1" applyBorder="1" applyAlignment="1">
      <alignment vertical="center"/>
    </xf>
    <xf numFmtId="1" fontId="0" fillId="33" borderId="305" xfId="0" applyNumberFormat="1" applyFill="1" applyBorder="1" applyAlignment="1">
      <alignment vertical="center"/>
    </xf>
    <xf numFmtId="0" fontId="27" fillId="0" borderId="87" xfId="0" applyFont="1" applyFill="1" applyBorder="1" applyAlignment="1" applyProtection="1">
      <alignment horizontal="center" vertical="center"/>
    </xf>
    <xf numFmtId="0" fontId="27" fillId="0" borderId="97" xfId="0" applyFont="1" applyFill="1" applyBorder="1"/>
    <xf numFmtId="0" fontId="0" fillId="26" borderId="11" xfId="0" applyFont="1" applyFill="1" applyBorder="1" applyAlignment="1" applyProtection="1">
      <alignment horizontal="left" vertical="center" wrapText="1"/>
    </xf>
    <xf numFmtId="0" fontId="0" fillId="26" borderId="89" xfId="0" applyFont="1" applyFill="1" applyBorder="1" applyAlignment="1" applyProtection="1">
      <alignment horizontal="left" vertical="center" wrapText="1"/>
    </xf>
    <xf numFmtId="0" fontId="0" fillId="26" borderId="90" xfId="0" applyFont="1" applyFill="1" applyBorder="1" applyAlignment="1" applyProtection="1">
      <alignment horizontal="left" vertical="center"/>
    </xf>
    <xf numFmtId="0" fontId="28" fillId="26" borderId="19" xfId="2821" applyFont="1" applyFill="1" applyBorder="1" applyAlignment="1" applyProtection="1">
      <alignment horizontal="left" vertical="center" wrapText="1"/>
    </xf>
    <xf numFmtId="0" fontId="28" fillId="26" borderId="0" xfId="2821" applyFont="1" applyFill="1" applyBorder="1" applyAlignment="1" applyProtection="1">
      <alignment horizontal="left" vertical="center" wrapText="1"/>
    </xf>
    <xf numFmtId="0" fontId="28" fillId="26" borderId="15" xfId="2821" applyFont="1" applyFill="1" applyBorder="1" applyAlignment="1" applyProtection="1">
      <alignment horizontal="left" vertical="center" wrapText="1"/>
    </xf>
    <xf numFmtId="0" fontId="28" fillId="26" borderId="92" xfId="2821" applyFont="1" applyFill="1" applyBorder="1" applyAlignment="1" applyProtection="1">
      <alignment horizontal="left" vertical="center" wrapText="1"/>
    </xf>
    <xf numFmtId="0" fontId="28" fillId="26" borderId="85" xfId="2821" applyFont="1" applyFill="1" applyBorder="1" applyAlignment="1" applyProtection="1">
      <alignment horizontal="left" vertical="center" wrapText="1"/>
    </xf>
    <xf numFmtId="0" fontId="28" fillId="26" borderId="93" xfId="2821" applyFont="1" applyFill="1" applyBorder="1" applyAlignment="1" applyProtection="1">
      <alignment horizontal="left" vertical="center" wrapText="1"/>
    </xf>
    <xf numFmtId="0" fontId="2" fillId="19" borderId="0" xfId="0" applyFont="1" applyFill="1" applyBorder="1" applyAlignment="1" applyProtection="1">
      <alignment horizontal="left" vertical="center" wrapText="1" indent="1"/>
    </xf>
    <xf numFmtId="0" fontId="87" fillId="18" borderId="88" xfId="2821" applyFill="1" applyBorder="1" applyAlignment="1" applyProtection="1">
      <alignment horizontal="center"/>
    </xf>
    <xf numFmtId="0" fontId="87" fillId="18" borderId="91" xfId="2821" applyFill="1" applyBorder="1" applyAlignment="1" applyProtection="1">
      <alignment horizontal="center"/>
    </xf>
    <xf numFmtId="0" fontId="33" fillId="28" borderId="82" xfId="2821" applyFont="1" applyFill="1" applyBorder="1" applyAlignment="1" applyProtection="1">
      <alignment horizontal="left" vertical="top" wrapText="1" indent="2"/>
    </xf>
    <xf numFmtId="0" fontId="33" fillId="28" borderId="83" xfId="2821" applyFont="1" applyFill="1" applyBorder="1" applyAlignment="1" applyProtection="1">
      <alignment horizontal="left" vertical="top" wrapText="1" indent="2"/>
    </xf>
    <xf numFmtId="0" fontId="33" fillId="28" borderId="84" xfId="2821" applyFont="1" applyFill="1" applyBorder="1" applyAlignment="1" applyProtection="1">
      <alignment horizontal="left" vertical="top" wrapText="1" indent="2"/>
    </xf>
    <xf numFmtId="0" fontId="33" fillId="28" borderId="86" xfId="2821" applyFont="1" applyFill="1" applyBorder="1" applyAlignment="1" applyProtection="1">
      <alignment horizontal="left" vertical="top" wrapText="1" indent="2"/>
    </xf>
    <xf numFmtId="0" fontId="33" fillId="19" borderId="0" xfId="0" applyFont="1" applyFill="1" applyBorder="1" applyAlignment="1" applyProtection="1">
      <alignment horizontal="left" vertical="center" wrapText="1" indent="1"/>
    </xf>
    <xf numFmtId="0" fontId="31" fillId="19" borderId="0" xfId="2821" applyFont="1" applyFill="1" applyBorder="1" applyAlignment="1" applyProtection="1">
      <alignment horizontal="left" vertical="center" wrapText="1"/>
    </xf>
    <xf numFmtId="0" fontId="40" fillId="26" borderId="18" xfId="2821" applyFont="1" applyFill="1" applyBorder="1" applyAlignment="1" applyProtection="1">
      <alignment horizontal="left" vertical="center" wrapText="1"/>
    </xf>
    <xf numFmtId="0" fontId="33" fillId="19" borderId="0" xfId="2821" applyFont="1" applyFill="1" applyBorder="1" applyAlignment="1" applyProtection="1">
      <alignment horizontal="left" vertical="center" wrapText="1" indent="1"/>
    </xf>
    <xf numFmtId="0" fontId="56" fillId="27" borderId="14" xfId="2278" applyNumberFormat="1" applyFont="1" applyFill="1" applyBorder="1" applyAlignment="1" applyProtection="1">
      <alignment horizontal="left" vertical="center"/>
    </xf>
    <xf numFmtId="0" fontId="40" fillId="26" borderId="19" xfId="2821" applyFont="1" applyFill="1" applyBorder="1" applyAlignment="1" applyProtection="1">
      <alignment horizontal="left" vertical="center" wrapText="1"/>
    </xf>
    <xf numFmtId="0" fontId="40" fillId="26" borderId="0" xfId="2821" applyFont="1" applyFill="1" applyBorder="1" applyAlignment="1" applyProtection="1">
      <alignment horizontal="left" vertical="center" wrapText="1"/>
    </xf>
    <xf numFmtId="0" fontId="40" fillId="26" borderId="15" xfId="2821" applyFont="1" applyFill="1" applyBorder="1" applyAlignment="1" applyProtection="1">
      <alignment horizontal="left" vertical="center" wrapText="1"/>
    </xf>
    <xf numFmtId="0" fontId="40" fillId="26" borderId="14" xfId="2821" applyFont="1" applyFill="1" applyBorder="1" applyAlignment="1" applyProtection="1">
      <alignment horizontal="left" vertical="center" wrapText="1"/>
    </xf>
    <xf numFmtId="0" fontId="40" fillId="26" borderId="72" xfId="2821" applyFont="1" applyFill="1" applyBorder="1" applyAlignment="1" applyProtection="1">
      <alignment horizontal="left" vertical="center" wrapText="1"/>
    </xf>
    <xf numFmtId="0" fontId="40" fillId="26" borderId="13" xfId="2821" applyFont="1" applyFill="1" applyBorder="1" applyAlignment="1" applyProtection="1">
      <alignment horizontal="left" vertical="center" wrapText="1"/>
    </xf>
    <xf numFmtId="0" fontId="101" fillId="23" borderId="0" xfId="2821" applyFont="1" applyFill="1" applyBorder="1" applyAlignment="1">
      <alignment horizontal="center" vertical="center" wrapText="1"/>
    </xf>
    <xf numFmtId="0" fontId="103" fillId="24" borderId="0" xfId="2821" applyFont="1" applyFill="1" applyBorder="1" applyAlignment="1">
      <alignment horizontal="center" vertical="center" wrapText="1"/>
    </xf>
    <xf numFmtId="0" fontId="104" fillId="19" borderId="0" xfId="2278" applyNumberFormat="1" applyFont="1" applyFill="1" applyBorder="1" applyAlignment="1" applyProtection="1">
      <alignment horizontal="center" vertical="center"/>
    </xf>
    <xf numFmtId="0" fontId="54" fillId="19" borderId="0" xfId="0" applyFont="1" applyFill="1" applyBorder="1" applyAlignment="1" applyProtection="1">
      <alignment horizontal="left" vertical="center" wrapText="1" indent="1"/>
    </xf>
    <xf numFmtId="0" fontId="105" fillId="75" borderId="0" xfId="2821" applyFont="1" applyFill="1" applyBorder="1" applyAlignment="1">
      <alignment horizontal="center" vertical="center" wrapText="1"/>
    </xf>
    <xf numFmtId="0" fontId="87" fillId="19" borderId="217" xfId="2821" applyFont="1" applyFill="1" applyBorder="1" applyAlignment="1">
      <alignment horizontal="left" vertical="center" wrapText="1" indent="1"/>
    </xf>
    <xf numFmtId="0" fontId="87" fillId="19" borderId="94" xfId="2821" applyFont="1" applyFill="1" applyBorder="1" applyAlignment="1">
      <alignment horizontal="left" vertical="center" wrapText="1" indent="1"/>
    </xf>
    <xf numFmtId="0" fontId="107" fillId="30" borderId="211" xfId="2821" applyFont="1" applyFill="1" applyBorder="1" applyAlignment="1">
      <alignment horizontal="left" vertical="center" wrapText="1" indent="1"/>
    </xf>
    <xf numFmtId="0" fontId="107" fillId="30" borderId="212" xfId="2821" applyFont="1" applyFill="1" applyBorder="1" applyAlignment="1">
      <alignment horizontal="left" vertical="center" wrapText="1" indent="1"/>
    </xf>
    <xf numFmtId="0" fontId="107" fillId="30" borderId="238" xfId="2821" applyFont="1" applyFill="1" applyBorder="1" applyAlignment="1">
      <alignment horizontal="left" vertical="center" wrapText="1" indent="1"/>
    </xf>
    <xf numFmtId="0" fontId="107" fillId="30" borderId="223" xfId="2821" applyFont="1" applyFill="1" applyBorder="1" applyAlignment="1">
      <alignment horizontal="left" vertical="center" wrapText="1" indent="1"/>
    </xf>
    <xf numFmtId="0" fontId="28" fillId="19" borderId="216" xfId="0" applyFont="1" applyFill="1" applyBorder="1" applyAlignment="1">
      <alignment horizontal="left" vertical="center" wrapText="1" indent="1"/>
    </xf>
    <xf numFmtId="0" fontId="28" fillId="19" borderId="98" xfId="0" applyFont="1" applyFill="1" applyBorder="1" applyAlignment="1">
      <alignment horizontal="left" vertical="center" wrapText="1" indent="1"/>
    </xf>
    <xf numFmtId="0" fontId="28" fillId="19" borderId="217" xfId="0" applyFont="1" applyFill="1" applyBorder="1" applyAlignment="1">
      <alignment horizontal="left" vertical="center" wrapText="1" indent="1"/>
    </xf>
    <xf numFmtId="0" fontId="28" fillId="19" borderId="94" xfId="0" applyFont="1" applyFill="1" applyBorder="1" applyAlignment="1">
      <alignment horizontal="left" vertical="center" wrapText="1" indent="1"/>
    </xf>
    <xf numFmtId="0" fontId="0" fillId="19" borderId="217" xfId="0" applyFont="1" applyFill="1" applyBorder="1" applyAlignment="1">
      <alignment horizontal="left" vertical="center" wrapText="1" indent="1"/>
    </xf>
    <xf numFmtId="0" fontId="0" fillId="19" borderId="94" xfId="0" applyFont="1" applyFill="1" applyBorder="1" applyAlignment="1">
      <alignment horizontal="left" vertical="center" wrapText="1" indent="1"/>
    </xf>
    <xf numFmtId="0" fontId="31" fillId="29" borderId="87" xfId="0" applyFont="1" applyFill="1" applyBorder="1" applyAlignment="1">
      <alignment horizontal="left" vertical="center" indent="1"/>
    </xf>
    <xf numFmtId="0" fontId="31" fillId="29" borderId="87" xfId="0" applyFont="1" applyFill="1" applyBorder="1" applyAlignment="1">
      <alignment horizontal="left" vertical="center" wrapText="1" indent="1"/>
    </xf>
    <xf numFmtId="0" fontId="46" fillId="34" borderId="195" xfId="2821" applyFont="1" applyFill="1" applyBorder="1" applyAlignment="1" applyProtection="1">
      <alignment horizontal="left" vertical="center"/>
      <protection locked="0"/>
    </xf>
    <xf numFmtId="0" fontId="46" fillId="34" borderId="0" xfId="2821" applyFont="1" applyFill="1" applyBorder="1" applyAlignment="1" applyProtection="1">
      <alignment horizontal="left" vertical="center"/>
      <protection locked="0"/>
    </xf>
    <xf numFmtId="0" fontId="46" fillId="34" borderId="104" xfId="2821" applyFont="1" applyFill="1" applyBorder="1" applyAlignment="1" applyProtection="1">
      <alignment horizontal="left" vertical="center"/>
      <protection locked="0"/>
    </xf>
    <xf numFmtId="0" fontId="46" fillId="34" borderId="84" xfId="2821" applyFont="1" applyFill="1" applyBorder="1" applyAlignment="1" applyProtection="1">
      <alignment horizontal="left" vertical="center"/>
      <protection locked="0"/>
    </xf>
    <xf numFmtId="0" fontId="46" fillId="34" borderId="231" xfId="2821" applyFont="1" applyFill="1" applyBorder="1" applyAlignment="1" applyProtection="1">
      <alignment horizontal="left" vertical="center"/>
      <protection locked="0"/>
    </xf>
    <xf numFmtId="0" fontId="0" fillId="19" borderId="237" xfId="0" applyFont="1" applyFill="1" applyBorder="1" applyAlignment="1">
      <alignment horizontal="left" vertical="center" wrapText="1" indent="1"/>
    </xf>
    <xf numFmtId="0" fontId="0" fillId="19" borderId="214" xfId="0" applyFont="1" applyFill="1" applyBorder="1" applyAlignment="1">
      <alignment horizontal="left" vertical="center" wrapText="1" indent="1"/>
    </xf>
    <xf numFmtId="0" fontId="107" fillId="30" borderId="238" xfId="2821" applyFont="1" applyFill="1" applyBorder="1" applyAlignment="1">
      <alignment horizontal="left" vertical="center" wrapText="1"/>
    </xf>
    <xf numFmtId="0" fontId="107" fillId="30" borderId="223" xfId="2821" applyFont="1" applyFill="1" applyBorder="1" applyAlignment="1">
      <alignment horizontal="left" vertical="center" wrapText="1"/>
    </xf>
    <xf numFmtId="0" fontId="169" fillId="72" borderId="80" xfId="0" applyFont="1" applyFill="1" applyBorder="1" applyAlignment="1">
      <alignment horizontal="left" vertical="center"/>
    </xf>
    <xf numFmtId="0" fontId="169" fillId="72" borderId="81" xfId="0" applyFont="1" applyFill="1" applyBorder="1" applyAlignment="1">
      <alignment horizontal="left" vertical="center"/>
    </xf>
    <xf numFmtId="0" fontId="120" fillId="29" borderId="87" xfId="0" applyFont="1" applyFill="1" applyBorder="1" applyAlignment="1" applyProtection="1">
      <alignment horizontal="center" vertical="center"/>
    </xf>
    <xf numFmtId="0" fontId="117" fillId="29" borderId="94" xfId="0" applyFont="1" applyFill="1" applyBorder="1" applyAlignment="1" applyProtection="1">
      <alignment horizontal="left" vertical="center"/>
    </xf>
    <xf numFmtId="0" fontId="30" fillId="29" borderId="94" xfId="0" applyFont="1" applyFill="1" applyBorder="1" applyAlignment="1" applyProtection="1">
      <alignment horizontal="center" vertical="center"/>
    </xf>
    <xf numFmtId="0" fontId="31" fillId="29" borderId="87" xfId="0" applyFont="1" applyFill="1" applyBorder="1" applyAlignment="1" applyProtection="1">
      <alignment horizontal="left" vertical="center" wrapText="1"/>
    </xf>
    <xf numFmtId="0" fontId="31" fillId="0" borderId="87" xfId="0" applyFont="1" applyFill="1" applyBorder="1" applyAlignment="1" applyProtection="1">
      <alignment horizontal="left"/>
    </xf>
    <xf numFmtId="0" fontId="122" fillId="74" borderId="0" xfId="0" applyFont="1" applyFill="1" applyBorder="1" applyAlignment="1" applyProtection="1">
      <alignment horizontal="left" vertical="center"/>
    </xf>
    <xf numFmtId="0" fontId="122" fillId="74" borderId="106" xfId="0" applyFont="1" applyFill="1" applyBorder="1" applyAlignment="1" applyProtection="1">
      <alignment horizontal="left" vertical="center"/>
    </xf>
    <xf numFmtId="0" fontId="30" fillId="29" borderId="94" xfId="0" applyFont="1" applyFill="1" applyBorder="1" applyAlignment="1" applyProtection="1">
      <alignment horizontal="center" vertical="center" wrapText="1"/>
    </xf>
    <xf numFmtId="0" fontId="28" fillId="29" borderId="87" xfId="0" applyFont="1" applyFill="1" applyBorder="1" applyAlignment="1" applyProtection="1">
      <alignment horizontal="left" vertical="center" wrapText="1"/>
    </xf>
    <xf numFmtId="0" fontId="0" fillId="18" borderId="95" xfId="0" applyFont="1" applyFill="1" applyBorder="1" applyAlignment="1" applyProtection="1">
      <alignment horizontal="left" vertical="center" indent="1" shrinkToFit="1"/>
      <protection locked="0"/>
    </xf>
    <xf numFmtId="0" fontId="0" fillId="18" borderId="96" xfId="0" applyFont="1" applyFill="1" applyBorder="1" applyAlignment="1" applyProtection="1">
      <alignment horizontal="left" vertical="center" indent="1" shrinkToFit="1"/>
      <protection locked="0"/>
    </xf>
    <xf numFmtId="0" fontId="0" fillId="18" borderId="97" xfId="0" applyFont="1" applyFill="1" applyBorder="1" applyAlignment="1" applyProtection="1">
      <alignment horizontal="left" vertical="center" indent="1" shrinkToFit="1"/>
      <protection locked="0"/>
    </xf>
    <xf numFmtId="0" fontId="0" fillId="18" borderId="95" xfId="0" applyFont="1" applyFill="1" applyBorder="1" applyAlignment="1" applyProtection="1">
      <alignment horizontal="left" vertical="center" indent="1" shrinkToFit="1"/>
    </xf>
    <xf numFmtId="0" fontId="0" fillId="18" borderId="96" xfId="0" applyFont="1" applyFill="1" applyBorder="1" applyAlignment="1" applyProtection="1">
      <alignment horizontal="left" vertical="center" indent="1" shrinkToFit="1"/>
    </xf>
    <xf numFmtId="0" fontId="0" fillId="18" borderId="97" xfId="0" applyFont="1" applyFill="1" applyBorder="1" applyAlignment="1" applyProtection="1">
      <alignment horizontal="left" vertical="center" indent="1" shrinkToFit="1"/>
    </xf>
    <xf numFmtId="0" fontId="59" fillId="25" borderId="95" xfId="2278" applyNumberFormat="1" applyFont="1" applyFill="1" applyBorder="1" applyAlignment="1" applyProtection="1">
      <alignment horizontal="center" vertical="center"/>
    </xf>
    <xf numFmtId="0" fontId="59" fillId="25" borderId="96" xfId="2278" applyNumberFormat="1" applyFont="1" applyFill="1" applyBorder="1" applyAlignment="1" applyProtection="1">
      <alignment horizontal="center" vertical="center"/>
    </xf>
    <xf numFmtId="0" fontId="59" fillId="25" borderId="97" xfId="2278" applyNumberFormat="1" applyFont="1" applyFill="1" applyBorder="1" applyAlignment="1" applyProtection="1">
      <alignment horizontal="center" vertical="center"/>
    </xf>
    <xf numFmtId="0" fontId="46" fillId="29" borderId="95" xfId="0" applyFont="1" applyFill="1" applyBorder="1" applyAlignment="1" applyProtection="1">
      <alignment horizontal="left" vertical="center" indent="1"/>
    </xf>
    <xf numFmtId="0" fontId="46" fillId="29" borderId="96" xfId="0" applyFont="1" applyFill="1" applyBorder="1" applyAlignment="1" applyProtection="1">
      <alignment horizontal="left" vertical="center" indent="1"/>
    </xf>
    <xf numFmtId="0" fontId="46" fillId="29" borderId="97" xfId="0" applyFont="1" applyFill="1" applyBorder="1" applyAlignment="1" applyProtection="1">
      <alignment horizontal="left" vertical="center" indent="1"/>
    </xf>
    <xf numFmtId="0" fontId="117" fillId="29" borderId="94" xfId="0" applyFont="1" applyFill="1" applyBorder="1" applyAlignment="1" applyProtection="1">
      <alignment horizontal="center" vertical="center" wrapText="1"/>
    </xf>
    <xf numFmtId="0" fontId="118" fillId="29" borderId="94" xfId="0" applyFont="1" applyFill="1" applyBorder="1" applyAlignment="1" applyProtection="1">
      <alignment horizontal="center" vertical="center" wrapText="1"/>
    </xf>
    <xf numFmtId="0" fontId="162" fillId="67" borderId="165" xfId="2278" applyFont="1" applyFill="1" applyBorder="1" applyAlignment="1" applyProtection="1">
      <alignment horizontal="center" vertical="center" wrapText="1"/>
    </xf>
    <xf numFmtId="0" fontId="162" fillId="67" borderId="192" xfId="2278" applyFont="1" applyFill="1" applyBorder="1" applyAlignment="1" applyProtection="1">
      <alignment horizontal="center" vertical="center" wrapText="1"/>
    </xf>
    <xf numFmtId="0" fontId="162" fillId="67" borderId="167" xfId="2278" applyFont="1" applyFill="1" applyBorder="1" applyAlignment="1" applyProtection="1">
      <alignment horizontal="center" vertical="center" wrapText="1"/>
    </xf>
    <xf numFmtId="0" fontId="161" fillId="47" borderId="165" xfId="0" applyFont="1" applyFill="1" applyBorder="1" applyAlignment="1" applyProtection="1">
      <alignment horizontal="center" vertical="center"/>
    </xf>
    <xf numFmtId="0" fontId="161" fillId="47" borderId="192" xfId="0" applyFont="1" applyFill="1" applyBorder="1" applyAlignment="1" applyProtection="1">
      <alignment horizontal="center" vertical="center"/>
    </xf>
    <xf numFmtId="0" fontId="161" fillId="47" borderId="167" xfId="0" applyFont="1" applyFill="1" applyBorder="1" applyAlignment="1" applyProtection="1">
      <alignment horizontal="center" vertical="center"/>
    </xf>
    <xf numFmtId="0" fontId="0" fillId="18" borderId="94" xfId="0" applyFont="1" applyFill="1" applyBorder="1" applyAlignment="1" applyProtection="1">
      <alignment horizontal="left" vertical="center" indent="1" shrinkToFit="1"/>
      <protection locked="0"/>
    </xf>
    <xf numFmtId="0" fontId="121" fillId="29" borderId="94" xfId="0" applyFont="1" applyFill="1" applyBorder="1" applyAlignment="1" applyProtection="1">
      <alignment horizontal="center" vertical="center" wrapText="1"/>
    </xf>
    <xf numFmtId="0" fontId="0" fillId="18" borderId="105" xfId="0" applyFont="1" applyFill="1" applyBorder="1" applyAlignment="1" applyProtection="1">
      <alignment horizontal="left" vertical="center" indent="1" shrinkToFit="1"/>
      <protection locked="0"/>
    </xf>
    <xf numFmtId="0" fontId="0" fillId="18" borderId="106" xfId="0" applyFont="1" applyFill="1" applyBorder="1" applyAlignment="1" applyProtection="1">
      <alignment horizontal="left" vertical="center" indent="1" shrinkToFit="1"/>
      <protection locked="0"/>
    </xf>
    <xf numFmtId="0" fontId="0" fillId="29" borderId="108" xfId="0" applyFont="1" applyFill="1" applyBorder="1" applyAlignment="1" applyProtection="1">
      <alignment horizontal="center" vertical="center" wrapText="1"/>
      <protection hidden="1"/>
    </xf>
    <xf numFmtId="0" fontId="0" fillId="29" borderId="94" xfId="0" applyFont="1" applyFill="1" applyBorder="1" applyAlignment="1" applyProtection="1">
      <alignment horizontal="center" vertical="center" wrapText="1"/>
      <protection hidden="1"/>
    </xf>
    <xf numFmtId="0" fontId="25" fillId="29" borderId="110" xfId="0" applyFont="1" applyFill="1" applyBorder="1" applyAlignment="1">
      <alignment horizontal="center" vertical="center" wrapText="1"/>
    </xf>
    <xf numFmtId="0" fontId="25" fillId="29" borderId="115" xfId="0" applyFont="1" applyFill="1" applyBorder="1" applyAlignment="1">
      <alignment horizontal="center" vertical="center" wrapText="1"/>
    </xf>
    <xf numFmtId="0" fontId="45" fillId="29" borderId="109" xfId="0" applyFont="1" applyFill="1" applyBorder="1" applyAlignment="1">
      <alignment horizontal="center" vertical="center"/>
    </xf>
    <xf numFmtId="0" fontId="45" fillId="29" borderId="108" xfId="0" applyFont="1" applyFill="1" applyBorder="1" applyAlignment="1">
      <alignment horizontal="center" vertical="center"/>
    </xf>
    <xf numFmtId="0" fontId="45" fillId="29" borderId="110" xfId="0" applyFont="1" applyFill="1" applyBorder="1" applyAlignment="1">
      <alignment horizontal="center" vertical="center"/>
    </xf>
    <xf numFmtId="0" fontId="24" fillId="0" borderId="119" xfId="0" applyFont="1" applyFill="1" applyBorder="1" applyAlignment="1">
      <alignment horizontal="left" vertical="center"/>
    </xf>
    <xf numFmtId="0" fontId="24" fillId="0" borderId="97" xfId="0" applyFont="1" applyFill="1" applyBorder="1" applyAlignment="1">
      <alignment horizontal="left" vertical="center"/>
    </xf>
    <xf numFmtId="0" fontId="83" fillId="25" borderId="94" xfId="2278" applyNumberFormat="1" applyFont="1" applyFill="1" applyBorder="1" applyAlignment="1" applyProtection="1">
      <alignment horizontal="center" vertical="center"/>
    </xf>
    <xf numFmtId="0" fontId="59" fillId="25" borderId="94" xfId="2278" applyNumberFormat="1" applyFont="1" applyFill="1" applyBorder="1" applyAlignment="1" applyProtection="1">
      <alignment horizontal="center" vertical="center"/>
    </xf>
    <xf numFmtId="0" fontId="10" fillId="29" borderId="234" xfId="0" applyFont="1" applyFill="1" applyBorder="1" applyAlignment="1">
      <alignment horizontal="center" vertical="center" wrapText="1"/>
    </xf>
    <xf numFmtId="0" fontId="10" fillId="29" borderId="160" xfId="0" applyFont="1" applyFill="1" applyBorder="1" applyAlignment="1">
      <alignment horizontal="center" vertical="center" wrapText="1"/>
    </xf>
    <xf numFmtId="2" fontId="45" fillId="0" borderId="95" xfId="0" applyNumberFormat="1" applyFont="1" applyFill="1" applyBorder="1" applyAlignment="1">
      <alignment horizontal="center"/>
    </xf>
    <xf numFmtId="2" fontId="45" fillId="0" borderId="240" xfId="0" applyNumberFormat="1" applyFont="1" applyFill="1" applyBorder="1" applyAlignment="1">
      <alignment horizontal="center"/>
    </xf>
    <xf numFmtId="0" fontId="46" fillId="29" borderId="236" xfId="0" applyFont="1" applyFill="1" applyBorder="1" applyAlignment="1">
      <alignment horizontal="left" vertical="center" wrapText="1"/>
    </xf>
    <xf numFmtId="0" fontId="46" fillId="29" borderId="221" xfId="0" applyFont="1" applyFill="1" applyBorder="1" applyAlignment="1">
      <alignment horizontal="left" vertical="center" wrapText="1"/>
    </xf>
    <xf numFmtId="0" fontId="34" fillId="29" borderId="234" xfId="0" applyFont="1" applyFill="1" applyBorder="1" applyAlignment="1">
      <alignment horizontal="left" vertical="center" indent="1"/>
    </xf>
    <xf numFmtId="0" fontId="34" fillId="29" borderId="193" xfId="0" applyFont="1" applyFill="1" applyBorder="1" applyAlignment="1">
      <alignment horizontal="left" vertical="center" indent="1"/>
    </xf>
    <xf numFmtId="0" fontId="34" fillId="29" borderId="235" xfId="0" applyFont="1" applyFill="1" applyBorder="1" applyAlignment="1">
      <alignment horizontal="left" vertical="center" indent="1"/>
    </xf>
    <xf numFmtId="0" fontId="45" fillId="29" borderId="205" xfId="0" applyFont="1" applyFill="1" applyBorder="1" applyAlignment="1">
      <alignment horizontal="left" vertical="center"/>
    </xf>
    <xf numFmtId="0" fontId="45" fillId="29" borderId="206" xfId="0" applyFont="1" applyFill="1" applyBorder="1" applyAlignment="1">
      <alignment horizontal="left" vertical="center"/>
    </xf>
    <xf numFmtId="0" fontId="45" fillId="29" borderId="239" xfId="0" applyFont="1" applyFill="1" applyBorder="1" applyAlignment="1">
      <alignment horizontal="left" vertical="center"/>
    </xf>
    <xf numFmtId="0" fontId="45" fillId="29" borderId="95" xfId="0" applyFont="1" applyFill="1" applyBorder="1" applyAlignment="1">
      <alignment horizontal="left" vertical="center"/>
    </xf>
    <xf numFmtId="0" fontId="45" fillId="29" borderId="96" xfId="0" applyFont="1" applyFill="1" applyBorder="1" applyAlignment="1">
      <alignment horizontal="left" vertical="center"/>
    </xf>
    <xf numFmtId="0" fontId="45" fillId="29" borderId="121" xfId="0" applyFont="1" applyFill="1" applyBorder="1" applyAlignment="1">
      <alignment horizontal="left" vertical="center"/>
    </xf>
    <xf numFmtId="0" fontId="46" fillId="29" borderId="109" xfId="0" applyFont="1" applyFill="1" applyBorder="1" applyAlignment="1">
      <alignment horizontal="left" vertical="center" wrapText="1"/>
    </xf>
    <xf numFmtId="0" fontId="46" fillId="29" borderId="108" xfId="0" applyFont="1" applyFill="1" applyBorder="1" applyAlignment="1">
      <alignment horizontal="left" vertical="center" wrapText="1"/>
    </xf>
    <xf numFmtId="0" fontId="46" fillId="29" borderId="114" xfId="0" applyFont="1" applyFill="1" applyBorder="1" applyAlignment="1">
      <alignment horizontal="left" vertical="center" wrapText="1"/>
    </xf>
    <xf numFmtId="0" fontId="46" fillId="29" borderId="94" xfId="0" applyFont="1" applyFill="1" applyBorder="1" applyAlignment="1">
      <alignment horizontal="left" vertical="center" wrapText="1"/>
    </xf>
    <xf numFmtId="0" fontId="162" fillId="67" borderId="165" xfId="2278" applyFont="1" applyFill="1" applyBorder="1" applyAlignment="1">
      <alignment horizontal="center" vertical="center" wrapText="1"/>
    </xf>
    <xf numFmtId="0" fontId="162" fillId="67" borderId="192" xfId="2278" applyFont="1" applyFill="1" applyBorder="1" applyAlignment="1">
      <alignment horizontal="center" vertical="center" wrapText="1"/>
    </xf>
    <xf numFmtId="0" fontId="162" fillId="67" borderId="167" xfId="2278" applyFont="1" applyFill="1" applyBorder="1" applyAlignment="1">
      <alignment horizontal="center" vertical="center" wrapText="1"/>
    </xf>
    <xf numFmtId="0" fontId="161" fillId="47" borderId="165" xfId="0" applyFont="1" applyFill="1" applyBorder="1" applyAlignment="1">
      <alignment horizontal="center" vertical="center"/>
    </xf>
    <xf numFmtId="0" fontId="161" fillId="47" borderId="192" xfId="0" applyFont="1" applyFill="1" applyBorder="1" applyAlignment="1">
      <alignment horizontal="center" vertical="center"/>
    </xf>
    <xf numFmtId="0" fontId="161" fillId="47" borderId="167" xfId="0" applyFont="1" applyFill="1" applyBorder="1" applyAlignment="1">
      <alignment horizontal="center" vertical="center"/>
    </xf>
    <xf numFmtId="166" fontId="45" fillId="0" borderId="205" xfId="0" applyNumberFormat="1" applyFont="1" applyFill="1" applyBorder="1" applyAlignment="1">
      <alignment horizontal="center"/>
    </xf>
    <xf numFmtId="166" fontId="45" fillId="0" borderId="241" xfId="0" applyNumberFormat="1" applyFont="1" applyFill="1" applyBorder="1" applyAlignment="1">
      <alignment horizontal="center"/>
    </xf>
    <xf numFmtId="0" fontId="28" fillId="29" borderId="236" xfId="0" applyFont="1" applyFill="1" applyBorder="1" applyAlignment="1">
      <alignment horizontal="left" vertical="center" wrapText="1"/>
    </xf>
    <xf numFmtId="0" fontId="28" fillId="29" borderId="221" xfId="0" applyFont="1" applyFill="1" applyBorder="1" applyAlignment="1">
      <alignment horizontal="left" vertical="center" wrapText="1"/>
    </xf>
    <xf numFmtId="0" fontId="27" fillId="0" borderId="217" xfId="0" applyFont="1" applyFill="1" applyBorder="1" applyAlignment="1">
      <alignment horizontal="center" vertical="center" wrapText="1"/>
    </xf>
    <xf numFmtId="0" fontId="27" fillId="0" borderId="237" xfId="0" applyFont="1" applyFill="1" applyBorder="1" applyAlignment="1">
      <alignment horizontal="center" vertical="center" wrapText="1"/>
    </xf>
    <xf numFmtId="0" fontId="45" fillId="0" borderId="95" xfId="0" applyFont="1" applyFill="1" applyBorder="1" applyAlignment="1">
      <alignment horizontal="center"/>
    </xf>
    <xf numFmtId="0" fontId="45" fillId="0" borderId="240" xfId="0" applyFont="1" applyFill="1" applyBorder="1" applyAlignment="1">
      <alignment horizontal="center"/>
    </xf>
    <xf numFmtId="0" fontId="45" fillId="29" borderId="228" xfId="0" applyFont="1" applyFill="1" applyBorder="1" applyAlignment="1">
      <alignment horizontal="left" vertical="center"/>
    </xf>
    <xf numFmtId="0" fontId="45" fillId="29" borderId="212" xfId="0" applyFont="1" applyFill="1" applyBorder="1" applyAlignment="1">
      <alignment horizontal="left" vertical="center"/>
    </xf>
    <xf numFmtId="0" fontId="45" fillId="29" borderId="229" xfId="0" applyFont="1" applyFill="1" applyBorder="1" applyAlignment="1">
      <alignment horizontal="left" vertical="center"/>
    </xf>
    <xf numFmtId="0" fontId="25" fillId="29" borderId="139" xfId="0" applyFont="1" applyFill="1" applyBorder="1" applyAlignment="1">
      <alignment horizontal="center" vertical="center" wrapText="1"/>
    </xf>
    <xf numFmtId="0" fontId="25" fillId="29" borderId="140" xfId="0" applyFont="1" applyFill="1" applyBorder="1" applyAlignment="1">
      <alignment horizontal="center" vertical="center" wrapText="1"/>
    </xf>
    <xf numFmtId="0" fontId="25" fillId="29" borderId="141" xfId="0" applyFont="1" applyFill="1" applyBorder="1" applyAlignment="1">
      <alignment horizontal="center" vertical="center" wrapText="1"/>
    </xf>
    <xf numFmtId="0" fontId="25" fillId="29" borderId="58" xfId="0" applyFont="1" applyFill="1" applyBorder="1" applyAlignment="1">
      <alignment horizontal="center" vertical="center" wrapText="1"/>
    </xf>
    <xf numFmtId="0" fontId="0" fillId="29" borderId="0" xfId="0" applyFill="1"/>
    <xf numFmtId="0" fontId="0" fillId="38" borderId="136" xfId="0" applyFill="1" applyBorder="1" applyAlignment="1">
      <alignment horizontal="center" vertical="center" wrapText="1"/>
    </xf>
    <xf numFmtId="0" fontId="0" fillId="0" borderId="0" xfId="0" applyFill="1"/>
    <xf numFmtId="0" fontId="0" fillId="37" borderId="39" xfId="0" applyFont="1" applyFill="1" applyBorder="1" applyAlignment="1">
      <alignment horizontal="center"/>
    </xf>
    <xf numFmtId="0" fontId="0" fillId="37" borderId="38" xfId="0" applyFont="1" applyFill="1" applyBorder="1" applyAlignment="1">
      <alignment horizontal="center" vertical="center"/>
    </xf>
    <xf numFmtId="0" fontId="36" fillId="37" borderId="31"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86" fillId="25" borderId="94" xfId="2278" applyNumberFormat="1" applyFont="1" applyFill="1" applyBorder="1" applyAlignment="1" applyProtection="1">
      <alignment horizontal="center" vertical="center"/>
    </xf>
    <xf numFmtId="0" fontId="0" fillId="29" borderId="289" xfId="0" applyFont="1" applyFill="1" applyBorder="1" applyAlignment="1">
      <alignment horizontal="left" wrapText="1"/>
    </xf>
    <xf numFmtId="0" fontId="103" fillId="77" borderId="315" xfId="0" applyFont="1" applyFill="1" applyBorder="1" applyAlignment="1" applyProtection="1">
      <alignment horizontal="left" vertical="center"/>
    </xf>
    <xf numFmtId="0" fontId="103" fillId="77" borderId="0" xfId="0" applyFont="1" applyFill="1" applyBorder="1" applyAlignment="1" applyProtection="1">
      <alignment horizontal="left" vertical="center"/>
    </xf>
    <xf numFmtId="0" fontId="103" fillId="77" borderId="104" xfId="0" applyFont="1" applyFill="1" applyBorder="1" applyAlignment="1" applyProtection="1">
      <alignment horizontal="left" vertical="center"/>
    </xf>
    <xf numFmtId="0" fontId="128" fillId="29" borderId="94" xfId="0" applyFont="1" applyFill="1" applyBorder="1" applyAlignment="1">
      <alignment horizontal="center" vertical="center" wrapText="1"/>
    </xf>
    <xf numFmtId="0" fontId="126" fillId="29" borderId="94" xfId="0" applyFont="1" applyFill="1" applyBorder="1" applyAlignment="1" applyProtection="1">
      <alignment horizontal="center" vertical="center" wrapText="1"/>
    </xf>
    <xf numFmtId="0" fontId="126" fillId="29" borderId="210" xfId="0" applyFont="1" applyFill="1" applyBorder="1" applyAlignment="1" applyProtection="1">
      <alignment horizontal="center" vertical="center" wrapText="1"/>
    </xf>
    <xf numFmtId="0" fontId="28" fillId="29" borderId="220" xfId="0" applyFont="1" applyFill="1" applyBorder="1" applyAlignment="1" applyProtection="1">
      <alignment horizontal="center" vertical="center" wrapText="1"/>
    </xf>
    <xf numFmtId="0" fontId="28" fillId="29" borderId="216" xfId="0" applyFont="1" applyFill="1" applyBorder="1" applyAlignment="1" applyProtection="1">
      <alignment horizontal="center" vertical="center" wrapText="1"/>
    </xf>
    <xf numFmtId="0" fontId="162" fillId="67" borderId="146" xfId="2278" applyFont="1" applyFill="1" applyBorder="1" applyAlignment="1">
      <alignment horizontal="center" vertical="center" wrapText="1"/>
    </xf>
    <xf numFmtId="0" fontId="162" fillId="67" borderId="148" xfId="2278" applyFont="1" applyFill="1" applyBorder="1" applyAlignment="1">
      <alignment horizontal="center" vertical="center" wrapText="1"/>
    </xf>
    <xf numFmtId="0" fontId="162" fillId="67" borderId="152" xfId="2278" applyFont="1" applyFill="1" applyBorder="1" applyAlignment="1">
      <alignment horizontal="center" vertical="center" wrapText="1"/>
    </xf>
    <xf numFmtId="0" fontId="162" fillId="67" borderId="154" xfId="2278" applyFont="1" applyFill="1" applyBorder="1" applyAlignment="1">
      <alignment horizontal="center" vertical="center" wrapText="1"/>
    </xf>
    <xf numFmtId="0" fontId="33" fillId="29" borderId="94" xfId="0" applyFont="1" applyFill="1" applyBorder="1" applyAlignment="1" applyProtection="1">
      <alignment horizontal="center" vertical="center" wrapText="1"/>
    </xf>
    <xf numFmtId="0" fontId="33" fillId="29" borderId="94" xfId="0" applyFont="1" applyFill="1" applyBorder="1" applyAlignment="1" applyProtection="1">
      <alignment horizontal="center" vertical="center"/>
    </xf>
    <xf numFmtId="0" fontId="28" fillId="29" borderId="94" xfId="0" applyFont="1" applyFill="1" applyBorder="1" applyAlignment="1" applyProtection="1">
      <alignment horizontal="center" vertical="center" wrapText="1"/>
    </xf>
    <xf numFmtId="0" fontId="28" fillId="29" borderId="210" xfId="0" applyFont="1" applyFill="1" applyBorder="1" applyAlignment="1" applyProtection="1">
      <alignment horizontal="center" vertical="center" wrapText="1"/>
    </xf>
    <xf numFmtId="0" fontId="59" fillId="25" borderId="243" xfId="2278" applyNumberFormat="1" applyFont="1" applyFill="1" applyBorder="1" applyAlignment="1" applyProtection="1">
      <alignment horizontal="center" vertical="center"/>
    </xf>
    <xf numFmtId="166" fontId="133" fillId="15" borderId="95" xfId="2821" applyNumberFormat="1" applyFont="1" applyFill="1" applyBorder="1" applyAlignment="1" applyProtection="1">
      <alignment horizontal="right" vertical="center" indent="1"/>
      <protection hidden="1"/>
    </xf>
    <xf numFmtId="166" fontId="133" fillId="15" borderId="97" xfId="2821" applyNumberFormat="1" applyFont="1" applyFill="1" applyBorder="1" applyAlignment="1" applyProtection="1">
      <alignment horizontal="right" vertical="center" indent="1"/>
      <protection hidden="1"/>
    </xf>
    <xf numFmtId="166" fontId="133" fillId="15" borderId="228" xfId="2821" applyNumberFormat="1" applyFont="1" applyFill="1" applyBorder="1" applyAlignment="1" applyProtection="1">
      <alignment horizontal="right" vertical="center" indent="1"/>
      <protection hidden="1"/>
    </xf>
    <xf numFmtId="166" fontId="133" fillId="15" borderId="213" xfId="2821" applyNumberFormat="1" applyFont="1" applyFill="1" applyBorder="1" applyAlignment="1" applyProtection="1">
      <alignment horizontal="right" vertical="center" indent="1"/>
      <protection hidden="1"/>
    </xf>
    <xf numFmtId="0" fontId="130" fillId="74" borderId="80" xfId="0" applyFont="1" applyFill="1" applyBorder="1" applyAlignment="1">
      <alignment horizontal="left" vertical="center"/>
    </xf>
    <xf numFmtId="0" fontId="130" fillId="74" borderId="188" xfId="0" applyFont="1" applyFill="1" applyBorder="1" applyAlignment="1">
      <alignment horizontal="left" vertical="center"/>
    </xf>
    <xf numFmtId="0" fontId="130" fillId="74" borderId="81" xfId="0" applyFont="1" applyFill="1" applyBorder="1" applyAlignment="1">
      <alignment horizontal="left" vertical="center"/>
    </xf>
    <xf numFmtId="0" fontId="59" fillId="25" borderId="80" xfId="2278" applyNumberFormat="1" applyFont="1" applyFill="1" applyBorder="1" applyAlignment="1" applyProtection="1">
      <alignment horizontal="center" vertical="center"/>
    </xf>
    <xf numFmtId="0" fontId="59" fillId="25" borderId="188" xfId="2278" applyNumberFormat="1" applyFont="1" applyFill="1" applyBorder="1" applyAlignment="1" applyProtection="1">
      <alignment horizontal="center" vertical="center"/>
    </xf>
    <xf numFmtId="0" fontId="59" fillId="25" borderId="81" xfId="2278" applyNumberFormat="1" applyFont="1" applyFill="1" applyBorder="1" applyAlignment="1" applyProtection="1">
      <alignment horizontal="center" vertical="center"/>
    </xf>
    <xf numFmtId="0" fontId="68" fillId="38" borderId="238" xfId="2821" applyFont="1" applyFill="1" applyBorder="1" applyAlignment="1">
      <alignment horizontal="center" vertical="center" wrapText="1"/>
    </xf>
    <xf numFmtId="0" fontId="68" fillId="38" borderId="223" xfId="2821" applyFont="1" applyFill="1" applyBorder="1" applyAlignment="1">
      <alignment horizontal="center" vertical="center" wrapText="1"/>
    </xf>
    <xf numFmtId="0" fontId="68" fillId="38" borderId="242" xfId="2821" applyFont="1" applyFill="1" applyBorder="1" applyAlignment="1">
      <alignment horizontal="center" vertical="center" wrapText="1"/>
    </xf>
    <xf numFmtId="166" fontId="133" fillId="15" borderId="94" xfId="2821" applyNumberFormat="1" applyFont="1" applyFill="1" applyBorder="1" applyAlignment="1" applyProtection="1">
      <alignment horizontal="right" vertical="center" indent="1"/>
      <protection hidden="1"/>
    </xf>
    <xf numFmtId="0" fontId="10" fillId="16" borderId="221" xfId="2821" applyFont="1" applyFill="1" applyBorder="1" applyAlignment="1" applyProtection="1">
      <alignment horizontal="center" vertical="center" wrapText="1"/>
      <protection hidden="1"/>
    </xf>
    <xf numFmtId="0" fontId="28" fillId="29" borderId="222" xfId="2821" applyFont="1" applyFill="1" applyBorder="1" applyAlignment="1">
      <alignment horizontal="center"/>
    </xf>
    <xf numFmtId="0" fontId="28" fillId="29" borderId="224" xfId="2821" applyFont="1" applyFill="1" applyBorder="1" applyAlignment="1">
      <alignment horizontal="center"/>
    </xf>
    <xf numFmtId="0" fontId="166" fillId="29" borderId="217" xfId="0" applyFont="1" applyFill="1" applyBorder="1" applyAlignment="1">
      <alignment horizontal="left" vertical="center"/>
    </xf>
    <xf numFmtId="0" fontId="166" fillId="29" borderId="94" xfId="0" applyFont="1" applyFill="1" applyBorder="1" applyAlignment="1">
      <alignment horizontal="left" vertical="center"/>
    </xf>
    <xf numFmtId="0" fontId="166" fillId="29" borderId="237" xfId="0" applyFont="1" applyFill="1" applyBorder="1" applyAlignment="1">
      <alignment horizontal="left" vertical="center"/>
    </xf>
    <xf numFmtId="0" fontId="166" fillId="29" borderId="214" xfId="0" applyFont="1" applyFill="1" applyBorder="1" applyAlignment="1">
      <alignment horizontal="left" vertical="center"/>
    </xf>
    <xf numFmtId="0" fontId="27" fillId="29" borderId="236" xfId="0" applyFont="1" applyFill="1" applyBorder="1" applyAlignment="1">
      <alignment horizontal="left"/>
    </xf>
    <xf numFmtId="0" fontId="27" fillId="29" borderId="221" xfId="0" applyFont="1" applyFill="1" applyBorder="1" applyAlignment="1">
      <alignment horizontal="left"/>
    </xf>
    <xf numFmtId="0" fontId="27" fillId="29" borderId="225" xfId="0" applyFont="1" applyFill="1" applyBorder="1" applyAlignment="1">
      <alignment horizontal="left"/>
    </xf>
    <xf numFmtId="0" fontId="0" fillId="29" borderId="209" xfId="0" applyFill="1" applyBorder="1" applyAlignment="1">
      <alignment horizontal="center"/>
    </xf>
    <xf numFmtId="0" fontId="0" fillId="29" borderId="96" xfId="0" applyFill="1" applyBorder="1" applyAlignment="1">
      <alignment horizontal="center"/>
    </xf>
    <xf numFmtId="0" fontId="0" fillId="29" borderId="97" xfId="0" applyFill="1" applyBorder="1" applyAlignment="1">
      <alignment horizontal="center"/>
    </xf>
    <xf numFmtId="0" fontId="141" fillId="74" borderId="143" xfId="0" applyFont="1" applyFill="1" applyBorder="1" applyAlignment="1" applyProtection="1">
      <alignment horizontal="left" vertical="center" wrapText="1"/>
    </xf>
    <xf numFmtId="0" fontId="31" fillId="29" borderId="236" xfId="0" applyFont="1" applyFill="1" applyBorder="1" applyAlignment="1" applyProtection="1">
      <alignment horizontal="center" vertical="center"/>
    </xf>
    <xf numFmtId="0" fontId="31" fillId="29" borderId="221" xfId="0" applyFont="1" applyFill="1" applyBorder="1" applyAlignment="1" applyProtection="1">
      <alignment horizontal="center" vertical="center"/>
    </xf>
    <xf numFmtId="0" fontId="31" fillId="29" borderId="221" xfId="0" applyFont="1" applyFill="1" applyBorder="1" applyAlignment="1" applyProtection="1">
      <alignment horizontal="center" vertical="center" wrapText="1"/>
    </xf>
    <xf numFmtId="0" fontId="31" fillId="29" borderId="225" xfId="0" applyFont="1" applyFill="1" applyBorder="1" applyAlignment="1" applyProtection="1">
      <alignment horizontal="center" vertical="center"/>
    </xf>
    <xf numFmtId="0" fontId="30" fillId="29" borderId="236" xfId="0" applyFont="1" applyFill="1" applyBorder="1" applyAlignment="1" applyProtection="1">
      <alignment horizontal="center" vertical="center" wrapText="1"/>
    </xf>
    <xf numFmtId="0" fontId="30" fillId="29" borderId="225" xfId="0" applyFont="1" applyFill="1" applyBorder="1" applyAlignment="1" applyProtection="1">
      <alignment horizontal="center" vertical="center"/>
    </xf>
    <xf numFmtId="0" fontId="33" fillId="16" borderId="94" xfId="0" applyFont="1" applyFill="1" applyBorder="1" applyAlignment="1">
      <alignment horizontal="center" vertical="center" wrapText="1"/>
    </xf>
    <xf numFmtId="0" fontId="33" fillId="16" borderId="210" xfId="0" applyFont="1" applyFill="1" applyBorder="1" applyAlignment="1">
      <alignment horizontal="center" vertical="center" wrapText="1"/>
    </xf>
    <xf numFmtId="0" fontId="25" fillId="0" borderId="0" xfId="0" applyFont="1" applyAlignment="1" applyProtection="1">
      <alignment horizontal="center" wrapText="1"/>
    </xf>
    <xf numFmtId="0" fontId="25" fillId="0" borderId="0" xfId="0" applyFont="1" applyAlignment="1" applyProtection="1">
      <alignment horizontal="center"/>
    </xf>
    <xf numFmtId="0" fontId="27" fillId="0" borderId="0" xfId="0" applyFont="1" applyAlignment="1" applyProtection="1">
      <alignment horizontal="left"/>
    </xf>
    <xf numFmtId="0" fontId="25" fillId="0" borderId="231" xfId="0" applyFont="1" applyBorder="1" applyAlignment="1" applyProtection="1">
      <alignment horizontal="center"/>
    </xf>
    <xf numFmtId="167" fontId="149" fillId="0" borderId="87" xfId="0" applyNumberFormat="1" applyFont="1" applyBorder="1" applyAlignment="1" applyProtection="1">
      <alignment horizontal="center" vertical="center"/>
    </xf>
    <xf numFmtId="0" fontId="27" fillId="0" borderId="87" xfId="0" applyFont="1" applyFill="1" applyBorder="1" applyAlignment="1" applyProtection="1">
      <alignment horizontal="center" vertical="center" wrapText="1"/>
    </xf>
    <xf numFmtId="0" fontId="33" fillId="16" borderId="94" xfId="0" applyFont="1" applyFill="1" applyBorder="1" applyAlignment="1" applyProtection="1">
      <alignment horizontal="center" vertical="center" wrapText="1"/>
    </xf>
    <xf numFmtId="0" fontId="33" fillId="16" borderId="210" xfId="0" applyFont="1" applyFill="1" applyBorder="1" applyAlignment="1" applyProtection="1">
      <alignment horizontal="center" vertical="center" wrapText="1"/>
    </xf>
    <xf numFmtId="0" fontId="25" fillId="0" borderId="80" xfId="0" applyFont="1" applyBorder="1" applyAlignment="1" applyProtection="1">
      <alignment horizontal="center"/>
    </xf>
    <xf numFmtId="0" fontId="25" fillId="0" borderId="81" xfId="0" applyFont="1" applyBorder="1" applyAlignment="1" applyProtection="1">
      <alignment horizontal="center"/>
    </xf>
    <xf numFmtId="0" fontId="31" fillId="29" borderId="87" xfId="0" applyFont="1" applyFill="1" applyBorder="1" applyAlignment="1" applyProtection="1">
      <alignment horizontal="center" vertical="center"/>
    </xf>
    <xf numFmtId="0" fontId="28" fillId="0" borderId="195" xfId="0" applyFont="1" applyFill="1" applyBorder="1" applyAlignment="1" applyProtection="1">
      <alignment horizontal="center"/>
    </xf>
    <xf numFmtId="0" fontId="28" fillId="0" borderId="0" xfId="0" applyFont="1" applyFill="1" applyBorder="1" applyAlignment="1" applyProtection="1">
      <alignment horizontal="center"/>
    </xf>
    <xf numFmtId="0" fontId="0" fillId="0" borderId="87" xfId="0" applyBorder="1" applyAlignment="1" applyProtection="1">
      <alignment horizontal="center" vertical="center"/>
    </xf>
    <xf numFmtId="0" fontId="141" fillId="74" borderId="143" xfId="0" applyFont="1" applyFill="1" applyBorder="1" applyAlignment="1" applyProtection="1">
      <alignment horizontal="left" wrapText="1"/>
    </xf>
    <xf numFmtId="0" fontId="30" fillId="16" borderId="236" xfId="0" applyFont="1" applyFill="1" applyBorder="1" applyAlignment="1" applyProtection="1">
      <alignment horizontal="center" vertical="center" wrapText="1"/>
    </xf>
    <xf numFmtId="0" fontId="30" fillId="16" borderId="217" xfId="0" applyFont="1" applyFill="1" applyBorder="1" applyAlignment="1" applyProtection="1">
      <alignment horizontal="center" vertical="center" wrapText="1"/>
    </xf>
    <xf numFmtId="0" fontId="30" fillId="16" borderId="225" xfId="0" applyFont="1" applyFill="1" applyBorder="1" applyAlignment="1" applyProtection="1">
      <alignment horizontal="center" vertical="center" wrapText="1"/>
    </xf>
    <xf numFmtId="0" fontId="30" fillId="16" borderId="210" xfId="0" applyFont="1" applyFill="1" applyBorder="1" applyAlignment="1" applyProtection="1">
      <alignment horizontal="center" vertical="center" wrapText="1"/>
    </xf>
    <xf numFmtId="0" fontId="27" fillId="29" borderId="236" xfId="0" applyFont="1" applyFill="1" applyBorder="1" applyAlignment="1" applyProtection="1">
      <alignment horizontal="center" vertical="center" wrapText="1"/>
    </xf>
    <xf numFmtId="0" fontId="27" fillId="29" borderId="225" xfId="0" applyFont="1" applyFill="1" applyBorder="1" applyAlignment="1" applyProtection="1">
      <alignment horizontal="center" vertical="center" wrapText="1"/>
    </xf>
    <xf numFmtId="0" fontId="167" fillId="66" borderId="84" xfId="0" applyFont="1" applyFill="1" applyBorder="1" applyAlignment="1" applyProtection="1">
      <alignment horizontal="center"/>
    </xf>
    <xf numFmtId="0" fontId="167" fillId="66" borderId="231" xfId="0" applyFont="1" applyFill="1" applyBorder="1" applyAlignment="1" applyProtection="1">
      <alignment horizontal="center"/>
    </xf>
    <xf numFmtId="0" fontId="167" fillId="66" borderId="86" xfId="0" applyFont="1" applyFill="1" applyBorder="1" applyAlignment="1" applyProtection="1">
      <alignment horizontal="center"/>
    </xf>
    <xf numFmtId="0" fontId="141" fillId="24" borderId="143" xfId="0" applyFont="1" applyFill="1" applyBorder="1" applyAlignment="1" applyProtection="1">
      <alignment horizontal="left" wrapText="1"/>
    </xf>
    <xf numFmtId="0" fontId="141" fillId="24" borderId="81" xfId="0" applyFont="1" applyFill="1" applyBorder="1" applyAlignment="1" applyProtection="1">
      <alignment horizontal="left" wrapText="1"/>
    </xf>
    <xf numFmtId="0" fontId="27" fillId="0" borderId="0" xfId="0" applyFont="1" applyAlignment="1" applyProtection="1">
      <alignment horizontal="center"/>
    </xf>
    <xf numFmtId="0" fontId="27" fillId="0" borderId="195" xfId="0" applyFont="1" applyBorder="1" applyAlignment="1" applyProtection="1">
      <alignment horizontal="center"/>
    </xf>
    <xf numFmtId="0" fontId="27" fillId="0" borderId="0" xfId="0" applyFont="1" applyBorder="1" applyAlignment="1" applyProtection="1">
      <alignment horizontal="center"/>
    </xf>
    <xf numFmtId="0" fontId="32" fillId="0" borderId="0" xfId="0" applyFont="1" applyFill="1" applyAlignment="1">
      <alignment horizontal="center" textRotation="75" wrapText="1"/>
    </xf>
    <xf numFmtId="0" fontId="145" fillId="56" borderId="0" xfId="0" applyFont="1" applyFill="1" applyBorder="1" applyAlignment="1">
      <alignment horizontal="center" vertical="center"/>
    </xf>
    <xf numFmtId="0" fontId="32" fillId="0" borderId="0" xfId="0" applyFont="1" applyFill="1" applyAlignment="1">
      <alignment horizontal="center" textRotation="75"/>
    </xf>
    <xf numFmtId="0" fontId="27" fillId="57" borderId="87" xfId="0" applyFont="1" applyFill="1" applyBorder="1" applyAlignment="1">
      <alignment horizontal="center" vertical="center"/>
    </xf>
    <xf numFmtId="0" fontId="0" fillId="0" borderId="87" xfId="0" applyBorder="1" applyAlignment="1">
      <alignment horizontal="center"/>
    </xf>
    <xf numFmtId="0" fontId="27" fillId="0" borderId="87" xfId="0" applyFont="1" applyBorder="1" applyAlignment="1">
      <alignment horizontal="center" vertical="center" wrapText="1"/>
    </xf>
    <xf numFmtId="0" fontId="27" fillId="45" borderId="87" xfId="0" applyFont="1" applyFill="1" applyBorder="1" applyAlignment="1">
      <alignment horizontal="center" vertical="center" wrapText="1"/>
    </xf>
    <xf numFmtId="0" fontId="0" fillId="0" borderId="87" xfId="0" applyBorder="1" applyAlignment="1">
      <alignment horizontal="center" wrapText="1"/>
    </xf>
    <xf numFmtId="0" fontId="0" fillId="0" borderId="87" xfId="0" applyBorder="1" applyAlignment="1">
      <alignment horizontal="center" vertical="center" wrapText="1"/>
    </xf>
    <xf numFmtId="0" fontId="0" fillId="0" borderId="187" xfId="0" applyBorder="1" applyAlignment="1">
      <alignment horizontal="center" vertical="center" wrapText="1"/>
    </xf>
    <xf numFmtId="0" fontId="0" fillId="0" borderId="195" xfId="0" applyFill="1" applyBorder="1" applyAlignment="1">
      <alignment horizontal="center"/>
    </xf>
    <xf numFmtId="0" fontId="0" fillId="0" borderId="0" xfId="0" applyFill="1" applyBorder="1" applyAlignment="1">
      <alignment horizontal="center"/>
    </xf>
    <xf numFmtId="4" fontId="27" fillId="47" borderId="0" xfId="0" applyNumberFormat="1" applyFont="1" applyFill="1" applyBorder="1" applyAlignment="1">
      <alignment horizontal="center"/>
    </xf>
    <xf numFmtId="0" fontId="136" fillId="0" borderId="87" xfId="0" applyFont="1" applyFill="1" applyBorder="1" applyAlignment="1">
      <alignment horizontal="center"/>
    </xf>
    <xf numFmtId="0" fontId="27" fillId="0" borderId="187" xfId="0" applyFont="1" applyBorder="1" applyAlignment="1">
      <alignment horizontal="right"/>
    </xf>
    <xf numFmtId="0" fontId="27" fillId="0" borderId="188" xfId="0" applyFont="1" applyBorder="1" applyAlignment="1">
      <alignment horizontal="right"/>
    </xf>
    <xf numFmtId="0" fontId="27" fillId="0" borderId="81" xfId="0" applyFont="1" applyBorder="1" applyAlignment="1">
      <alignment horizontal="right"/>
    </xf>
    <xf numFmtId="0" fontId="0" fillId="0" borderId="187" xfId="0" applyFill="1" applyBorder="1" applyAlignment="1">
      <alignment horizontal="center" wrapText="1"/>
    </xf>
    <xf numFmtId="0" fontId="0" fillId="0" borderId="188" xfId="0" applyFill="1" applyBorder="1" applyAlignment="1">
      <alignment horizontal="center" wrapText="1"/>
    </xf>
    <xf numFmtId="0" fontId="0" fillId="0" borderId="81" xfId="0" applyFill="1" applyBorder="1" applyAlignment="1">
      <alignment horizontal="center" wrapText="1"/>
    </xf>
    <xf numFmtId="0" fontId="0" fillId="0" borderId="190" xfId="0" applyFill="1" applyBorder="1" applyAlignment="1">
      <alignment horizontal="center" wrapText="1"/>
    </xf>
    <xf numFmtId="0" fontId="0" fillId="0" borderId="191" xfId="0" applyFill="1" applyBorder="1" applyAlignment="1">
      <alignment horizontal="center" wrapText="1"/>
    </xf>
    <xf numFmtId="0" fontId="136" fillId="0" borderId="194" xfId="0" applyFont="1" applyFill="1" applyBorder="1" applyAlignment="1">
      <alignment horizontal="center"/>
    </xf>
    <xf numFmtId="0" fontId="136" fillId="0" borderId="196" xfId="0" applyFont="1" applyFill="1" applyBorder="1" applyAlignment="1">
      <alignment horizontal="center"/>
    </xf>
    <xf numFmtId="0" fontId="136" fillId="0" borderId="197" xfId="0" applyFont="1" applyFill="1" applyBorder="1" applyAlignment="1">
      <alignment horizontal="center"/>
    </xf>
    <xf numFmtId="0" fontId="136" fillId="0" borderId="195" xfId="0" applyFont="1" applyFill="1" applyBorder="1" applyAlignment="1">
      <alignment horizontal="center"/>
    </xf>
    <xf numFmtId="0" fontId="136" fillId="0" borderId="0" xfId="0" applyFont="1" applyFill="1" applyBorder="1" applyAlignment="1">
      <alignment horizontal="center"/>
    </xf>
    <xf numFmtId="0" fontId="136" fillId="0" borderId="200" xfId="0" applyFont="1" applyFill="1" applyBorder="1" applyAlignment="1">
      <alignment horizontal="center"/>
    </xf>
    <xf numFmtId="0" fontId="136" fillId="0" borderId="201" xfId="0" applyFont="1" applyFill="1" applyBorder="1" applyAlignment="1">
      <alignment horizontal="center"/>
    </xf>
    <xf numFmtId="0" fontId="136" fillId="0" borderId="198" xfId="0" applyFont="1" applyFill="1" applyBorder="1" applyAlignment="1">
      <alignment horizontal="center"/>
    </xf>
    <xf numFmtId="0" fontId="136" fillId="0" borderId="202" xfId="0" applyFont="1" applyFill="1" applyBorder="1" applyAlignment="1">
      <alignment horizontal="center"/>
    </xf>
    <xf numFmtId="0" fontId="0" fillId="0" borderId="0" xfId="0" applyFill="1" applyAlignment="1">
      <alignment horizontal="center"/>
    </xf>
    <xf numFmtId="0" fontId="103" fillId="74" borderId="143" xfId="0" applyFont="1" applyFill="1" applyBorder="1" applyAlignment="1" applyProtection="1">
      <alignment horizontal="left" vertical="center"/>
    </xf>
    <xf numFmtId="0" fontId="27" fillId="0" borderId="87" xfId="0" applyFont="1" applyBorder="1" applyAlignment="1" applyProtection="1">
      <alignment horizontal="center" vertical="center" wrapText="1"/>
    </xf>
    <xf numFmtId="0" fontId="27" fillId="0" borderId="87" xfId="0" applyFont="1" applyBorder="1" applyAlignment="1" applyProtection="1">
      <alignment horizontal="center" vertical="center"/>
    </xf>
    <xf numFmtId="0" fontId="35" fillId="0" borderId="87" xfId="0" applyFont="1" applyBorder="1" applyAlignment="1" applyProtection="1">
      <alignment horizontal="center" vertical="center" wrapText="1"/>
    </xf>
    <xf numFmtId="0" fontId="35" fillId="0" borderId="87" xfId="0" applyFont="1" applyBorder="1" applyAlignment="1" applyProtection="1">
      <alignment horizontal="center" vertical="center"/>
    </xf>
    <xf numFmtId="0" fontId="103" fillId="74" borderId="80" xfId="0" applyFont="1" applyFill="1" applyBorder="1" applyAlignment="1" applyProtection="1">
      <alignment horizontal="left" vertical="center"/>
    </xf>
    <xf numFmtId="0" fontId="27" fillId="0" borderId="278" xfId="0" applyFont="1" applyFill="1" applyBorder="1" applyAlignment="1" applyProtection="1">
      <alignment horizontal="center" vertical="center" wrapText="1"/>
    </xf>
    <xf numFmtId="0" fontId="27" fillId="0" borderId="313" xfId="0" applyFont="1" applyFill="1" applyBorder="1" applyAlignment="1" applyProtection="1">
      <alignment horizontal="center" vertical="center" wrapText="1"/>
    </xf>
    <xf numFmtId="0" fontId="27" fillId="0" borderId="187" xfId="0" applyFont="1" applyBorder="1" applyAlignment="1" applyProtection="1">
      <alignment horizontal="center" vertical="center" wrapText="1"/>
    </xf>
    <xf numFmtId="0" fontId="27" fillId="57" borderId="187" xfId="0" applyFont="1" applyFill="1" applyBorder="1" applyAlignment="1" applyProtection="1">
      <alignment horizontal="center" vertical="center"/>
    </xf>
    <xf numFmtId="0" fontId="27" fillId="57" borderId="188" xfId="0" applyFont="1" applyFill="1" applyBorder="1" applyAlignment="1" applyProtection="1">
      <alignment horizontal="center" vertical="center"/>
    </xf>
    <xf numFmtId="0" fontId="0" fillId="0" borderId="187" xfId="0" applyBorder="1" applyAlignment="1" applyProtection="1">
      <alignment horizontal="center"/>
    </xf>
    <xf numFmtId="0" fontId="0" fillId="0" borderId="189" xfId="0" applyBorder="1" applyAlignment="1" applyProtection="1">
      <alignment horizontal="center"/>
    </xf>
    <xf numFmtId="0" fontId="27" fillId="0" borderId="190" xfId="0" applyFont="1" applyBorder="1" applyAlignment="1" applyProtection="1">
      <alignment horizontal="center" vertical="center" wrapText="1"/>
    </xf>
    <xf numFmtId="0" fontId="27" fillId="0" borderId="191" xfId="0" applyFont="1" applyBorder="1" applyAlignment="1" applyProtection="1">
      <alignment horizontal="center" vertical="center" wrapText="1"/>
    </xf>
    <xf numFmtId="0" fontId="0" fillId="0" borderId="0" xfId="0" applyFont="1" applyAlignment="1" applyProtection="1">
      <alignment horizontal="center"/>
    </xf>
    <xf numFmtId="0" fontId="46" fillId="47" borderId="0" xfId="0" applyFont="1" applyFill="1" applyAlignment="1" applyProtection="1">
      <alignment horizontal="center" vertical="center" wrapText="1"/>
    </xf>
    <xf numFmtId="0" fontId="46" fillId="47" borderId="0" xfId="0" applyFont="1" applyFill="1" applyAlignment="1" applyProtection="1">
      <alignment horizontal="center" vertical="center"/>
    </xf>
    <xf numFmtId="1" fontId="46" fillId="47" borderId="0" xfId="0" applyNumberFormat="1" applyFont="1" applyFill="1" applyAlignment="1" applyProtection="1">
      <alignment horizontal="right" vertical="center"/>
    </xf>
    <xf numFmtId="0" fontId="31" fillId="0" borderId="165" xfId="0" applyFont="1" applyFill="1" applyBorder="1" applyAlignment="1" applyProtection="1">
      <alignment horizontal="center" vertical="center" wrapText="1"/>
      <protection locked="0"/>
    </xf>
    <xf numFmtId="0" fontId="31" fillId="0" borderId="192" xfId="0" applyFont="1" applyFill="1" applyBorder="1" applyAlignment="1" applyProtection="1">
      <alignment horizontal="center" vertical="center"/>
      <protection locked="0"/>
    </xf>
    <xf numFmtId="0" fontId="31" fillId="0" borderId="167" xfId="0" applyFont="1" applyFill="1" applyBorder="1" applyAlignment="1" applyProtection="1">
      <alignment horizontal="center" vertical="center"/>
      <protection locked="0"/>
    </xf>
    <xf numFmtId="1" fontId="46" fillId="47" borderId="0" xfId="0" applyNumberFormat="1" applyFont="1" applyFill="1" applyAlignment="1" applyProtection="1">
      <alignment horizontal="left" vertical="center" wrapText="1"/>
    </xf>
    <xf numFmtId="1" fontId="46" fillId="47" borderId="0" xfId="0" applyNumberFormat="1" applyFont="1" applyFill="1" applyAlignment="1" applyProtection="1">
      <alignment horizontal="left" vertical="center"/>
    </xf>
    <xf numFmtId="1" fontId="0" fillId="0" borderId="0" xfId="0" applyNumberFormat="1" applyAlignment="1">
      <alignment horizontal="center"/>
    </xf>
    <xf numFmtId="3" fontId="27" fillId="70" borderId="178" xfId="0" applyNumberFormat="1" applyFont="1" applyFill="1" applyBorder="1" applyAlignment="1">
      <alignment horizontal="center"/>
    </xf>
    <xf numFmtId="3" fontId="27" fillId="70" borderId="179" xfId="0" applyNumberFormat="1" applyFont="1" applyFill="1" applyBorder="1" applyAlignment="1">
      <alignment horizontal="center"/>
    </xf>
    <xf numFmtId="0" fontId="0" fillId="0" borderId="0" xfId="0" applyAlignment="1">
      <alignment horizontal="center"/>
    </xf>
    <xf numFmtId="175" fontId="0" fillId="0" borderId="0" xfId="0" applyNumberFormat="1" applyAlignment="1">
      <alignment horizontal="center"/>
    </xf>
    <xf numFmtId="0" fontId="0" fillId="0" borderId="0" xfId="0" applyAlignment="1">
      <alignment horizontal="center" vertical="center" wrapText="1"/>
    </xf>
    <xf numFmtId="175" fontId="27" fillId="70" borderId="178" xfId="0" applyNumberFormat="1" applyFont="1" applyFill="1" applyBorder="1" applyAlignment="1">
      <alignment horizontal="center"/>
    </xf>
    <xf numFmtId="175" fontId="27" fillId="70" borderId="179" xfId="0" applyNumberFormat="1" applyFont="1" applyFill="1" applyBorder="1" applyAlignment="1">
      <alignment horizontal="center"/>
    </xf>
    <xf numFmtId="0" fontId="179" fillId="45" borderId="152" xfId="0" applyFont="1" applyFill="1" applyBorder="1" applyAlignment="1">
      <alignment horizontal="center" vertical="center"/>
    </xf>
    <xf numFmtId="0" fontId="179" fillId="45" borderId="153" xfId="0" applyFont="1" applyFill="1" applyBorder="1" applyAlignment="1">
      <alignment horizontal="center" vertical="center"/>
    </xf>
    <xf numFmtId="0" fontId="179" fillId="29" borderId="308" xfId="0" applyFont="1" applyFill="1" applyBorder="1" applyAlignment="1">
      <alignment horizontal="center" vertical="center"/>
    </xf>
    <xf numFmtId="0" fontId="179" fillId="29" borderId="299" xfId="0" applyFont="1" applyFill="1" applyBorder="1" applyAlignment="1">
      <alignment horizontal="center" vertical="center"/>
    </xf>
    <xf numFmtId="0" fontId="179" fillId="29" borderId="141" xfId="0" applyFont="1" applyFill="1" applyBorder="1" applyAlignment="1">
      <alignment horizontal="center" vertical="center"/>
    </xf>
    <xf numFmtId="0" fontId="179" fillId="29" borderId="0" xfId="0" applyFont="1" applyFill="1" applyBorder="1" applyAlignment="1">
      <alignment horizontal="center" vertical="center"/>
    </xf>
    <xf numFmtId="0" fontId="27" fillId="29" borderId="170" xfId="0" applyFont="1" applyFill="1" applyBorder="1" applyAlignment="1">
      <alignment horizontal="center" vertical="center"/>
    </xf>
    <xf numFmtId="0" fontId="27" fillId="29" borderId="178" xfId="0" applyFont="1" applyFill="1" applyBorder="1" applyAlignment="1">
      <alignment horizontal="center" vertical="center"/>
    </xf>
    <xf numFmtId="0" fontId="27" fillId="0" borderId="170" xfId="0" applyFont="1" applyBorder="1" applyAlignment="1">
      <alignment horizontal="center" vertical="center"/>
    </xf>
    <xf numFmtId="0" fontId="27" fillId="0" borderId="178" xfId="0" applyFont="1" applyBorder="1" applyAlignment="1">
      <alignment horizontal="center" vertical="center"/>
    </xf>
    <xf numFmtId="0" fontId="27" fillId="0" borderId="179" xfId="0" applyFont="1" applyBorder="1" applyAlignment="1">
      <alignment horizontal="center" vertical="center"/>
    </xf>
    <xf numFmtId="0" fontId="179" fillId="45" borderId="308" xfId="0" applyFont="1" applyFill="1" applyBorder="1" applyAlignment="1">
      <alignment horizontal="center" vertical="center"/>
    </xf>
    <xf numFmtId="0" fontId="179" fillId="45" borderId="299" xfId="0" applyFont="1" applyFill="1" applyBorder="1" applyAlignment="1">
      <alignment horizontal="center" vertical="center"/>
    </xf>
    <xf numFmtId="0" fontId="179" fillId="45" borderId="141" xfId="0" applyFont="1" applyFill="1" applyBorder="1" applyAlignment="1">
      <alignment horizontal="center" vertical="center"/>
    </xf>
    <xf numFmtId="0" fontId="179" fillId="45" borderId="0" xfId="0" applyFont="1" applyFill="1" applyBorder="1" applyAlignment="1">
      <alignment horizontal="center" vertical="center"/>
    </xf>
    <xf numFmtId="0" fontId="178" fillId="29" borderId="141" xfId="0" applyFont="1" applyFill="1" applyBorder="1" applyAlignment="1">
      <alignment horizontal="center" vertical="center"/>
    </xf>
    <xf numFmtId="0" fontId="178" fillId="29" borderId="0" xfId="0" applyFont="1" applyFill="1" applyBorder="1" applyAlignment="1">
      <alignment horizontal="center" vertical="center"/>
    </xf>
    <xf numFmtId="0" fontId="178" fillId="29" borderId="306" xfId="0" applyFont="1" applyFill="1" applyBorder="1" applyAlignment="1">
      <alignment horizontal="center" vertical="center"/>
    </xf>
    <xf numFmtId="0" fontId="178" fillId="29" borderId="299" xfId="0" applyFont="1" applyFill="1" applyBorder="1" applyAlignment="1">
      <alignment horizontal="center" vertical="center"/>
    </xf>
    <xf numFmtId="0" fontId="178" fillId="45" borderId="308" xfId="0" applyFont="1" applyFill="1" applyBorder="1" applyAlignment="1">
      <alignment horizontal="center" vertical="center"/>
    </xf>
    <xf numFmtId="0" fontId="178" fillId="45" borderId="299" xfId="0" applyFont="1" applyFill="1" applyBorder="1" applyAlignment="1">
      <alignment horizontal="center" vertical="center"/>
    </xf>
    <xf numFmtId="0" fontId="178" fillId="45" borderId="141" xfId="0" applyFont="1" applyFill="1" applyBorder="1" applyAlignment="1">
      <alignment horizontal="center" vertical="center"/>
    </xf>
    <xf numFmtId="0" fontId="178" fillId="45" borderId="0" xfId="0" applyFont="1" applyFill="1" applyBorder="1" applyAlignment="1">
      <alignment horizontal="center" vertical="center"/>
    </xf>
    <xf numFmtId="0" fontId="178" fillId="29" borderId="308" xfId="0" applyFont="1" applyFill="1" applyBorder="1" applyAlignment="1">
      <alignment horizontal="center" vertical="center"/>
    </xf>
    <xf numFmtId="0" fontId="27" fillId="29" borderId="279" xfId="0" applyFont="1" applyFill="1" applyBorder="1" applyAlignment="1">
      <alignment horizontal="left" vertical="center"/>
    </xf>
    <xf numFmtId="0" fontId="27" fillId="29" borderId="178" xfId="0" applyFont="1" applyFill="1" applyBorder="1" applyAlignment="1">
      <alignment horizontal="left" vertical="center"/>
    </xf>
    <xf numFmtId="0" fontId="27" fillId="29" borderId="179" xfId="0" applyFont="1" applyFill="1" applyBorder="1" applyAlignment="1">
      <alignment horizontal="left" vertical="center"/>
    </xf>
    <xf numFmtId="0" fontId="27" fillId="0" borderId="146" xfId="0" applyFont="1" applyFill="1" applyBorder="1" applyAlignment="1">
      <alignment horizontal="center" vertical="center"/>
    </xf>
    <xf numFmtId="0" fontId="27" fillId="0" borderId="147" xfId="0" applyFont="1" applyFill="1" applyBorder="1" applyAlignment="1">
      <alignment horizontal="center" vertical="center"/>
    </xf>
    <xf numFmtId="0" fontId="27" fillId="0" borderId="148" xfId="0" applyFont="1" applyFill="1" applyBorder="1" applyAlignment="1">
      <alignment horizontal="center" vertical="center"/>
    </xf>
    <xf numFmtId="0" fontId="0" fillId="0" borderId="0" xfId="0" applyFont="1" applyAlignment="1">
      <alignment horizontal="center"/>
    </xf>
    <xf numFmtId="175" fontId="47" fillId="48" borderId="192" xfId="0" applyNumberFormat="1" applyFont="1" applyFill="1" applyBorder="1" applyAlignment="1">
      <alignment horizontal="center" vertical="center"/>
    </xf>
    <xf numFmtId="175" fontId="47" fillId="48" borderId="167" xfId="0" applyNumberFormat="1" applyFont="1" applyFill="1" applyBorder="1" applyAlignment="1">
      <alignment horizontal="center" vertical="center"/>
    </xf>
    <xf numFmtId="0" fontId="31" fillId="0" borderId="165" xfId="0" applyFont="1" applyBorder="1" applyAlignment="1">
      <alignment horizontal="left" vertical="center" wrapText="1"/>
    </xf>
    <xf numFmtId="0" fontId="31" fillId="0" borderId="192" xfId="0" applyFont="1" applyBorder="1" applyAlignment="1">
      <alignment horizontal="left" vertical="center" wrapText="1"/>
    </xf>
    <xf numFmtId="175" fontId="27" fillId="0" borderId="190" xfId="0" applyNumberFormat="1" applyFont="1" applyFill="1" applyBorder="1" applyAlignment="1" applyProtection="1">
      <alignment horizontal="center"/>
    </xf>
    <xf numFmtId="0" fontId="27" fillId="0" borderId="203" xfId="0" applyFont="1" applyFill="1" applyBorder="1" applyAlignment="1" applyProtection="1">
      <alignment horizontal="center"/>
    </xf>
    <xf numFmtId="0" fontId="27" fillId="0" borderId="122" xfId="0" applyFont="1" applyFill="1" applyBorder="1" applyAlignment="1" applyProtection="1">
      <alignment horizontal="center"/>
    </xf>
    <xf numFmtId="175" fontId="0" fillId="0" borderId="87" xfId="0" applyNumberFormat="1" applyFill="1" applyBorder="1" applyAlignment="1" applyProtection="1">
      <alignment horizontal="center"/>
    </xf>
    <xf numFmtId="0" fontId="27" fillId="38" borderId="87" xfId="0" applyFont="1" applyFill="1" applyBorder="1" applyAlignment="1" applyProtection="1">
      <alignment horizontal="center" vertical="center" wrapText="1"/>
    </xf>
    <xf numFmtId="0" fontId="27" fillId="0" borderId="256" xfId="0" applyFont="1" applyBorder="1" applyAlignment="1" applyProtection="1">
      <alignment horizontal="center"/>
    </xf>
    <xf numFmtId="0" fontId="50" fillId="0" borderId="0" xfId="0" applyFont="1" applyFill="1" applyBorder="1" applyAlignment="1" applyProtection="1">
      <alignment horizontal="center"/>
    </xf>
    <xf numFmtId="49" fontId="27" fillId="14" borderId="195" xfId="0" applyNumberFormat="1" applyFont="1" applyFill="1" applyBorder="1" applyAlignment="1" applyProtection="1">
      <alignment horizontal="center" vertical="center"/>
    </xf>
    <xf numFmtId="49" fontId="27" fillId="14" borderId="0" xfId="0" applyNumberFormat="1" applyFont="1" applyFill="1" applyBorder="1" applyAlignment="1" applyProtection="1">
      <alignment horizontal="center" vertical="center"/>
    </xf>
    <xf numFmtId="0" fontId="46" fillId="0" borderId="80" xfId="0" applyFont="1" applyFill="1" applyBorder="1" applyAlignment="1" applyProtection="1">
      <alignment horizontal="center" vertical="center"/>
    </xf>
    <xf numFmtId="0" fontId="46" fillId="0" borderId="188"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55" borderId="194" xfId="0" applyFont="1" applyFill="1" applyBorder="1" applyAlignment="1" applyProtection="1">
      <alignment horizontal="center" vertical="center" wrapText="1"/>
    </xf>
    <xf numFmtId="0" fontId="46" fillId="55" borderId="197" xfId="0" applyFont="1" applyFill="1" applyBorder="1" applyAlignment="1" applyProtection="1">
      <alignment horizontal="center" vertical="center" wrapText="1"/>
    </xf>
    <xf numFmtId="0" fontId="46" fillId="55" borderId="84" xfId="0" applyFont="1" applyFill="1" applyBorder="1" applyAlignment="1" applyProtection="1">
      <alignment horizontal="center" vertical="center" wrapText="1"/>
    </xf>
    <xf numFmtId="0" fontId="46" fillId="55" borderId="86" xfId="0" applyFont="1" applyFill="1" applyBorder="1" applyAlignment="1" applyProtection="1">
      <alignment horizontal="center" vertical="center" wrapText="1"/>
    </xf>
    <xf numFmtId="0" fontId="139" fillId="16" borderId="80" xfId="0" applyFont="1" applyFill="1" applyBorder="1" applyAlignment="1" applyProtection="1">
      <alignment horizontal="left" vertical="center" indent="2"/>
    </xf>
    <xf numFmtId="0" fontId="139" fillId="16" borderId="188" xfId="0" applyFont="1" applyFill="1" applyBorder="1" applyAlignment="1" applyProtection="1">
      <alignment horizontal="left" vertical="center" indent="2"/>
    </xf>
    <xf numFmtId="0" fontId="139" fillId="16" borderId="81" xfId="0" applyFont="1" applyFill="1" applyBorder="1" applyAlignment="1" applyProtection="1">
      <alignment horizontal="left" vertical="center" indent="2"/>
    </xf>
    <xf numFmtId="49" fontId="28" fillId="14" borderId="0" xfId="0" applyNumberFormat="1" applyFont="1" applyFill="1" applyBorder="1" applyAlignment="1" applyProtection="1">
      <alignment horizontal="right" vertical="center" indent="1"/>
    </xf>
    <xf numFmtId="2" fontId="31" fillId="0" borderId="84" xfId="0" applyNumberFormat="1" applyFont="1" applyFill="1" applyBorder="1" applyAlignment="1" applyProtection="1">
      <alignment horizontal="center" vertical="center"/>
    </xf>
    <xf numFmtId="2" fontId="31" fillId="0" borderId="86" xfId="0" applyNumberFormat="1" applyFont="1" applyFill="1" applyBorder="1" applyAlignment="1" applyProtection="1">
      <alignment horizontal="center" vertical="center"/>
    </xf>
    <xf numFmtId="0" fontId="27" fillId="16" borderId="81" xfId="0" applyFont="1" applyFill="1" applyBorder="1" applyAlignment="1" applyProtection="1">
      <alignment horizontal="center" vertical="center" wrapText="1"/>
    </xf>
    <xf numFmtId="0" fontId="27" fillId="16" borderId="87" xfId="0" applyFont="1" applyFill="1" applyBorder="1" applyAlignment="1" applyProtection="1">
      <alignment horizontal="center" vertical="center" wrapText="1"/>
    </xf>
    <xf numFmtId="0" fontId="48" fillId="0" borderId="80" xfId="0" applyFont="1" applyFill="1" applyBorder="1" applyAlignment="1" applyProtection="1">
      <alignment horizontal="center" vertical="center" shrinkToFit="1"/>
    </xf>
    <xf numFmtId="0" fontId="48" fillId="0" borderId="81" xfId="0" applyFont="1" applyFill="1" applyBorder="1" applyAlignment="1" applyProtection="1">
      <alignment horizontal="center" vertical="center" shrinkToFit="1"/>
    </xf>
    <xf numFmtId="171" fontId="31" fillId="0" borderId="80" xfId="0" applyNumberFormat="1" applyFont="1" applyFill="1" applyBorder="1" applyAlignment="1" applyProtection="1">
      <alignment horizontal="center" vertical="center"/>
    </xf>
    <xf numFmtId="171" fontId="31" fillId="0" borderId="81" xfId="0" applyNumberFormat="1" applyFont="1" applyFill="1" applyBorder="1" applyAlignment="1" applyProtection="1">
      <alignment horizontal="center" vertical="center"/>
    </xf>
    <xf numFmtId="176" fontId="28" fillId="50" borderId="87" xfId="6261" applyNumberFormat="1" applyFont="1" applyFill="1" applyBorder="1" applyAlignment="1" applyProtection="1">
      <alignment horizontal="center" vertical="center"/>
    </xf>
    <xf numFmtId="0" fontId="142" fillId="47" borderId="183" xfId="0" applyFont="1" applyFill="1" applyBorder="1" applyAlignment="1" applyProtection="1">
      <alignment horizontal="center" vertical="center"/>
    </xf>
    <xf numFmtId="0" fontId="142" fillId="47" borderId="143" xfId="0" applyFont="1" applyFill="1" applyBorder="1" applyAlignment="1" applyProtection="1">
      <alignment horizontal="center" vertical="center"/>
    </xf>
    <xf numFmtId="0" fontId="142" fillId="47" borderId="184" xfId="0" applyFont="1" applyFill="1" applyBorder="1" applyAlignment="1" applyProtection="1">
      <alignment horizontal="center" vertical="center"/>
    </xf>
    <xf numFmtId="0" fontId="47" fillId="0" borderId="87" xfId="0" applyFont="1" applyFill="1" applyBorder="1" applyAlignment="1" applyProtection="1">
      <alignment horizontal="center" vertical="center"/>
    </xf>
    <xf numFmtId="175" fontId="27" fillId="0" borderId="87" xfId="0" applyNumberFormat="1" applyFont="1" applyFill="1" applyBorder="1" applyAlignment="1" applyProtection="1">
      <alignment horizontal="center" vertical="center"/>
    </xf>
    <xf numFmtId="0" fontId="27" fillId="0" borderId="87" xfId="0" applyFont="1" applyFill="1" applyBorder="1" applyAlignment="1" applyProtection="1">
      <alignment horizontal="center" vertical="center"/>
    </xf>
    <xf numFmtId="175" fontId="0" fillId="0" borderId="190" xfId="0" applyNumberFormat="1" applyFont="1" applyFill="1" applyBorder="1" applyAlignment="1" applyProtection="1">
      <alignment horizontal="center" vertical="center"/>
    </xf>
    <xf numFmtId="175" fontId="0" fillId="0" borderId="122" xfId="0" applyNumberFormat="1" applyFont="1" applyFill="1" applyBorder="1" applyAlignment="1" applyProtection="1">
      <alignment horizontal="center" vertical="center"/>
    </xf>
    <xf numFmtId="49" fontId="28" fillId="14" borderId="0" xfId="0" applyNumberFormat="1" applyFont="1" applyFill="1" applyBorder="1" applyAlignment="1" applyProtection="1">
      <alignment horizontal="center" vertical="center"/>
    </xf>
    <xf numFmtId="0" fontId="67" fillId="37" borderId="0" xfId="2278" applyNumberFormat="1" applyFont="1" applyFill="1" applyBorder="1" applyAlignment="1" applyProtection="1">
      <alignment horizontal="left" vertical="center"/>
    </xf>
    <xf numFmtId="0" fontId="143" fillId="47" borderId="128" xfId="0" applyFont="1" applyFill="1" applyBorder="1" applyAlignment="1" applyProtection="1">
      <alignment horizontal="center" vertical="center"/>
    </xf>
    <xf numFmtId="0" fontId="143" fillId="47" borderId="126" xfId="0" applyFont="1" applyFill="1" applyBorder="1" applyAlignment="1" applyProtection="1">
      <alignment horizontal="center" vertical="center"/>
    </xf>
    <xf numFmtId="0" fontId="143" fillId="47" borderId="127" xfId="0" applyFont="1" applyFill="1" applyBorder="1" applyAlignment="1" applyProtection="1">
      <alignment horizontal="center" vertical="center"/>
    </xf>
    <xf numFmtId="0" fontId="130" fillId="24" borderId="170" xfId="0" applyFont="1" applyFill="1" applyBorder="1" applyAlignment="1" applyProtection="1">
      <alignment horizontal="center" vertical="center"/>
    </xf>
    <xf numFmtId="0" fontId="130" fillId="24" borderId="179" xfId="0" applyFont="1" applyFill="1" applyBorder="1" applyAlignment="1" applyProtection="1">
      <alignment horizontal="center" vertical="center"/>
    </xf>
    <xf numFmtId="2" fontId="31" fillId="0" borderId="122" xfId="0" applyNumberFormat="1" applyFont="1" applyFill="1" applyBorder="1" applyAlignment="1" applyProtection="1">
      <alignment horizontal="center" vertical="center"/>
    </xf>
    <xf numFmtId="49" fontId="139" fillId="16" borderId="80" xfId="0" applyNumberFormat="1" applyFont="1" applyFill="1" applyBorder="1" applyAlignment="1" applyProtection="1">
      <alignment horizontal="left" vertical="center" indent="2"/>
    </xf>
    <xf numFmtId="49" fontId="139" fillId="16" borderId="80" xfId="0" applyNumberFormat="1" applyFont="1" applyFill="1" applyBorder="1" applyAlignment="1" applyProtection="1">
      <alignment horizontal="left" vertical="center"/>
    </xf>
    <xf numFmtId="49" fontId="139" fillId="16" borderId="188" xfId="0" applyNumberFormat="1" applyFont="1" applyFill="1" applyBorder="1" applyAlignment="1" applyProtection="1">
      <alignment horizontal="left" vertical="center"/>
    </xf>
    <xf numFmtId="49" fontId="139" fillId="16" borderId="81" xfId="0" applyNumberFormat="1" applyFont="1" applyFill="1" applyBorder="1" applyAlignment="1" applyProtection="1">
      <alignment horizontal="left" vertical="center"/>
    </xf>
    <xf numFmtId="0" fontId="139" fillId="16" borderId="188" xfId="0" applyNumberFormat="1" applyFont="1" applyFill="1" applyBorder="1" applyAlignment="1" applyProtection="1">
      <alignment horizontal="left" vertical="center"/>
    </xf>
    <xf numFmtId="0" fontId="139" fillId="16" borderId="81" xfId="0" applyNumberFormat="1" applyFont="1" applyFill="1" applyBorder="1" applyAlignment="1" applyProtection="1">
      <alignment horizontal="left" vertical="center"/>
    </xf>
    <xf numFmtId="0" fontId="130" fillId="24" borderId="146" xfId="0" applyFont="1" applyFill="1" applyBorder="1" applyAlignment="1" applyProtection="1">
      <alignment horizontal="center" vertical="center"/>
    </xf>
    <xf numFmtId="0" fontId="130" fillId="24" borderId="148" xfId="0" applyFont="1" applyFill="1" applyBorder="1" applyAlignment="1" applyProtection="1">
      <alignment horizontal="center" vertical="center"/>
    </xf>
    <xf numFmtId="0" fontId="50" fillId="0" borderId="256" xfId="0" applyFont="1" applyFill="1" applyBorder="1" applyAlignment="1" applyProtection="1">
      <alignment horizontal="center"/>
    </xf>
    <xf numFmtId="0" fontId="139" fillId="16" borderId="188" xfId="0" applyNumberFormat="1" applyFont="1" applyFill="1" applyBorder="1" applyAlignment="1" applyProtection="1">
      <alignment horizontal="left" vertical="center" indent="2"/>
    </xf>
    <xf numFmtId="0" fontId="139" fillId="16" borderId="81" xfId="0" applyNumberFormat="1" applyFont="1" applyFill="1" applyBorder="1" applyAlignment="1" applyProtection="1">
      <alignment horizontal="left" vertical="center" indent="2"/>
    </xf>
    <xf numFmtId="0" fontId="130" fillId="24" borderId="87" xfId="0" applyFont="1" applyFill="1" applyBorder="1" applyAlignment="1" applyProtection="1">
      <alignment horizontal="center" vertical="center"/>
    </xf>
    <xf numFmtId="0" fontId="139" fillId="16" borderId="143" xfId="0" applyNumberFormat="1" applyFont="1" applyFill="1" applyBorder="1" applyAlignment="1" applyProtection="1">
      <alignment horizontal="left" vertical="center" indent="2"/>
    </xf>
    <xf numFmtId="1" fontId="46" fillId="0" borderId="80" xfId="0" applyNumberFormat="1" applyFont="1" applyFill="1" applyBorder="1" applyAlignment="1" applyProtection="1">
      <alignment horizontal="center" vertical="center"/>
    </xf>
    <xf numFmtId="0" fontId="24" fillId="0" borderId="195" xfId="2821" applyFont="1" applyBorder="1" applyAlignment="1">
      <alignment horizontal="left" vertical="center"/>
    </xf>
    <xf numFmtId="0" fontId="24" fillId="0" borderId="0" xfId="2821" applyFont="1" applyBorder="1" applyAlignment="1">
      <alignment horizontal="left" vertical="center"/>
    </xf>
    <xf numFmtId="0" fontId="24" fillId="0" borderId="200" xfId="2821" applyFont="1" applyBorder="1" applyAlignment="1">
      <alignment horizontal="left" vertical="center"/>
    </xf>
    <xf numFmtId="0" fontId="45" fillId="0" borderId="195" xfId="2821" applyFont="1" applyBorder="1" applyAlignment="1">
      <alignment horizontal="left" vertical="center"/>
    </xf>
    <xf numFmtId="0" fontId="45" fillId="0" borderId="0" xfId="2821" applyFont="1" applyBorder="1" applyAlignment="1">
      <alignment horizontal="left" vertical="center"/>
    </xf>
    <xf numFmtId="0" fontId="45" fillId="0" borderId="200" xfId="2821" applyFont="1" applyBorder="1" applyAlignment="1">
      <alignment horizontal="left" vertical="center"/>
    </xf>
    <xf numFmtId="0" fontId="24" fillId="0" borderId="84" xfId="2821" applyFont="1" applyBorder="1" applyAlignment="1">
      <alignment horizontal="left" vertical="center"/>
    </xf>
    <xf numFmtId="0" fontId="24" fillId="0" borderId="231" xfId="2821" applyFont="1" applyBorder="1" applyAlignment="1">
      <alignment horizontal="left" vertical="center"/>
    </xf>
    <xf numFmtId="0" fontId="24" fillId="0" borderId="86" xfId="2821" applyFont="1" applyBorder="1" applyAlignment="1">
      <alignment horizontal="left" vertical="center"/>
    </xf>
    <xf numFmtId="0" fontId="58" fillId="29" borderId="101" xfId="0" applyFont="1" applyFill="1" applyBorder="1" applyAlignment="1">
      <alignment horizontal="left" vertical="top" wrapText="1"/>
    </xf>
    <xf numFmtId="0" fontId="58" fillId="29" borderId="99" xfId="0" applyFont="1" applyFill="1" applyBorder="1" applyAlignment="1">
      <alignment horizontal="left" vertical="top" wrapText="1"/>
    </xf>
    <xf numFmtId="0" fontId="58" fillId="29" borderId="102" xfId="0" applyFont="1" applyFill="1" applyBorder="1" applyAlignment="1">
      <alignment horizontal="left" vertical="top" wrapText="1"/>
    </xf>
    <xf numFmtId="0" fontId="58" fillId="29" borderId="103" xfId="0" applyFont="1" applyFill="1" applyBorder="1" applyAlignment="1">
      <alignment horizontal="left" vertical="top" wrapText="1"/>
    </xf>
    <xf numFmtId="0" fontId="58" fillId="29" borderId="0" xfId="0" applyFont="1" applyFill="1" applyBorder="1" applyAlignment="1">
      <alignment horizontal="left" vertical="top" wrapText="1"/>
    </xf>
    <xf numFmtId="0" fontId="58" fillId="29" borderId="104" xfId="0" applyFont="1" applyFill="1" applyBorder="1" applyAlignment="1">
      <alignment horizontal="left" vertical="top" wrapText="1"/>
    </xf>
    <xf numFmtId="0" fontId="58" fillId="29" borderId="105" xfId="0" applyFont="1" applyFill="1" applyBorder="1" applyAlignment="1">
      <alignment horizontal="left" vertical="top" wrapText="1"/>
    </xf>
    <xf numFmtId="0" fontId="58" fillId="29" borderId="106" xfId="0" applyFont="1" applyFill="1" applyBorder="1" applyAlignment="1">
      <alignment horizontal="left" vertical="top" wrapText="1"/>
    </xf>
    <xf numFmtId="0" fontId="58" fillId="29" borderId="107" xfId="0" applyFont="1" applyFill="1" applyBorder="1" applyAlignment="1">
      <alignment horizontal="left" vertical="top" wrapText="1"/>
    </xf>
    <xf numFmtId="0" fontId="0" fillId="0" borderId="254" xfId="0" applyFont="1" applyFill="1" applyBorder="1" applyAlignment="1" applyProtection="1">
      <alignment horizontal="left" vertical="top"/>
    </xf>
    <xf numFmtId="0" fontId="0" fillId="0" borderId="248" xfId="0" applyFont="1" applyFill="1" applyBorder="1" applyAlignment="1" applyProtection="1">
      <alignment horizontal="left" vertical="top"/>
    </xf>
    <xf numFmtId="0" fontId="27" fillId="29" borderId="254" xfId="0" applyFont="1" applyFill="1" applyBorder="1" applyAlignment="1" applyProtection="1">
      <alignment horizontal="left" vertical="top" wrapText="1"/>
    </xf>
    <xf numFmtId="0" fontId="27" fillId="29" borderId="248" xfId="0" applyFont="1" applyFill="1" applyBorder="1" applyAlignment="1" applyProtection="1">
      <alignment horizontal="left" vertical="top" wrapText="1"/>
    </xf>
    <xf numFmtId="0" fontId="27" fillId="29" borderId="257" xfId="0" applyFont="1" applyFill="1" applyBorder="1" applyAlignment="1" applyProtection="1">
      <alignment horizontal="left" vertical="top" wrapText="1"/>
    </xf>
    <xf numFmtId="0" fontId="0" fillId="0" borderId="261" xfId="0" applyFont="1" applyFill="1" applyBorder="1" applyAlignment="1" applyProtection="1">
      <alignment horizontal="left" vertical="top"/>
    </xf>
    <xf numFmtId="0" fontId="0" fillId="0" borderId="262" xfId="0" applyFont="1" applyFill="1" applyBorder="1" applyAlignment="1" applyProtection="1">
      <alignment horizontal="left" vertical="top"/>
    </xf>
    <xf numFmtId="0" fontId="160" fillId="66" borderId="170" xfId="2821" applyFont="1" applyFill="1" applyBorder="1" applyAlignment="1">
      <alignment horizontal="left" vertical="center"/>
    </xf>
    <xf numFmtId="0" fontId="160" fillId="66" borderId="178" xfId="2821" applyFont="1" applyFill="1" applyBorder="1" applyAlignment="1">
      <alignment horizontal="left" vertical="center"/>
    </xf>
    <xf numFmtId="0" fontId="160" fillId="66" borderId="179" xfId="2821" applyFont="1" applyFill="1" applyBorder="1" applyAlignment="1">
      <alignment horizontal="left" vertical="center"/>
    </xf>
    <xf numFmtId="0" fontId="27" fillId="29" borderId="254" xfId="0" applyFont="1" applyFill="1" applyBorder="1" applyAlignment="1" applyProtection="1">
      <alignment horizontal="left" vertical="center" wrapText="1"/>
    </xf>
    <xf numFmtId="0" fontId="27" fillId="29" borderId="248" xfId="0" applyFont="1" applyFill="1" applyBorder="1" applyAlignment="1" applyProtection="1">
      <alignment horizontal="left" vertical="center" wrapText="1"/>
    </xf>
    <xf numFmtId="0" fontId="27" fillId="29" borderId="257" xfId="0" applyFont="1" applyFill="1" applyBorder="1" applyAlignment="1" applyProtection="1">
      <alignment horizontal="left" vertical="center" wrapText="1"/>
    </xf>
    <xf numFmtId="0" fontId="27" fillId="0" borderId="254" xfId="0" applyFont="1" applyFill="1" applyBorder="1" applyAlignment="1" applyProtection="1">
      <alignment horizontal="left" vertical="top" wrapText="1"/>
    </xf>
    <xf numFmtId="0" fontId="27" fillId="0" borderId="248" xfId="0" applyFont="1" applyFill="1" applyBorder="1" applyAlignment="1" applyProtection="1">
      <alignment horizontal="left" vertical="top" wrapText="1"/>
    </xf>
    <xf numFmtId="0" fontId="27" fillId="0" borderId="257" xfId="0" applyFont="1" applyFill="1" applyBorder="1" applyAlignment="1" applyProtection="1">
      <alignment horizontal="left" vertical="top" wrapText="1"/>
    </xf>
    <xf numFmtId="0" fontId="27" fillId="0" borderId="254" xfId="0" applyFont="1" applyFill="1" applyBorder="1" applyAlignment="1" applyProtection="1">
      <alignment horizontal="left" vertical="center" wrapText="1"/>
    </xf>
    <xf numFmtId="0" fontId="27" fillId="0" borderId="248" xfId="0" applyFont="1" applyFill="1" applyBorder="1" applyAlignment="1" applyProtection="1">
      <alignment horizontal="left" vertical="center" wrapText="1"/>
    </xf>
    <xf numFmtId="0" fontId="27" fillId="0" borderId="257" xfId="0" applyFont="1" applyFill="1" applyBorder="1" applyAlignment="1" applyProtection="1">
      <alignment horizontal="left" vertical="center" wrapText="1"/>
    </xf>
    <xf numFmtId="0" fontId="81" fillId="0" borderId="264" xfId="0" applyFont="1" applyFill="1" applyBorder="1" applyAlignment="1" applyProtection="1">
      <alignment horizontal="center" vertical="top" wrapText="1"/>
    </xf>
    <xf numFmtId="0" fontId="81" fillId="0" borderId="72" xfId="0" applyFont="1" applyFill="1" applyBorder="1" applyAlignment="1" applyProtection="1">
      <alignment horizontal="center" vertical="top" wrapText="1"/>
    </xf>
    <xf numFmtId="0" fontId="81" fillId="0" borderId="265" xfId="0" applyFont="1" applyFill="1" applyBorder="1" applyAlignment="1" applyProtection="1">
      <alignment horizontal="center" vertical="top" wrapText="1"/>
    </xf>
    <xf numFmtId="0" fontId="81" fillId="0" borderId="252" xfId="0" applyFont="1" applyFill="1" applyBorder="1" applyAlignment="1" applyProtection="1">
      <alignment horizontal="center" vertical="top" wrapText="1"/>
    </xf>
    <xf numFmtId="0" fontId="81" fillId="0" borderId="247" xfId="0" applyFont="1" applyFill="1" applyBorder="1" applyAlignment="1" applyProtection="1">
      <alignment horizontal="center" vertical="top" wrapText="1"/>
    </xf>
    <xf numFmtId="0" fontId="81" fillId="0" borderId="253" xfId="0" applyFont="1" applyFill="1" applyBorder="1" applyAlignment="1" applyProtection="1">
      <alignment horizontal="center" vertical="top" wrapText="1"/>
    </xf>
    <xf numFmtId="0" fontId="27" fillId="29" borderId="254" xfId="0" applyFont="1" applyFill="1" applyBorder="1" applyAlignment="1" applyProtection="1">
      <alignment horizontal="center" vertical="center" wrapText="1"/>
    </xf>
    <xf numFmtId="0" fontId="27" fillId="29" borderId="248" xfId="0" applyFont="1" applyFill="1" applyBorder="1" applyAlignment="1" applyProtection="1">
      <alignment horizontal="center" vertical="center" wrapText="1"/>
    </xf>
    <xf numFmtId="0" fontId="24" fillId="29" borderId="251" xfId="0" applyFont="1" applyFill="1" applyBorder="1" applyAlignment="1" applyProtection="1">
      <alignment horizontal="center" vertical="center" wrapText="1"/>
    </xf>
    <xf numFmtId="0" fontId="24" fillId="29" borderId="256" xfId="0" applyFont="1" applyFill="1" applyBorder="1" applyAlignment="1" applyProtection="1">
      <alignment horizontal="center" vertical="center" wrapText="1"/>
    </xf>
    <xf numFmtId="0" fontId="40" fillId="19" borderId="95" xfId="0" applyFont="1" applyFill="1" applyBorder="1" applyAlignment="1">
      <alignment horizontal="left" vertical="center"/>
    </xf>
    <xf numFmtId="0" fontId="40" fillId="19" borderId="96" xfId="0" applyFont="1" applyFill="1" applyBorder="1" applyAlignment="1">
      <alignment horizontal="left" vertical="center"/>
    </xf>
    <xf numFmtId="0" fontId="40" fillId="19" borderId="97" xfId="0" applyFont="1" applyFill="1" applyBorder="1" applyAlignment="1">
      <alignment horizontal="left" vertical="center"/>
    </xf>
    <xf numFmtId="0" fontId="0" fillId="19" borderId="95" xfId="0" applyFill="1" applyBorder="1" applyAlignment="1">
      <alignment horizontal="left"/>
    </xf>
    <xf numFmtId="0" fontId="0" fillId="19" borderId="96" xfId="0" applyFill="1" applyBorder="1" applyAlignment="1">
      <alignment horizontal="left"/>
    </xf>
    <xf numFmtId="0" fontId="0" fillId="19" borderId="97" xfId="0" applyFill="1" applyBorder="1" applyAlignment="1">
      <alignment horizontal="left"/>
    </xf>
    <xf numFmtId="0" fontId="162" fillId="67" borderId="165" xfId="2278" applyFont="1" applyFill="1" applyBorder="1" applyAlignment="1">
      <alignment horizontal="center" vertical="center"/>
    </xf>
    <xf numFmtId="0" fontId="162" fillId="67" borderId="167" xfId="2278" applyFont="1" applyFill="1" applyBorder="1" applyAlignment="1">
      <alignment horizontal="center" vertical="center"/>
    </xf>
    <xf numFmtId="0" fontId="40" fillId="47" borderId="186" xfId="0" applyFont="1" applyFill="1" applyBorder="1" applyAlignment="1" applyProtection="1">
      <alignment horizontal="center" vertical="center"/>
    </xf>
    <xf numFmtId="0" fontId="40" fillId="47" borderId="127" xfId="0" applyFont="1" applyFill="1" applyBorder="1" applyAlignment="1" applyProtection="1">
      <alignment horizontal="center" vertical="center"/>
    </xf>
    <xf numFmtId="0" fontId="142" fillId="47" borderId="183" xfId="0" applyFont="1" applyFill="1" applyBorder="1" applyAlignment="1" applyProtection="1">
      <alignment horizontal="center" vertical="center"/>
      <protection locked="0"/>
    </xf>
    <xf numFmtId="0" fontId="142" fillId="47" borderId="143" xfId="0" applyFont="1" applyFill="1" applyBorder="1" applyAlignment="1" applyProtection="1">
      <alignment horizontal="center" vertical="center"/>
      <protection locked="0"/>
    </xf>
    <xf numFmtId="0" fontId="142" fillId="47" borderId="184" xfId="0" applyFont="1" applyFill="1" applyBorder="1" applyAlignment="1" applyProtection="1">
      <alignment horizontal="center" vertical="center"/>
      <protection locked="0"/>
    </xf>
    <xf numFmtId="0" fontId="130" fillId="24" borderId="198" xfId="0" applyFont="1" applyFill="1" applyBorder="1" applyAlignment="1">
      <alignment horizontal="center" vertical="center"/>
    </xf>
    <xf numFmtId="0" fontId="143" fillId="47" borderId="128" xfId="0" applyFont="1" applyFill="1" applyBorder="1" applyAlignment="1" applyProtection="1">
      <alignment horizontal="center" vertical="center"/>
      <protection locked="0"/>
    </xf>
    <xf numFmtId="0" fontId="143" fillId="47" borderId="126" xfId="0" applyFont="1" applyFill="1" applyBorder="1" applyAlignment="1" applyProtection="1">
      <alignment horizontal="center" vertical="center"/>
      <protection locked="0"/>
    </xf>
    <xf numFmtId="0" fontId="143" fillId="47" borderId="127" xfId="0" applyFont="1" applyFill="1" applyBorder="1" applyAlignment="1" applyProtection="1">
      <alignment horizontal="center" vertical="center"/>
      <protection locked="0"/>
    </xf>
    <xf numFmtId="0" fontId="27" fillId="14" borderId="0" xfId="0" applyFont="1" applyFill="1" applyBorder="1" applyAlignment="1" applyProtection="1">
      <alignment horizontal="center" wrapText="1"/>
    </xf>
    <xf numFmtId="0" fontId="27" fillId="14" borderId="198" xfId="0" applyFont="1" applyFill="1" applyBorder="1" applyAlignment="1" applyProtection="1">
      <alignment horizontal="center" wrapText="1"/>
    </xf>
  </cellXfs>
  <cellStyles count="6262">
    <cellStyle name="Akzent1 2" xfId="1"/>
    <cellStyle name="Akzent2 2" xfId="2"/>
    <cellStyle name="Akzent3 2" xfId="3"/>
    <cellStyle name="Akzent4 2" xfId="4"/>
    <cellStyle name="Akzent5 2" xfId="5"/>
    <cellStyle name="Akzent6 2" xfId="6"/>
    <cellStyle name="Ausgabe 2" xfId="7"/>
    <cellStyle name="Ausgabe 2 10" xfId="8"/>
    <cellStyle name="Ausgabe 2 10 2" xfId="3424"/>
    <cellStyle name="Ausgabe 2 11" xfId="3423"/>
    <cellStyle name="Ausgabe 2 2" xfId="9"/>
    <cellStyle name="Ausgabe 2 2 10" xfId="3425"/>
    <cellStyle name="Ausgabe 2 2 2" xfId="10"/>
    <cellStyle name="Ausgabe 2 2 2 2" xfId="11"/>
    <cellStyle name="Ausgabe 2 2 2 2 2" xfId="12"/>
    <cellStyle name="Ausgabe 2 2 2 2 2 2" xfId="13"/>
    <cellStyle name="Ausgabe 2 2 2 2 2 2 2" xfId="14"/>
    <cellStyle name="Ausgabe 2 2 2 2 2 2 2 2" xfId="3430"/>
    <cellStyle name="Ausgabe 2 2 2 2 2 2 3" xfId="15"/>
    <cellStyle name="Ausgabe 2 2 2 2 2 2 3 2" xfId="3431"/>
    <cellStyle name="Ausgabe 2 2 2 2 2 2 4" xfId="16"/>
    <cellStyle name="Ausgabe 2 2 2 2 2 2 4 2" xfId="3432"/>
    <cellStyle name="Ausgabe 2 2 2 2 2 2 5" xfId="17"/>
    <cellStyle name="Ausgabe 2 2 2 2 2 2 5 2" xfId="3433"/>
    <cellStyle name="Ausgabe 2 2 2 2 2 2 6" xfId="18"/>
    <cellStyle name="Ausgabe 2 2 2 2 2 2 6 2" xfId="3434"/>
    <cellStyle name="Ausgabe 2 2 2 2 2 2 7" xfId="3429"/>
    <cellStyle name="Ausgabe 2 2 2 2 2 2_Grünland" xfId="2899"/>
    <cellStyle name="Ausgabe 2 2 2 2 2 3" xfId="19"/>
    <cellStyle name="Ausgabe 2 2 2 2 2 3 2" xfId="20"/>
    <cellStyle name="Ausgabe 2 2 2 2 2 3 2 2" xfId="3436"/>
    <cellStyle name="Ausgabe 2 2 2 2 2 3 3" xfId="21"/>
    <cellStyle name="Ausgabe 2 2 2 2 2 3 3 2" xfId="3437"/>
    <cellStyle name="Ausgabe 2 2 2 2 2 3 4" xfId="22"/>
    <cellStyle name="Ausgabe 2 2 2 2 2 3 4 2" xfId="3438"/>
    <cellStyle name="Ausgabe 2 2 2 2 2 3 5" xfId="23"/>
    <cellStyle name="Ausgabe 2 2 2 2 2 3 5 2" xfId="3439"/>
    <cellStyle name="Ausgabe 2 2 2 2 2 3 6" xfId="24"/>
    <cellStyle name="Ausgabe 2 2 2 2 2 3 6 2" xfId="3440"/>
    <cellStyle name="Ausgabe 2 2 2 2 2 3 7" xfId="3435"/>
    <cellStyle name="Ausgabe 2 2 2 2 2 3_Grünland" xfId="2900"/>
    <cellStyle name="Ausgabe 2 2 2 2 2 4" xfId="25"/>
    <cellStyle name="Ausgabe 2 2 2 2 2 4 2" xfId="3441"/>
    <cellStyle name="Ausgabe 2 2 2 2 2 5" xfId="26"/>
    <cellStyle name="Ausgabe 2 2 2 2 2 5 2" xfId="3442"/>
    <cellStyle name="Ausgabe 2 2 2 2 2 6" xfId="27"/>
    <cellStyle name="Ausgabe 2 2 2 2 2 6 2" xfId="3443"/>
    <cellStyle name="Ausgabe 2 2 2 2 2 7" xfId="28"/>
    <cellStyle name="Ausgabe 2 2 2 2 2 7 2" xfId="3444"/>
    <cellStyle name="Ausgabe 2 2 2 2 2 8" xfId="29"/>
    <cellStyle name="Ausgabe 2 2 2 2 2 8 2" xfId="3445"/>
    <cellStyle name="Ausgabe 2 2 2 2 2 9" xfId="3428"/>
    <cellStyle name="Ausgabe 2 2 2 2 2_Grünland" xfId="2898"/>
    <cellStyle name="Ausgabe 2 2 2 2 3" xfId="30"/>
    <cellStyle name="Ausgabe 2 2 2 2 3 2" xfId="31"/>
    <cellStyle name="Ausgabe 2 2 2 2 3 2 2" xfId="3447"/>
    <cellStyle name="Ausgabe 2 2 2 2 3 3" xfId="32"/>
    <cellStyle name="Ausgabe 2 2 2 2 3 3 2" xfId="3448"/>
    <cellStyle name="Ausgabe 2 2 2 2 3 4" xfId="33"/>
    <cellStyle name="Ausgabe 2 2 2 2 3 4 2" xfId="3449"/>
    <cellStyle name="Ausgabe 2 2 2 2 3 5" xfId="34"/>
    <cellStyle name="Ausgabe 2 2 2 2 3 5 2" xfId="3450"/>
    <cellStyle name="Ausgabe 2 2 2 2 3 6" xfId="35"/>
    <cellStyle name="Ausgabe 2 2 2 2 3 6 2" xfId="3451"/>
    <cellStyle name="Ausgabe 2 2 2 2 3 7" xfId="3446"/>
    <cellStyle name="Ausgabe 2 2 2 2 3_Grünland" xfId="2901"/>
    <cellStyle name="Ausgabe 2 2 2 2 4" xfId="36"/>
    <cellStyle name="Ausgabe 2 2 2 2 4 2" xfId="37"/>
    <cellStyle name="Ausgabe 2 2 2 2 4 2 2" xfId="3453"/>
    <cellStyle name="Ausgabe 2 2 2 2 4 3" xfId="38"/>
    <cellStyle name="Ausgabe 2 2 2 2 4 3 2" xfId="3454"/>
    <cellStyle name="Ausgabe 2 2 2 2 4 4" xfId="39"/>
    <cellStyle name="Ausgabe 2 2 2 2 4 4 2" xfId="3455"/>
    <cellStyle name="Ausgabe 2 2 2 2 4 5" xfId="40"/>
    <cellStyle name="Ausgabe 2 2 2 2 4 5 2" xfId="3456"/>
    <cellStyle name="Ausgabe 2 2 2 2 4 6" xfId="41"/>
    <cellStyle name="Ausgabe 2 2 2 2 4 6 2" xfId="3457"/>
    <cellStyle name="Ausgabe 2 2 2 2 4 7" xfId="3452"/>
    <cellStyle name="Ausgabe 2 2 2 2 4_Grünland" xfId="2902"/>
    <cellStyle name="Ausgabe 2 2 2 2 5" xfId="42"/>
    <cellStyle name="Ausgabe 2 2 2 2 5 2" xfId="43"/>
    <cellStyle name="Ausgabe 2 2 2 2 5 2 2" xfId="3459"/>
    <cellStyle name="Ausgabe 2 2 2 2 5 3" xfId="44"/>
    <cellStyle name="Ausgabe 2 2 2 2 5 3 2" xfId="3460"/>
    <cellStyle name="Ausgabe 2 2 2 2 5 4" xfId="45"/>
    <cellStyle name="Ausgabe 2 2 2 2 5 4 2" xfId="3461"/>
    <cellStyle name="Ausgabe 2 2 2 2 5 5" xfId="46"/>
    <cellStyle name="Ausgabe 2 2 2 2 5 5 2" xfId="3462"/>
    <cellStyle name="Ausgabe 2 2 2 2 5 6" xfId="3458"/>
    <cellStyle name="Ausgabe 2 2 2 2 5_Grünland" xfId="2903"/>
    <cellStyle name="Ausgabe 2 2 2 2 6" xfId="47"/>
    <cellStyle name="Ausgabe 2 2 2 2 6 2" xfId="3463"/>
    <cellStyle name="Ausgabe 2 2 2 2 7" xfId="48"/>
    <cellStyle name="Ausgabe 2 2 2 2 7 2" xfId="3464"/>
    <cellStyle name="Ausgabe 2 2 2 2 8" xfId="3427"/>
    <cellStyle name="Ausgabe 2 2 2 2_Grünland" xfId="2897"/>
    <cellStyle name="Ausgabe 2 2 2 3" xfId="49"/>
    <cellStyle name="Ausgabe 2 2 2 3 2" xfId="50"/>
    <cellStyle name="Ausgabe 2 2 2 3 2 2" xfId="51"/>
    <cellStyle name="Ausgabe 2 2 2 3 2 2 2" xfId="52"/>
    <cellStyle name="Ausgabe 2 2 2 3 2 2 2 2" xfId="3468"/>
    <cellStyle name="Ausgabe 2 2 2 3 2 2 3" xfId="53"/>
    <cellStyle name="Ausgabe 2 2 2 3 2 2 3 2" xfId="3469"/>
    <cellStyle name="Ausgabe 2 2 2 3 2 2 4" xfId="54"/>
    <cellStyle name="Ausgabe 2 2 2 3 2 2 4 2" xfId="3470"/>
    <cellStyle name="Ausgabe 2 2 2 3 2 2 5" xfId="55"/>
    <cellStyle name="Ausgabe 2 2 2 3 2 2 5 2" xfId="3471"/>
    <cellStyle name="Ausgabe 2 2 2 3 2 2 6" xfId="56"/>
    <cellStyle name="Ausgabe 2 2 2 3 2 2 6 2" xfId="3472"/>
    <cellStyle name="Ausgabe 2 2 2 3 2 2 7" xfId="3467"/>
    <cellStyle name="Ausgabe 2 2 2 3 2 2_Grünland" xfId="2906"/>
    <cellStyle name="Ausgabe 2 2 2 3 2 3" xfId="57"/>
    <cellStyle name="Ausgabe 2 2 2 3 2 3 2" xfId="58"/>
    <cellStyle name="Ausgabe 2 2 2 3 2 3 2 2" xfId="3474"/>
    <cellStyle name="Ausgabe 2 2 2 3 2 3 3" xfId="59"/>
    <cellStyle name="Ausgabe 2 2 2 3 2 3 3 2" xfId="3475"/>
    <cellStyle name="Ausgabe 2 2 2 3 2 3 4" xfId="60"/>
    <cellStyle name="Ausgabe 2 2 2 3 2 3 4 2" xfId="3476"/>
    <cellStyle name="Ausgabe 2 2 2 3 2 3 5" xfId="61"/>
    <cellStyle name="Ausgabe 2 2 2 3 2 3 5 2" xfId="3477"/>
    <cellStyle name="Ausgabe 2 2 2 3 2 3 6" xfId="62"/>
    <cellStyle name="Ausgabe 2 2 2 3 2 3 6 2" xfId="3478"/>
    <cellStyle name="Ausgabe 2 2 2 3 2 3 7" xfId="3473"/>
    <cellStyle name="Ausgabe 2 2 2 3 2 3_Grünland" xfId="2907"/>
    <cellStyle name="Ausgabe 2 2 2 3 2 4" xfId="63"/>
    <cellStyle name="Ausgabe 2 2 2 3 2 4 2" xfId="3479"/>
    <cellStyle name="Ausgabe 2 2 2 3 2 5" xfId="64"/>
    <cellStyle name="Ausgabe 2 2 2 3 2 5 2" xfId="3480"/>
    <cellStyle name="Ausgabe 2 2 2 3 2 6" xfId="65"/>
    <cellStyle name="Ausgabe 2 2 2 3 2 6 2" xfId="3481"/>
    <cellStyle name="Ausgabe 2 2 2 3 2 7" xfId="66"/>
    <cellStyle name="Ausgabe 2 2 2 3 2 7 2" xfId="3482"/>
    <cellStyle name="Ausgabe 2 2 2 3 2 8" xfId="67"/>
    <cellStyle name="Ausgabe 2 2 2 3 2 8 2" xfId="3483"/>
    <cellStyle name="Ausgabe 2 2 2 3 2 9" xfId="3466"/>
    <cellStyle name="Ausgabe 2 2 2 3 2_Grünland" xfId="2905"/>
    <cellStyle name="Ausgabe 2 2 2 3 3" xfId="68"/>
    <cellStyle name="Ausgabe 2 2 2 3 3 2" xfId="69"/>
    <cellStyle name="Ausgabe 2 2 2 3 3 2 2" xfId="3485"/>
    <cellStyle name="Ausgabe 2 2 2 3 3 3" xfId="70"/>
    <cellStyle name="Ausgabe 2 2 2 3 3 3 2" xfId="3486"/>
    <cellStyle name="Ausgabe 2 2 2 3 3 4" xfId="71"/>
    <cellStyle name="Ausgabe 2 2 2 3 3 4 2" xfId="3487"/>
    <cellStyle name="Ausgabe 2 2 2 3 3 5" xfId="72"/>
    <cellStyle name="Ausgabe 2 2 2 3 3 5 2" xfId="3488"/>
    <cellStyle name="Ausgabe 2 2 2 3 3 6" xfId="73"/>
    <cellStyle name="Ausgabe 2 2 2 3 3 6 2" xfId="3489"/>
    <cellStyle name="Ausgabe 2 2 2 3 3 7" xfId="3484"/>
    <cellStyle name="Ausgabe 2 2 2 3 3_Grünland" xfId="2908"/>
    <cellStyle name="Ausgabe 2 2 2 3 4" xfId="74"/>
    <cellStyle name="Ausgabe 2 2 2 3 4 2" xfId="75"/>
    <cellStyle name="Ausgabe 2 2 2 3 4 2 2" xfId="3491"/>
    <cellStyle name="Ausgabe 2 2 2 3 4 3" xfId="76"/>
    <cellStyle name="Ausgabe 2 2 2 3 4 3 2" xfId="3492"/>
    <cellStyle name="Ausgabe 2 2 2 3 4 4" xfId="77"/>
    <cellStyle name="Ausgabe 2 2 2 3 4 4 2" xfId="3493"/>
    <cellStyle name="Ausgabe 2 2 2 3 4 5" xfId="78"/>
    <cellStyle name="Ausgabe 2 2 2 3 4 5 2" xfId="3494"/>
    <cellStyle name="Ausgabe 2 2 2 3 4 6" xfId="79"/>
    <cellStyle name="Ausgabe 2 2 2 3 4 6 2" xfId="3495"/>
    <cellStyle name="Ausgabe 2 2 2 3 4 7" xfId="3490"/>
    <cellStyle name="Ausgabe 2 2 2 3 4_Grünland" xfId="2909"/>
    <cellStyle name="Ausgabe 2 2 2 3 5" xfId="80"/>
    <cellStyle name="Ausgabe 2 2 2 3 5 2" xfId="81"/>
    <cellStyle name="Ausgabe 2 2 2 3 5 2 2" xfId="3497"/>
    <cellStyle name="Ausgabe 2 2 2 3 5 3" xfId="82"/>
    <cellStyle name="Ausgabe 2 2 2 3 5 3 2" xfId="3498"/>
    <cellStyle name="Ausgabe 2 2 2 3 5 4" xfId="83"/>
    <cellStyle name="Ausgabe 2 2 2 3 5 4 2" xfId="3499"/>
    <cellStyle name="Ausgabe 2 2 2 3 5 5" xfId="84"/>
    <cellStyle name="Ausgabe 2 2 2 3 5 5 2" xfId="3500"/>
    <cellStyle name="Ausgabe 2 2 2 3 5 6" xfId="3496"/>
    <cellStyle name="Ausgabe 2 2 2 3 5_Grünland" xfId="2910"/>
    <cellStyle name="Ausgabe 2 2 2 3 6" xfId="85"/>
    <cellStyle name="Ausgabe 2 2 2 3 6 2" xfId="3501"/>
    <cellStyle name="Ausgabe 2 2 2 3 7" xfId="86"/>
    <cellStyle name="Ausgabe 2 2 2 3 7 2" xfId="3502"/>
    <cellStyle name="Ausgabe 2 2 2 3 8" xfId="3465"/>
    <cellStyle name="Ausgabe 2 2 2 3_Grünland" xfId="2904"/>
    <cellStyle name="Ausgabe 2 2 2 4" xfId="87"/>
    <cellStyle name="Ausgabe 2 2 2 4 2" xfId="88"/>
    <cellStyle name="Ausgabe 2 2 2 4 2 2" xfId="89"/>
    <cellStyle name="Ausgabe 2 2 2 4 2 2 2" xfId="3505"/>
    <cellStyle name="Ausgabe 2 2 2 4 2 3" xfId="90"/>
    <cellStyle name="Ausgabe 2 2 2 4 2 3 2" xfId="3506"/>
    <cellStyle name="Ausgabe 2 2 2 4 2 4" xfId="91"/>
    <cellStyle name="Ausgabe 2 2 2 4 2 4 2" xfId="3507"/>
    <cellStyle name="Ausgabe 2 2 2 4 2 5" xfId="92"/>
    <cellStyle name="Ausgabe 2 2 2 4 2 5 2" xfId="3508"/>
    <cellStyle name="Ausgabe 2 2 2 4 2 6" xfId="93"/>
    <cellStyle name="Ausgabe 2 2 2 4 2 6 2" xfId="3509"/>
    <cellStyle name="Ausgabe 2 2 2 4 2 7" xfId="3504"/>
    <cellStyle name="Ausgabe 2 2 2 4 2_Grünland" xfId="2912"/>
    <cellStyle name="Ausgabe 2 2 2 4 3" xfId="94"/>
    <cellStyle name="Ausgabe 2 2 2 4 3 2" xfId="95"/>
    <cellStyle name="Ausgabe 2 2 2 4 3 2 2" xfId="3511"/>
    <cellStyle name="Ausgabe 2 2 2 4 3 3" xfId="96"/>
    <cellStyle name="Ausgabe 2 2 2 4 3 3 2" xfId="3512"/>
    <cellStyle name="Ausgabe 2 2 2 4 3 4" xfId="97"/>
    <cellStyle name="Ausgabe 2 2 2 4 3 4 2" xfId="3513"/>
    <cellStyle name="Ausgabe 2 2 2 4 3 5" xfId="98"/>
    <cellStyle name="Ausgabe 2 2 2 4 3 5 2" xfId="3514"/>
    <cellStyle name="Ausgabe 2 2 2 4 3 6" xfId="99"/>
    <cellStyle name="Ausgabe 2 2 2 4 3 6 2" xfId="3515"/>
    <cellStyle name="Ausgabe 2 2 2 4 3 7" xfId="3510"/>
    <cellStyle name="Ausgabe 2 2 2 4 3_Grünland" xfId="2913"/>
    <cellStyle name="Ausgabe 2 2 2 4 4" xfId="100"/>
    <cellStyle name="Ausgabe 2 2 2 4 4 2" xfId="3516"/>
    <cellStyle name="Ausgabe 2 2 2 4 5" xfId="101"/>
    <cellStyle name="Ausgabe 2 2 2 4 5 2" xfId="3517"/>
    <cellStyle name="Ausgabe 2 2 2 4 6" xfId="102"/>
    <cellStyle name="Ausgabe 2 2 2 4 6 2" xfId="3518"/>
    <cellStyle name="Ausgabe 2 2 2 4 7" xfId="103"/>
    <cellStyle name="Ausgabe 2 2 2 4 7 2" xfId="3519"/>
    <cellStyle name="Ausgabe 2 2 2 4 8" xfId="104"/>
    <cellStyle name="Ausgabe 2 2 2 4 8 2" xfId="3520"/>
    <cellStyle name="Ausgabe 2 2 2 4 9" xfId="3503"/>
    <cellStyle name="Ausgabe 2 2 2 4_Grünland" xfId="2911"/>
    <cellStyle name="Ausgabe 2 2 2 5" xfId="105"/>
    <cellStyle name="Ausgabe 2 2 2 5 2" xfId="106"/>
    <cellStyle name="Ausgabe 2 2 2 5 2 2" xfId="3522"/>
    <cellStyle name="Ausgabe 2 2 2 5 3" xfId="107"/>
    <cellStyle name="Ausgabe 2 2 2 5 3 2" xfId="3523"/>
    <cellStyle name="Ausgabe 2 2 2 5 4" xfId="108"/>
    <cellStyle name="Ausgabe 2 2 2 5 4 2" xfId="3524"/>
    <cellStyle name="Ausgabe 2 2 2 5 5" xfId="109"/>
    <cellStyle name="Ausgabe 2 2 2 5 5 2" xfId="3525"/>
    <cellStyle name="Ausgabe 2 2 2 5 6" xfId="110"/>
    <cellStyle name="Ausgabe 2 2 2 5 6 2" xfId="3526"/>
    <cellStyle name="Ausgabe 2 2 2 5 7" xfId="3521"/>
    <cellStyle name="Ausgabe 2 2 2 5_Grünland" xfId="2914"/>
    <cellStyle name="Ausgabe 2 2 2 6" xfId="111"/>
    <cellStyle name="Ausgabe 2 2 2 6 2" xfId="112"/>
    <cellStyle name="Ausgabe 2 2 2 6 2 2" xfId="3528"/>
    <cellStyle name="Ausgabe 2 2 2 6 3" xfId="113"/>
    <cellStyle name="Ausgabe 2 2 2 6 3 2" xfId="3529"/>
    <cellStyle name="Ausgabe 2 2 2 6 4" xfId="114"/>
    <cellStyle name="Ausgabe 2 2 2 6 4 2" xfId="3530"/>
    <cellStyle name="Ausgabe 2 2 2 6 5" xfId="115"/>
    <cellStyle name="Ausgabe 2 2 2 6 5 2" xfId="3531"/>
    <cellStyle name="Ausgabe 2 2 2 6 6" xfId="116"/>
    <cellStyle name="Ausgabe 2 2 2 6 6 2" xfId="3532"/>
    <cellStyle name="Ausgabe 2 2 2 6 7" xfId="3527"/>
    <cellStyle name="Ausgabe 2 2 2 6_Grünland" xfId="2915"/>
    <cellStyle name="Ausgabe 2 2 2 7" xfId="117"/>
    <cellStyle name="Ausgabe 2 2 2 7 2" xfId="3533"/>
    <cellStyle name="Ausgabe 2 2 2 8" xfId="118"/>
    <cellStyle name="Ausgabe 2 2 2 8 2" xfId="3534"/>
    <cellStyle name="Ausgabe 2 2 2 9" xfId="3426"/>
    <cellStyle name="Ausgabe 2 2 2_Grünland" xfId="2896"/>
    <cellStyle name="Ausgabe 2 2 3" xfId="119"/>
    <cellStyle name="Ausgabe 2 2 3 2" xfId="120"/>
    <cellStyle name="Ausgabe 2 2 3 2 2" xfId="121"/>
    <cellStyle name="Ausgabe 2 2 3 2 2 2" xfId="122"/>
    <cellStyle name="Ausgabe 2 2 3 2 2 2 2" xfId="3538"/>
    <cellStyle name="Ausgabe 2 2 3 2 2 3" xfId="123"/>
    <cellStyle name="Ausgabe 2 2 3 2 2 3 2" xfId="3539"/>
    <cellStyle name="Ausgabe 2 2 3 2 2 4" xfId="124"/>
    <cellStyle name="Ausgabe 2 2 3 2 2 4 2" xfId="3540"/>
    <cellStyle name="Ausgabe 2 2 3 2 2 5" xfId="125"/>
    <cellStyle name="Ausgabe 2 2 3 2 2 5 2" xfId="3541"/>
    <cellStyle name="Ausgabe 2 2 3 2 2 6" xfId="126"/>
    <cellStyle name="Ausgabe 2 2 3 2 2 6 2" xfId="3542"/>
    <cellStyle name="Ausgabe 2 2 3 2 2 7" xfId="3537"/>
    <cellStyle name="Ausgabe 2 2 3 2 2_Grünland" xfId="2918"/>
    <cellStyle name="Ausgabe 2 2 3 2 3" xfId="127"/>
    <cellStyle name="Ausgabe 2 2 3 2 3 2" xfId="128"/>
    <cellStyle name="Ausgabe 2 2 3 2 3 2 2" xfId="3544"/>
    <cellStyle name="Ausgabe 2 2 3 2 3 3" xfId="129"/>
    <cellStyle name="Ausgabe 2 2 3 2 3 3 2" xfId="3545"/>
    <cellStyle name="Ausgabe 2 2 3 2 3 4" xfId="130"/>
    <cellStyle name="Ausgabe 2 2 3 2 3 4 2" xfId="3546"/>
    <cellStyle name="Ausgabe 2 2 3 2 3 5" xfId="131"/>
    <cellStyle name="Ausgabe 2 2 3 2 3 5 2" xfId="3547"/>
    <cellStyle name="Ausgabe 2 2 3 2 3 6" xfId="132"/>
    <cellStyle name="Ausgabe 2 2 3 2 3 6 2" xfId="3548"/>
    <cellStyle name="Ausgabe 2 2 3 2 3 7" xfId="3543"/>
    <cellStyle name="Ausgabe 2 2 3 2 3_Grünland" xfId="2919"/>
    <cellStyle name="Ausgabe 2 2 3 2 4" xfId="133"/>
    <cellStyle name="Ausgabe 2 2 3 2 4 2" xfId="3549"/>
    <cellStyle name="Ausgabe 2 2 3 2 5" xfId="134"/>
    <cellStyle name="Ausgabe 2 2 3 2 5 2" xfId="3550"/>
    <cellStyle name="Ausgabe 2 2 3 2 6" xfId="135"/>
    <cellStyle name="Ausgabe 2 2 3 2 6 2" xfId="3551"/>
    <cellStyle name="Ausgabe 2 2 3 2 7" xfId="136"/>
    <cellStyle name="Ausgabe 2 2 3 2 7 2" xfId="3552"/>
    <cellStyle name="Ausgabe 2 2 3 2 8" xfId="137"/>
    <cellStyle name="Ausgabe 2 2 3 2 8 2" xfId="3553"/>
    <cellStyle name="Ausgabe 2 2 3 2 9" xfId="3536"/>
    <cellStyle name="Ausgabe 2 2 3 2_Grünland" xfId="2917"/>
    <cellStyle name="Ausgabe 2 2 3 3" xfId="138"/>
    <cellStyle name="Ausgabe 2 2 3 3 2" xfId="139"/>
    <cellStyle name="Ausgabe 2 2 3 3 2 2" xfId="3555"/>
    <cellStyle name="Ausgabe 2 2 3 3 3" xfId="140"/>
    <cellStyle name="Ausgabe 2 2 3 3 3 2" xfId="3556"/>
    <cellStyle name="Ausgabe 2 2 3 3 4" xfId="141"/>
    <cellStyle name="Ausgabe 2 2 3 3 4 2" xfId="3557"/>
    <cellStyle name="Ausgabe 2 2 3 3 5" xfId="142"/>
    <cellStyle name="Ausgabe 2 2 3 3 5 2" xfId="3558"/>
    <cellStyle name="Ausgabe 2 2 3 3 6" xfId="143"/>
    <cellStyle name="Ausgabe 2 2 3 3 6 2" xfId="3559"/>
    <cellStyle name="Ausgabe 2 2 3 3 7" xfId="3554"/>
    <cellStyle name="Ausgabe 2 2 3 3_Grünland" xfId="2920"/>
    <cellStyle name="Ausgabe 2 2 3 4" xfId="144"/>
    <cellStyle name="Ausgabe 2 2 3 4 2" xfId="145"/>
    <cellStyle name="Ausgabe 2 2 3 4 2 2" xfId="3561"/>
    <cellStyle name="Ausgabe 2 2 3 4 3" xfId="146"/>
    <cellStyle name="Ausgabe 2 2 3 4 3 2" xfId="3562"/>
    <cellStyle name="Ausgabe 2 2 3 4 4" xfId="147"/>
    <cellStyle name="Ausgabe 2 2 3 4 4 2" xfId="3563"/>
    <cellStyle name="Ausgabe 2 2 3 4 5" xfId="148"/>
    <cellStyle name="Ausgabe 2 2 3 4 5 2" xfId="3564"/>
    <cellStyle name="Ausgabe 2 2 3 4 6" xfId="149"/>
    <cellStyle name="Ausgabe 2 2 3 4 6 2" xfId="3565"/>
    <cellStyle name="Ausgabe 2 2 3 4 7" xfId="3560"/>
    <cellStyle name="Ausgabe 2 2 3 4_Grünland" xfId="2921"/>
    <cellStyle name="Ausgabe 2 2 3 5" xfId="150"/>
    <cellStyle name="Ausgabe 2 2 3 5 2" xfId="151"/>
    <cellStyle name="Ausgabe 2 2 3 5 2 2" xfId="3567"/>
    <cellStyle name="Ausgabe 2 2 3 5 3" xfId="152"/>
    <cellStyle name="Ausgabe 2 2 3 5 3 2" xfId="3568"/>
    <cellStyle name="Ausgabe 2 2 3 5 4" xfId="153"/>
    <cellStyle name="Ausgabe 2 2 3 5 4 2" xfId="3569"/>
    <cellStyle name="Ausgabe 2 2 3 5 5" xfId="154"/>
    <cellStyle name="Ausgabe 2 2 3 5 5 2" xfId="3570"/>
    <cellStyle name="Ausgabe 2 2 3 5 6" xfId="3566"/>
    <cellStyle name="Ausgabe 2 2 3 5_Grünland" xfId="2922"/>
    <cellStyle name="Ausgabe 2 2 3 6" xfId="155"/>
    <cellStyle name="Ausgabe 2 2 3 6 2" xfId="3571"/>
    <cellStyle name="Ausgabe 2 2 3 7" xfId="156"/>
    <cellStyle name="Ausgabe 2 2 3 7 2" xfId="3572"/>
    <cellStyle name="Ausgabe 2 2 3 8" xfId="3535"/>
    <cellStyle name="Ausgabe 2 2 3_Grünland" xfId="2916"/>
    <cellStyle name="Ausgabe 2 2 4" xfId="157"/>
    <cellStyle name="Ausgabe 2 2 4 2" xfId="158"/>
    <cellStyle name="Ausgabe 2 2 4 2 2" xfId="159"/>
    <cellStyle name="Ausgabe 2 2 4 2 2 2" xfId="160"/>
    <cellStyle name="Ausgabe 2 2 4 2 2 2 2" xfId="3576"/>
    <cellStyle name="Ausgabe 2 2 4 2 2 3" xfId="161"/>
    <cellStyle name="Ausgabe 2 2 4 2 2 3 2" xfId="3577"/>
    <cellStyle name="Ausgabe 2 2 4 2 2 4" xfId="162"/>
    <cellStyle name="Ausgabe 2 2 4 2 2 4 2" xfId="3578"/>
    <cellStyle name="Ausgabe 2 2 4 2 2 5" xfId="163"/>
    <cellStyle name="Ausgabe 2 2 4 2 2 5 2" xfId="3579"/>
    <cellStyle name="Ausgabe 2 2 4 2 2 6" xfId="164"/>
    <cellStyle name="Ausgabe 2 2 4 2 2 6 2" xfId="3580"/>
    <cellStyle name="Ausgabe 2 2 4 2 2 7" xfId="3575"/>
    <cellStyle name="Ausgabe 2 2 4 2 2_Grünland" xfId="2925"/>
    <cellStyle name="Ausgabe 2 2 4 2 3" xfId="165"/>
    <cellStyle name="Ausgabe 2 2 4 2 3 2" xfId="166"/>
    <cellStyle name="Ausgabe 2 2 4 2 3 2 2" xfId="3582"/>
    <cellStyle name="Ausgabe 2 2 4 2 3 3" xfId="167"/>
    <cellStyle name="Ausgabe 2 2 4 2 3 3 2" xfId="3583"/>
    <cellStyle name="Ausgabe 2 2 4 2 3 4" xfId="168"/>
    <cellStyle name="Ausgabe 2 2 4 2 3 4 2" xfId="3584"/>
    <cellStyle name="Ausgabe 2 2 4 2 3 5" xfId="169"/>
    <cellStyle name="Ausgabe 2 2 4 2 3 5 2" xfId="3585"/>
    <cellStyle name="Ausgabe 2 2 4 2 3 6" xfId="170"/>
    <cellStyle name="Ausgabe 2 2 4 2 3 6 2" xfId="3586"/>
    <cellStyle name="Ausgabe 2 2 4 2 3 7" xfId="3581"/>
    <cellStyle name="Ausgabe 2 2 4 2 3_Grünland" xfId="2926"/>
    <cellStyle name="Ausgabe 2 2 4 2 4" xfId="171"/>
    <cellStyle name="Ausgabe 2 2 4 2 4 2" xfId="3587"/>
    <cellStyle name="Ausgabe 2 2 4 2 5" xfId="172"/>
    <cellStyle name="Ausgabe 2 2 4 2 5 2" xfId="3588"/>
    <cellStyle name="Ausgabe 2 2 4 2 6" xfId="173"/>
    <cellStyle name="Ausgabe 2 2 4 2 6 2" xfId="3589"/>
    <cellStyle name="Ausgabe 2 2 4 2 7" xfId="174"/>
    <cellStyle name="Ausgabe 2 2 4 2 7 2" xfId="3590"/>
    <cellStyle name="Ausgabe 2 2 4 2 8" xfId="175"/>
    <cellStyle name="Ausgabe 2 2 4 2 8 2" xfId="3591"/>
    <cellStyle name="Ausgabe 2 2 4 2 9" xfId="3574"/>
    <cellStyle name="Ausgabe 2 2 4 2_Grünland" xfId="2924"/>
    <cellStyle name="Ausgabe 2 2 4 3" xfId="176"/>
    <cellStyle name="Ausgabe 2 2 4 3 2" xfId="177"/>
    <cellStyle name="Ausgabe 2 2 4 3 2 2" xfId="3593"/>
    <cellStyle name="Ausgabe 2 2 4 3 3" xfId="178"/>
    <cellStyle name="Ausgabe 2 2 4 3 3 2" xfId="3594"/>
    <cellStyle name="Ausgabe 2 2 4 3 4" xfId="179"/>
    <cellStyle name="Ausgabe 2 2 4 3 4 2" xfId="3595"/>
    <cellStyle name="Ausgabe 2 2 4 3 5" xfId="180"/>
    <cellStyle name="Ausgabe 2 2 4 3 5 2" xfId="3596"/>
    <cellStyle name="Ausgabe 2 2 4 3 6" xfId="181"/>
    <cellStyle name="Ausgabe 2 2 4 3 6 2" xfId="3597"/>
    <cellStyle name="Ausgabe 2 2 4 3 7" xfId="3592"/>
    <cellStyle name="Ausgabe 2 2 4 3_Grünland" xfId="2927"/>
    <cellStyle name="Ausgabe 2 2 4 4" xfId="182"/>
    <cellStyle name="Ausgabe 2 2 4 4 2" xfId="183"/>
    <cellStyle name="Ausgabe 2 2 4 4 2 2" xfId="3599"/>
    <cellStyle name="Ausgabe 2 2 4 4 3" xfId="184"/>
    <cellStyle name="Ausgabe 2 2 4 4 3 2" xfId="3600"/>
    <cellStyle name="Ausgabe 2 2 4 4 4" xfId="185"/>
    <cellStyle name="Ausgabe 2 2 4 4 4 2" xfId="3601"/>
    <cellStyle name="Ausgabe 2 2 4 4 5" xfId="186"/>
    <cellStyle name="Ausgabe 2 2 4 4 5 2" xfId="3602"/>
    <cellStyle name="Ausgabe 2 2 4 4 6" xfId="187"/>
    <cellStyle name="Ausgabe 2 2 4 4 6 2" xfId="3603"/>
    <cellStyle name="Ausgabe 2 2 4 4 7" xfId="3598"/>
    <cellStyle name="Ausgabe 2 2 4 4_Grünland" xfId="2928"/>
    <cellStyle name="Ausgabe 2 2 4 5" xfId="188"/>
    <cellStyle name="Ausgabe 2 2 4 5 2" xfId="189"/>
    <cellStyle name="Ausgabe 2 2 4 5 2 2" xfId="3605"/>
    <cellStyle name="Ausgabe 2 2 4 5 3" xfId="190"/>
    <cellStyle name="Ausgabe 2 2 4 5 3 2" xfId="3606"/>
    <cellStyle name="Ausgabe 2 2 4 5 4" xfId="191"/>
    <cellStyle name="Ausgabe 2 2 4 5 4 2" xfId="3607"/>
    <cellStyle name="Ausgabe 2 2 4 5 5" xfId="192"/>
    <cellStyle name="Ausgabe 2 2 4 5 5 2" xfId="3608"/>
    <cellStyle name="Ausgabe 2 2 4 5 6" xfId="3604"/>
    <cellStyle name="Ausgabe 2 2 4 5_Grünland" xfId="2929"/>
    <cellStyle name="Ausgabe 2 2 4 6" xfId="193"/>
    <cellStyle name="Ausgabe 2 2 4 6 2" xfId="3609"/>
    <cellStyle name="Ausgabe 2 2 4 7" xfId="194"/>
    <cellStyle name="Ausgabe 2 2 4 7 2" xfId="3610"/>
    <cellStyle name="Ausgabe 2 2 4 8" xfId="3573"/>
    <cellStyle name="Ausgabe 2 2 4_Grünland" xfId="2923"/>
    <cellStyle name="Ausgabe 2 2 5" xfId="195"/>
    <cellStyle name="Ausgabe 2 2 5 2" xfId="196"/>
    <cellStyle name="Ausgabe 2 2 5 2 2" xfId="197"/>
    <cellStyle name="Ausgabe 2 2 5 2 2 2" xfId="3613"/>
    <cellStyle name="Ausgabe 2 2 5 2 3" xfId="198"/>
    <cellStyle name="Ausgabe 2 2 5 2 3 2" xfId="3614"/>
    <cellStyle name="Ausgabe 2 2 5 2 4" xfId="199"/>
    <cellStyle name="Ausgabe 2 2 5 2 4 2" xfId="3615"/>
    <cellStyle name="Ausgabe 2 2 5 2 5" xfId="200"/>
    <cellStyle name="Ausgabe 2 2 5 2 5 2" xfId="3616"/>
    <cellStyle name="Ausgabe 2 2 5 2 6" xfId="201"/>
    <cellStyle name="Ausgabe 2 2 5 2 6 2" xfId="3617"/>
    <cellStyle name="Ausgabe 2 2 5 2 7" xfId="3612"/>
    <cellStyle name="Ausgabe 2 2 5 2_Grünland" xfId="2931"/>
    <cellStyle name="Ausgabe 2 2 5 3" xfId="202"/>
    <cellStyle name="Ausgabe 2 2 5 3 2" xfId="203"/>
    <cellStyle name="Ausgabe 2 2 5 3 2 2" xfId="3619"/>
    <cellStyle name="Ausgabe 2 2 5 3 3" xfId="204"/>
    <cellStyle name="Ausgabe 2 2 5 3 3 2" xfId="3620"/>
    <cellStyle name="Ausgabe 2 2 5 3 4" xfId="205"/>
    <cellStyle name="Ausgabe 2 2 5 3 4 2" xfId="3621"/>
    <cellStyle name="Ausgabe 2 2 5 3 5" xfId="206"/>
    <cellStyle name="Ausgabe 2 2 5 3 5 2" xfId="3622"/>
    <cellStyle name="Ausgabe 2 2 5 3 6" xfId="207"/>
    <cellStyle name="Ausgabe 2 2 5 3 6 2" xfId="3623"/>
    <cellStyle name="Ausgabe 2 2 5 3 7" xfId="3618"/>
    <cellStyle name="Ausgabe 2 2 5 3_Grünland" xfId="2932"/>
    <cellStyle name="Ausgabe 2 2 5 4" xfId="208"/>
    <cellStyle name="Ausgabe 2 2 5 4 2" xfId="3624"/>
    <cellStyle name="Ausgabe 2 2 5 5" xfId="209"/>
    <cellStyle name="Ausgabe 2 2 5 5 2" xfId="3625"/>
    <cellStyle name="Ausgabe 2 2 5 6" xfId="210"/>
    <cellStyle name="Ausgabe 2 2 5 6 2" xfId="3626"/>
    <cellStyle name="Ausgabe 2 2 5 7" xfId="211"/>
    <cellStyle name="Ausgabe 2 2 5 7 2" xfId="3627"/>
    <cellStyle name="Ausgabe 2 2 5 8" xfId="212"/>
    <cellStyle name="Ausgabe 2 2 5 8 2" xfId="3628"/>
    <cellStyle name="Ausgabe 2 2 5 9" xfId="3611"/>
    <cellStyle name="Ausgabe 2 2 5_Grünland" xfId="2930"/>
    <cellStyle name="Ausgabe 2 2 6" xfId="213"/>
    <cellStyle name="Ausgabe 2 2 6 2" xfId="214"/>
    <cellStyle name="Ausgabe 2 2 6 2 2" xfId="3630"/>
    <cellStyle name="Ausgabe 2 2 6 3" xfId="215"/>
    <cellStyle name="Ausgabe 2 2 6 3 2" xfId="3631"/>
    <cellStyle name="Ausgabe 2 2 6 4" xfId="216"/>
    <cellStyle name="Ausgabe 2 2 6 4 2" xfId="3632"/>
    <cellStyle name="Ausgabe 2 2 6 5" xfId="217"/>
    <cellStyle name="Ausgabe 2 2 6 5 2" xfId="3633"/>
    <cellStyle name="Ausgabe 2 2 6 6" xfId="218"/>
    <cellStyle name="Ausgabe 2 2 6 6 2" xfId="3634"/>
    <cellStyle name="Ausgabe 2 2 6 7" xfId="3629"/>
    <cellStyle name="Ausgabe 2 2 6_Grünland" xfId="2933"/>
    <cellStyle name="Ausgabe 2 2 7" xfId="219"/>
    <cellStyle name="Ausgabe 2 2 7 2" xfId="220"/>
    <cellStyle name="Ausgabe 2 2 7 2 2" xfId="3636"/>
    <cellStyle name="Ausgabe 2 2 7 3" xfId="221"/>
    <cellStyle name="Ausgabe 2 2 7 3 2" xfId="3637"/>
    <cellStyle name="Ausgabe 2 2 7 4" xfId="222"/>
    <cellStyle name="Ausgabe 2 2 7 4 2" xfId="3638"/>
    <cellStyle name="Ausgabe 2 2 7 5" xfId="223"/>
    <cellStyle name="Ausgabe 2 2 7 5 2" xfId="3639"/>
    <cellStyle name="Ausgabe 2 2 7 6" xfId="224"/>
    <cellStyle name="Ausgabe 2 2 7 6 2" xfId="3640"/>
    <cellStyle name="Ausgabe 2 2 7 7" xfId="3635"/>
    <cellStyle name="Ausgabe 2 2 7_Grünland" xfId="2934"/>
    <cellStyle name="Ausgabe 2 2 8" xfId="225"/>
    <cellStyle name="Ausgabe 2 2 8 2" xfId="3641"/>
    <cellStyle name="Ausgabe 2 2 9" xfId="226"/>
    <cellStyle name="Ausgabe 2 2 9 2" xfId="3642"/>
    <cellStyle name="Ausgabe 2 2_Grünland" xfId="2895"/>
    <cellStyle name="Ausgabe 2 3" xfId="227"/>
    <cellStyle name="Ausgabe 2 3 2" xfId="228"/>
    <cellStyle name="Ausgabe 2 3 2 2" xfId="229"/>
    <cellStyle name="Ausgabe 2 3 2 2 2" xfId="230"/>
    <cellStyle name="Ausgabe 2 3 2 2 2 2" xfId="231"/>
    <cellStyle name="Ausgabe 2 3 2 2 2 2 2" xfId="3647"/>
    <cellStyle name="Ausgabe 2 3 2 2 2 3" xfId="232"/>
    <cellStyle name="Ausgabe 2 3 2 2 2 3 2" xfId="3648"/>
    <cellStyle name="Ausgabe 2 3 2 2 2 4" xfId="233"/>
    <cellStyle name="Ausgabe 2 3 2 2 2 4 2" xfId="3649"/>
    <cellStyle name="Ausgabe 2 3 2 2 2 5" xfId="234"/>
    <cellStyle name="Ausgabe 2 3 2 2 2 5 2" xfId="3650"/>
    <cellStyle name="Ausgabe 2 3 2 2 2 6" xfId="235"/>
    <cellStyle name="Ausgabe 2 3 2 2 2 6 2" xfId="3651"/>
    <cellStyle name="Ausgabe 2 3 2 2 2 7" xfId="3646"/>
    <cellStyle name="Ausgabe 2 3 2 2 2_Grünland" xfId="2938"/>
    <cellStyle name="Ausgabe 2 3 2 2 3" xfId="236"/>
    <cellStyle name="Ausgabe 2 3 2 2 3 2" xfId="237"/>
    <cellStyle name="Ausgabe 2 3 2 2 3 2 2" xfId="3653"/>
    <cellStyle name="Ausgabe 2 3 2 2 3 3" xfId="238"/>
    <cellStyle name="Ausgabe 2 3 2 2 3 3 2" xfId="3654"/>
    <cellStyle name="Ausgabe 2 3 2 2 3 4" xfId="239"/>
    <cellStyle name="Ausgabe 2 3 2 2 3 4 2" xfId="3655"/>
    <cellStyle name="Ausgabe 2 3 2 2 3 5" xfId="240"/>
    <cellStyle name="Ausgabe 2 3 2 2 3 5 2" xfId="3656"/>
    <cellStyle name="Ausgabe 2 3 2 2 3 6" xfId="241"/>
    <cellStyle name="Ausgabe 2 3 2 2 3 6 2" xfId="3657"/>
    <cellStyle name="Ausgabe 2 3 2 2 3 7" xfId="3652"/>
    <cellStyle name="Ausgabe 2 3 2 2 3_Grünland" xfId="2939"/>
    <cellStyle name="Ausgabe 2 3 2 2 4" xfId="242"/>
    <cellStyle name="Ausgabe 2 3 2 2 4 2" xfId="3658"/>
    <cellStyle name="Ausgabe 2 3 2 2 5" xfId="243"/>
    <cellStyle name="Ausgabe 2 3 2 2 5 2" xfId="3659"/>
    <cellStyle name="Ausgabe 2 3 2 2 6" xfId="244"/>
    <cellStyle name="Ausgabe 2 3 2 2 6 2" xfId="3660"/>
    <cellStyle name="Ausgabe 2 3 2 2 7" xfId="245"/>
    <cellStyle name="Ausgabe 2 3 2 2 7 2" xfId="3661"/>
    <cellStyle name="Ausgabe 2 3 2 2 8" xfId="246"/>
    <cellStyle name="Ausgabe 2 3 2 2 8 2" xfId="3662"/>
    <cellStyle name="Ausgabe 2 3 2 2 9" xfId="3645"/>
    <cellStyle name="Ausgabe 2 3 2 2_Grünland" xfId="2937"/>
    <cellStyle name="Ausgabe 2 3 2 3" xfId="247"/>
    <cellStyle name="Ausgabe 2 3 2 3 2" xfId="248"/>
    <cellStyle name="Ausgabe 2 3 2 3 2 2" xfId="3664"/>
    <cellStyle name="Ausgabe 2 3 2 3 3" xfId="249"/>
    <cellStyle name="Ausgabe 2 3 2 3 3 2" xfId="3665"/>
    <cellStyle name="Ausgabe 2 3 2 3 4" xfId="250"/>
    <cellStyle name="Ausgabe 2 3 2 3 4 2" xfId="3666"/>
    <cellStyle name="Ausgabe 2 3 2 3 5" xfId="251"/>
    <cellStyle name="Ausgabe 2 3 2 3 5 2" xfId="3667"/>
    <cellStyle name="Ausgabe 2 3 2 3 6" xfId="252"/>
    <cellStyle name="Ausgabe 2 3 2 3 6 2" xfId="3668"/>
    <cellStyle name="Ausgabe 2 3 2 3 7" xfId="3663"/>
    <cellStyle name="Ausgabe 2 3 2 3_Grünland" xfId="2940"/>
    <cellStyle name="Ausgabe 2 3 2 4" xfId="253"/>
    <cellStyle name="Ausgabe 2 3 2 4 2" xfId="254"/>
    <cellStyle name="Ausgabe 2 3 2 4 2 2" xfId="3670"/>
    <cellStyle name="Ausgabe 2 3 2 4 3" xfId="255"/>
    <cellStyle name="Ausgabe 2 3 2 4 3 2" xfId="3671"/>
    <cellStyle name="Ausgabe 2 3 2 4 4" xfId="256"/>
    <cellStyle name="Ausgabe 2 3 2 4 4 2" xfId="3672"/>
    <cellStyle name="Ausgabe 2 3 2 4 5" xfId="257"/>
    <cellStyle name="Ausgabe 2 3 2 4 5 2" xfId="3673"/>
    <cellStyle name="Ausgabe 2 3 2 4 6" xfId="258"/>
    <cellStyle name="Ausgabe 2 3 2 4 6 2" xfId="3674"/>
    <cellStyle name="Ausgabe 2 3 2 4 7" xfId="3669"/>
    <cellStyle name="Ausgabe 2 3 2 4_Grünland" xfId="2941"/>
    <cellStyle name="Ausgabe 2 3 2 5" xfId="259"/>
    <cellStyle name="Ausgabe 2 3 2 5 2" xfId="260"/>
    <cellStyle name="Ausgabe 2 3 2 5 2 2" xfId="3676"/>
    <cellStyle name="Ausgabe 2 3 2 5 3" xfId="261"/>
    <cellStyle name="Ausgabe 2 3 2 5 3 2" xfId="3677"/>
    <cellStyle name="Ausgabe 2 3 2 5 4" xfId="262"/>
    <cellStyle name="Ausgabe 2 3 2 5 4 2" xfId="3678"/>
    <cellStyle name="Ausgabe 2 3 2 5 5" xfId="263"/>
    <cellStyle name="Ausgabe 2 3 2 5 5 2" xfId="3679"/>
    <cellStyle name="Ausgabe 2 3 2 5 6" xfId="3675"/>
    <cellStyle name="Ausgabe 2 3 2 5_Grünland" xfId="2942"/>
    <cellStyle name="Ausgabe 2 3 2 6" xfId="264"/>
    <cellStyle name="Ausgabe 2 3 2 6 2" xfId="3680"/>
    <cellStyle name="Ausgabe 2 3 2 7" xfId="265"/>
    <cellStyle name="Ausgabe 2 3 2 7 2" xfId="3681"/>
    <cellStyle name="Ausgabe 2 3 2 8" xfId="3644"/>
    <cellStyle name="Ausgabe 2 3 2_Grünland" xfId="2936"/>
    <cellStyle name="Ausgabe 2 3 3" xfId="266"/>
    <cellStyle name="Ausgabe 2 3 3 2" xfId="267"/>
    <cellStyle name="Ausgabe 2 3 3 2 2" xfId="268"/>
    <cellStyle name="Ausgabe 2 3 3 2 2 2" xfId="269"/>
    <cellStyle name="Ausgabe 2 3 3 2 2 2 2" xfId="3685"/>
    <cellStyle name="Ausgabe 2 3 3 2 2 3" xfId="270"/>
    <cellStyle name="Ausgabe 2 3 3 2 2 3 2" xfId="3686"/>
    <cellStyle name="Ausgabe 2 3 3 2 2 4" xfId="271"/>
    <cellStyle name="Ausgabe 2 3 3 2 2 4 2" xfId="3687"/>
    <cellStyle name="Ausgabe 2 3 3 2 2 5" xfId="272"/>
    <cellStyle name="Ausgabe 2 3 3 2 2 5 2" xfId="3688"/>
    <cellStyle name="Ausgabe 2 3 3 2 2 6" xfId="273"/>
    <cellStyle name="Ausgabe 2 3 3 2 2 6 2" xfId="3689"/>
    <cellStyle name="Ausgabe 2 3 3 2 2 7" xfId="3684"/>
    <cellStyle name="Ausgabe 2 3 3 2 2_Grünland" xfId="2945"/>
    <cellStyle name="Ausgabe 2 3 3 2 3" xfId="274"/>
    <cellStyle name="Ausgabe 2 3 3 2 3 2" xfId="275"/>
    <cellStyle name="Ausgabe 2 3 3 2 3 2 2" xfId="3691"/>
    <cellStyle name="Ausgabe 2 3 3 2 3 3" xfId="276"/>
    <cellStyle name="Ausgabe 2 3 3 2 3 3 2" xfId="3692"/>
    <cellStyle name="Ausgabe 2 3 3 2 3 4" xfId="277"/>
    <cellStyle name="Ausgabe 2 3 3 2 3 4 2" xfId="3693"/>
    <cellStyle name="Ausgabe 2 3 3 2 3 5" xfId="278"/>
    <cellStyle name="Ausgabe 2 3 3 2 3 5 2" xfId="3694"/>
    <cellStyle name="Ausgabe 2 3 3 2 3 6" xfId="279"/>
    <cellStyle name="Ausgabe 2 3 3 2 3 6 2" xfId="3695"/>
    <cellStyle name="Ausgabe 2 3 3 2 3 7" xfId="3690"/>
    <cellStyle name="Ausgabe 2 3 3 2 3_Grünland" xfId="2946"/>
    <cellStyle name="Ausgabe 2 3 3 2 4" xfId="280"/>
    <cellStyle name="Ausgabe 2 3 3 2 4 2" xfId="3696"/>
    <cellStyle name="Ausgabe 2 3 3 2 5" xfId="281"/>
    <cellStyle name="Ausgabe 2 3 3 2 5 2" xfId="3697"/>
    <cellStyle name="Ausgabe 2 3 3 2 6" xfId="282"/>
    <cellStyle name="Ausgabe 2 3 3 2 6 2" xfId="3698"/>
    <cellStyle name="Ausgabe 2 3 3 2 7" xfId="283"/>
    <cellStyle name="Ausgabe 2 3 3 2 7 2" xfId="3699"/>
    <cellStyle name="Ausgabe 2 3 3 2 8" xfId="284"/>
    <cellStyle name="Ausgabe 2 3 3 2 8 2" xfId="3700"/>
    <cellStyle name="Ausgabe 2 3 3 2 9" xfId="3683"/>
    <cellStyle name="Ausgabe 2 3 3 2_Grünland" xfId="2944"/>
    <cellStyle name="Ausgabe 2 3 3 3" xfId="285"/>
    <cellStyle name="Ausgabe 2 3 3 3 2" xfId="286"/>
    <cellStyle name="Ausgabe 2 3 3 3 2 2" xfId="3702"/>
    <cellStyle name="Ausgabe 2 3 3 3 3" xfId="287"/>
    <cellStyle name="Ausgabe 2 3 3 3 3 2" xfId="3703"/>
    <cellStyle name="Ausgabe 2 3 3 3 4" xfId="288"/>
    <cellStyle name="Ausgabe 2 3 3 3 4 2" xfId="3704"/>
    <cellStyle name="Ausgabe 2 3 3 3 5" xfId="289"/>
    <cellStyle name="Ausgabe 2 3 3 3 5 2" xfId="3705"/>
    <cellStyle name="Ausgabe 2 3 3 3 6" xfId="290"/>
    <cellStyle name="Ausgabe 2 3 3 3 6 2" xfId="3706"/>
    <cellStyle name="Ausgabe 2 3 3 3 7" xfId="3701"/>
    <cellStyle name="Ausgabe 2 3 3 3_Grünland" xfId="2947"/>
    <cellStyle name="Ausgabe 2 3 3 4" xfId="291"/>
    <cellStyle name="Ausgabe 2 3 3 4 2" xfId="292"/>
    <cellStyle name="Ausgabe 2 3 3 4 2 2" xfId="3708"/>
    <cellStyle name="Ausgabe 2 3 3 4 3" xfId="293"/>
    <cellStyle name="Ausgabe 2 3 3 4 3 2" xfId="3709"/>
    <cellStyle name="Ausgabe 2 3 3 4 4" xfId="294"/>
    <cellStyle name="Ausgabe 2 3 3 4 4 2" xfId="3710"/>
    <cellStyle name="Ausgabe 2 3 3 4 5" xfId="295"/>
    <cellStyle name="Ausgabe 2 3 3 4 5 2" xfId="3711"/>
    <cellStyle name="Ausgabe 2 3 3 4 6" xfId="296"/>
    <cellStyle name="Ausgabe 2 3 3 4 6 2" xfId="3712"/>
    <cellStyle name="Ausgabe 2 3 3 4 7" xfId="3707"/>
    <cellStyle name="Ausgabe 2 3 3 4_Grünland" xfId="2948"/>
    <cellStyle name="Ausgabe 2 3 3 5" xfId="297"/>
    <cellStyle name="Ausgabe 2 3 3 5 2" xfId="298"/>
    <cellStyle name="Ausgabe 2 3 3 5 2 2" xfId="3714"/>
    <cellStyle name="Ausgabe 2 3 3 5 3" xfId="299"/>
    <cellStyle name="Ausgabe 2 3 3 5 3 2" xfId="3715"/>
    <cellStyle name="Ausgabe 2 3 3 5 4" xfId="300"/>
    <cellStyle name="Ausgabe 2 3 3 5 4 2" xfId="3716"/>
    <cellStyle name="Ausgabe 2 3 3 5 5" xfId="301"/>
    <cellStyle name="Ausgabe 2 3 3 5 5 2" xfId="3717"/>
    <cellStyle name="Ausgabe 2 3 3 5 6" xfId="3713"/>
    <cellStyle name="Ausgabe 2 3 3 5_Grünland" xfId="2949"/>
    <cellStyle name="Ausgabe 2 3 3 6" xfId="302"/>
    <cellStyle name="Ausgabe 2 3 3 6 2" xfId="3718"/>
    <cellStyle name="Ausgabe 2 3 3 7" xfId="303"/>
    <cellStyle name="Ausgabe 2 3 3 7 2" xfId="3719"/>
    <cellStyle name="Ausgabe 2 3 3 8" xfId="3682"/>
    <cellStyle name="Ausgabe 2 3 3_Grünland" xfId="2943"/>
    <cellStyle name="Ausgabe 2 3 4" xfId="304"/>
    <cellStyle name="Ausgabe 2 3 4 2" xfId="305"/>
    <cellStyle name="Ausgabe 2 3 4 2 2" xfId="306"/>
    <cellStyle name="Ausgabe 2 3 4 2 2 2" xfId="3722"/>
    <cellStyle name="Ausgabe 2 3 4 2 3" xfId="307"/>
    <cellStyle name="Ausgabe 2 3 4 2 3 2" xfId="3723"/>
    <cellStyle name="Ausgabe 2 3 4 2 4" xfId="308"/>
    <cellStyle name="Ausgabe 2 3 4 2 4 2" xfId="3724"/>
    <cellStyle name="Ausgabe 2 3 4 2 5" xfId="309"/>
    <cellStyle name="Ausgabe 2 3 4 2 5 2" xfId="3725"/>
    <cellStyle name="Ausgabe 2 3 4 2 6" xfId="310"/>
    <cellStyle name="Ausgabe 2 3 4 2 6 2" xfId="3726"/>
    <cellStyle name="Ausgabe 2 3 4 2 7" xfId="3721"/>
    <cellStyle name="Ausgabe 2 3 4 2_Grünland" xfId="2951"/>
    <cellStyle name="Ausgabe 2 3 4 3" xfId="311"/>
    <cellStyle name="Ausgabe 2 3 4 3 2" xfId="312"/>
    <cellStyle name="Ausgabe 2 3 4 3 2 2" xfId="3728"/>
    <cellStyle name="Ausgabe 2 3 4 3 3" xfId="313"/>
    <cellStyle name="Ausgabe 2 3 4 3 3 2" xfId="3729"/>
    <cellStyle name="Ausgabe 2 3 4 3 4" xfId="314"/>
    <cellStyle name="Ausgabe 2 3 4 3 4 2" xfId="3730"/>
    <cellStyle name="Ausgabe 2 3 4 3 5" xfId="315"/>
    <cellStyle name="Ausgabe 2 3 4 3 5 2" xfId="3731"/>
    <cellStyle name="Ausgabe 2 3 4 3 6" xfId="316"/>
    <cellStyle name="Ausgabe 2 3 4 3 6 2" xfId="3732"/>
    <cellStyle name="Ausgabe 2 3 4 3 7" xfId="3727"/>
    <cellStyle name="Ausgabe 2 3 4 3_Grünland" xfId="2952"/>
    <cellStyle name="Ausgabe 2 3 4 4" xfId="317"/>
    <cellStyle name="Ausgabe 2 3 4 4 2" xfId="3733"/>
    <cellStyle name="Ausgabe 2 3 4 5" xfId="318"/>
    <cellStyle name="Ausgabe 2 3 4 5 2" xfId="3734"/>
    <cellStyle name="Ausgabe 2 3 4 6" xfId="319"/>
    <cellStyle name="Ausgabe 2 3 4 6 2" xfId="3735"/>
    <cellStyle name="Ausgabe 2 3 4 7" xfId="320"/>
    <cellStyle name="Ausgabe 2 3 4 7 2" xfId="3736"/>
    <cellStyle name="Ausgabe 2 3 4 8" xfId="321"/>
    <cellStyle name="Ausgabe 2 3 4 8 2" xfId="3737"/>
    <cellStyle name="Ausgabe 2 3 4 9" xfId="3720"/>
    <cellStyle name="Ausgabe 2 3 4_Grünland" xfId="2950"/>
    <cellStyle name="Ausgabe 2 3 5" xfId="322"/>
    <cellStyle name="Ausgabe 2 3 5 2" xfId="323"/>
    <cellStyle name="Ausgabe 2 3 5 2 2" xfId="3739"/>
    <cellStyle name="Ausgabe 2 3 5 3" xfId="324"/>
    <cellStyle name="Ausgabe 2 3 5 3 2" xfId="3740"/>
    <cellStyle name="Ausgabe 2 3 5 4" xfId="325"/>
    <cellStyle name="Ausgabe 2 3 5 4 2" xfId="3741"/>
    <cellStyle name="Ausgabe 2 3 5 5" xfId="326"/>
    <cellStyle name="Ausgabe 2 3 5 5 2" xfId="3742"/>
    <cellStyle name="Ausgabe 2 3 5 6" xfId="327"/>
    <cellStyle name="Ausgabe 2 3 5 6 2" xfId="3743"/>
    <cellStyle name="Ausgabe 2 3 5 7" xfId="3738"/>
    <cellStyle name="Ausgabe 2 3 5_Grünland" xfId="2953"/>
    <cellStyle name="Ausgabe 2 3 6" xfId="328"/>
    <cellStyle name="Ausgabe 2 3 6 2" xfId="329"/>
    <cellStyle name="Ausgabe 2 3 6 2 2" xfId="3745"/>
    <cellStyle name="Ausgabe 2 3 6 3" xfId="330"/>
    <cellStyle name="Ausgabe 2 3 6 3 2" xfId="3746"/>
    <cellStyle name="Ausgabe 2 3 6 4" xfId="331"/>
    <cellStyle name="Ausgabe 2 3 6 4 2" xfId="3747"/>
    <cellStyle name="Ausgabe 2 3 6 5" xfId="332"/>
    <cellStyle name="Ausgabe 2 3 6 5 2" xfId="3748"/>
    <cellStyle name="Ausgabe 2 3 6 6" xfId="333"/>
    <cellStyle name="Ausgabe 2 3 6 6 2" xfId="3749"/>
    <cellStyle name="Ausgabe 2 3 6 7" xfId="3744"/>
    <cellStyle name="Ausgabe 2 3 6_Grünland" xfId="2954"/>
    <cellStyle name="Ausgabe 2 3 7" xfId="334"/>
    <cellStyle name="Ausgabe 2 3 7 2" xfId="3750"/>
    <cellStyle name="Ausgabe 2 3 8" xfId="335"/>
    <cellStyle name="Ausgabe 2 3 8 2" xfId="3751"/>
    <cellStyle name="Ausgabe 2 3 9" xfId="3643"/>
    <cellStyle name="Ausgabe 2 3_Grünland" xfId="2935"/>
    <cellStyle name="Ausgabe 2 4" xfId="336"/>
    <cellStyle name="Ausgabe 2 4 2" xfId="337"/>
    <cellStyle name="Ausgabe 2 4 2 2" xfId="338"/>
    <cellStyle name="Ausgabe 2 4 2 2 2" xfId="339"/>
    <cellStyle name="Ausgabe 2 4 2 2 2 2" xfId="3755"/>
    <cellStyle name="Ausgabe 2 4 2 2 3" xfId="340"/>
    <cellStyle name="Ausgabe 2 4 2 2 3 2" xfId="3756"/>
    <cellStyle name="Ausgabe 2 4 2 2 4" xfId="341"/>
    <cellStyle name="Ausgabe 2 4 2 2 4 2" xfId="3757"/>
    <cellStyle name="Ausgabe 2 4 2 2 5" xfId="342"/>
    <cellStyle name="Ausgabe 2 4 2 2 5 2" xfId="3758"/>
    <cellStyle name="Ausgabe 2 4 2 2 6" xfId="343"/>
    <cellStyle name="Ausgabe 2 4 2 2 6 2" xfId="3759"/>
    <cellStyle name="Ausgabe 2 4 2 2 7" xfId="3754"/>
    <cellStyle name="Ausgabe 2 4 2 2_Grünland" xfId="2957"/>
    <cellStyle name="Ausgabe 2 4 2 3" xfId="344"/>
    <cellStyle name="Ausgabe 2 4 2 3 2" xfId="345"/>
    <cellStyle name="Ausgabe 2 4 2 3 2 2" xfId="3761"/>
    <cellStyle name="Ausgabe 2 4 2 3 3" xfId="346"/>
    <cellStyle name="Ausgabe 2 4 2 3 3 2" xfId="3762"/>
    <cellStyle name="Ausgabe 2 4 2 3 4" xfId="347"/>
    <cellStyle name="Ausgabe 2 4 2 3 4 2" xfId="3763"/>
    <cellStyle name="Ausgabe 2 4 2 3 5" xfId="348"/>
    <cellStyle name="Ausgabe 2 4 2 3 5 2" xfId="3764"/>
    <cellStyle name="Ausgabe 2 4 2 3 6" xfId="349"/>
    <cellStyle name="Ausgabe 2 4 2 3 6 2" xfId="3765"/>
    <cellStyle name="Ausgabe 2 4 2 3 7" xfId="3760"/>
    <cellStyle name="Ausgabe 2 4 2 3_Grünland" xfId="2958"/>
    <cellStyle name="Ausgabe 2 4 2 4" xfId="350"/>
    <cellStyle name="Ausgabe 2 4 2 4 2" xfId="3766"/>
    <cellStyle name="Ausgabe 2 4 2 5" xfId="351"/>
    <cellStyle name="Ausgabe 2 4 2 5 2" xfId="3767"/>
    <cellStyle name="Ausgabe 2 4 2 6" xfId="352"/>
    <cellStyle name="Ausgabe 2 4 2 6 2" xfId="3768"/>
    <cellStyle name="Ausgabe 2 4 2 7" xfId="353"/>
    <cellStyle name="Ausgabe 2 4 2 7 2" xfId="3769"/>
    <cellStyle name="Ausgabe 2 4 2 8" xfId="354"/>
    <cellStyle name="Ausgabe 2 4 2 8 2" xfId="3770"/>
    <cellStyle name="Ausgabe 2 4 2 9" xfId="3753"/>
    <cellStyle name="Ausgabe 2 4 2_Grünland" xfId="2956"/>
    <cellStyle name="Ausgabe 2 4 3" xfId="355"/>
    <cellStyle name="Ausgabe 2 4 3 2" xfId="356"/>
    <cellStyle name="Ausgabe 2 4 3 2 2" xfId="3772"/>
    <cellStyle name="Ausgabe 2 4 3 3" xfId="357"/>
    <cellStyle name="Ausgabe 2 4 3 3 2" xfId="3773"/>
    <cellStyle name="Ausgabe 2 4 3 4" xfId="358"/>
    <cellStyle name="Ausgabe 2 4 3 4 2" xfId="3774"/>
    <cellStyle name="Ausgabe 2 4 3 5" xfId="359"/>
    <cellStyle name="Ausgabe 2 4 3 5 2" xfId="3775"/>
    <cellStyle name="Ausgabe 2 4 3 6" xfId="360"/>
    <cellStyle name="Ausgabe 2 4 3 6 2" xfId="3776"/>
    <cellStyle name="Ausgabe 2 4 3 7" xfId="3771"/>
    <cellStyle name="Ausgabe 2 4 3_Grünland" xfId="2959"/>
    <cellStyle name="Ausgabe 2 4 4" xfId="361"/>
    <cellStyle name="Ausgabe 2 4 4 2" xfId="362"/>
    <cellStyle name="Ausgabe 2 4 4 2 2" xfId="3778"/>
    <cellStyle name="Ausgabe 2 4 4 3" xfId="363"/>
    <cellStyle name="Ausgabe 2 4 4 3 2" xfId="3779"/>
    <cellStyle name="Ausgabe 2 4 4 4" xfId="364"/>
    <cellStyle name="Ausgabe 2 4 4 4 2" xfId="3780"/>
    <cellStyle name="Ausgabe 2 4 4 5" xfId="365"/>
    <cellStyle name="Ausgabe 2 4 4 5 2" xfId="3781"/>
    <cellStyle name="Ausgabe 2 4 4 6" xfId="366"/>
    <cellStyle name="Ausgabe 2 4 4 6 2" xfId="3782"/>
    <cellStyle name="Ausgabe 2 4 4 7" xfId="3777"/>
    <cellStyle name="Ausgabe 2 4 4_Grünland" xfId="2960"/>
    <cellStyle name="Ausgabe 2 4 5" xfId="367"/>
    <cellStyle name="Ausgabe 2 4 5 2" xfId="368"/>
    <cellStyle name="Ausgabe 2 4 5 2 2" xfId="3784"/>
    <cellStyle name="Ausgabe 2 4 5 3" xfId="369"/>
    <cellStyle name="Ausgabe 2 4 5 3 2" xfId="3785"/>
    <cellStyle name="Ausgabe 2 4 5 4" xfId="370"/>
    <cellStyle name="Ausgabe 2 4 5 4 2" xfId="3786"/>
    <cellStyle name="Ausgabe 2 4 5 5" xfId="371"/>
    <cellStyle name="Ausgabe 2 4 5 5 2" xfId="3787"/>
    <cellStyle name="Ausgabe 2 4 5 6" xfId="3783"/>
    <cellStyle name="Ausgabe 2 4 5_Grünland" xfId="2961"/>
    <cellStyle name="Ausgabe 2 4 6" xfId="372"/>
    <cellStyle name="Ausgabe 2 4 6 2" xfId="3788"/>
    <cellStyle name="Ausgabe 2 4 7" xfId="373"/>
    <cellStyle name="Ausgabe 2 4 7 2" xfId="3789"/>
    <cellStyle name="Ausgabe 2 4 8" xfId="3752"/>
    <cellStyle name="Ausgabe 2 4_Grünland" xfId="2955"/>
    <cellStyle name="Ausgabe 2 5" xfId="374"/>
    <cellStyle name="Ausgabe 2 5 2" xfId="375"/>
    <cellStyle name="Ausgabe 2 5 2 2" xfId="376"/>
    <cellStyle name="Ausgabe 2 5 2 2 2" xfId="377"/>
    <cellStyle name="Ausgabe 2 5 2 2 2 2" xfId="3793"/>
    <cellStyle name="Ausgabe 2 5 2 2 3" xfId="378"/>
    <cellStyle name="Ausgabe 2 5 2 2 3 2" xfId="3794"/>
    <cellStyle name="Ausgabe 2 5 2 2 4" xfId="379"/>
    <cellStyle name="Ausgabe 2 5 2 2 4 2" xfId="3795"/>
    <cellStyle name="Ausgabe 2 5 2 2 5" xfId="380"/>
    <cellStyle name="Ausgabe 2 5 2 2 5 2" xfId="3796"/>
    <cellStyle name="Ausgabe 2 5 2 2 6" xfId="381"/>
    <cellStyle name="Ausgabe 2 5 2 2 6 2" xfId="3797"/>
    <cellStyle name="Ausgabe 2 5 2 2 7" xfId="3792"/>
    <cellStyle name="Ausgabe 2 5 2 2_Grünland" xfId="2964"/>
    <cellStyle name="Ausgabe 2 5 2 3" xfId="382"/>
    <cellStyle name="Ausgabe 2 5 2 3 2" xfId="383"/>
    <cellStyle name="Ausgabe 2 5 2 3 2 2" xfId="3799"/>
    <cellStyle name="Ausgabe 2 5 2 3 3" xfId="384"/>
    <cellStyle name="Ausgabe 2 5 2 3 3 2" xfId="3800"/>
    <cellStyle name="Ausgabe 2 5 2 3 4" xfId="385"/>
    <cellStyle name="Ausgabe 2 5 2 3 4 2" xfId="3801"/>
    <cellStyle name="Ausgabe 2 5 2 3 5" xfId="386"/>
    <cellStyle name="Ausgabe 2 5 2 3 5 2" xfId="3802"/>
    <cellStyle name="Ausgabe 2 5 2 3 6" xfId="387"/>
    <cellStyle name="Ausgabe 2 5 2 3 6 2" xfId="3803"/>
    <cellStyle name="Ausgabe 2 5 2 3 7" xfId="3798"/>
    <cellStyle name="Ausgabe 2 5 2 3_Grünland" xfId="2965"/>
    <cellStyle name="Ausgabe 2 5 2 4" xfId="388"/>
    <cellStyle name="Ausgabe 2 5 2 4 2" xfId="3804"/>
    <cellStyle name="Ausgabe 2 5 2 5" xfId="389"/>
    <cellStyle name="Ausgabe 2 5 2 5 2" xfId="3805"/>
    <cellStyle name="Ausgabe 2 5 2 6" xfId="390"/>
    <cellStyle name="Ausgabe 2 5 2 6 2" xfId="3806"/>
    <cellStyle name="Ausgabe 2 5 2 7" xfId="391"/>
    <cellStyle name="Ausgabe 2 5 2 7 2" xfId="3807"/>
    <cellStyle name="Ausgabe 2 5 2 8" xfId="392"/>
    <cellStyle name="Ausgabe 2 5 2 8 2" xfId="3808"/>
    <cellStyle name="Ausgabe 2 5 2 9" xfId="3791"/>
    <cellStyle name="Ausgabe 2 5 2_Grünland" xfId="2963"/>
    <cellStyle name="Ausgabe 2 5 3" xfId="393"/>
    <cellStyle name="Ausgabe 2 5 3 2" xfId="394"/>
    <cellStyle name="Ausgabe 2 5 3 2 2" xfId="3810"/>
    <cellStyle name="Ausgabe 2 5 3 3" xfId="395"/>
    <cellStyle name="Ausgabe 2 5 3 3 2" xfId="3811"/>
    <cellStyle name="Ausgabe 2 5 3 4" xfId="396"/>
    <cellStyle name="Ausgabe 2 5 3 4 2" xfId="3812"/>
    <cellStyle name="Ausgabe 2 5 3 5" xfId="397"/>
    <cellStyle name="Ausgabe 2 5 3 5 2" xfId="3813"/>
    <cellStyle name="Ausgabe 2 5 3 6" xfId="398"/>
    <cellStyle name="Ausgabe 2 5 3 6 2" xfId="3814"/>
    <cellStyle name="Ausgabe 2 5 3 7" xfId="3809"/>
    <cellStyle name="Ausgabe 2 5 3_Grünland" xfId="2966"/>
    <cellStyle name="Ausgabe 2 5 4" xfId="399"/>
    <cellStyle name="Ausgabe 2 5 4 2" xfId="400"/>
    <cellStyle name="Ausgabe 2 5 4 2 2" xfId="3816"/>
    <cellStyle name="Ausgabe 2 5 4 3" xfId="401"/>
    <cellStyle name="Ausgabe 2 5 4 3 2" xfId="3817"/>
    <cellStyle name="Ausgabe 2 5 4 4" xfId="402"/>
    <cellStyle name="Ausgabe 2 5 4 4 2" xfId="3818"/>
    <cellStyle name="Ausgabe 2 5 4 5" xfId="403"/>
    <cellStyle name="Ausgabe 2 5 4 5 2" xfId="3819"/>
    <cellStyle name="Ausgabe 2 5 4 6" xfId="404"/>
    <cellStyle name="Ausgabe 2 5 4 6 2" xfId="3820"/>
    <cellStyle name="Ausgabe 2 5 4 7" xfId="3815"/>
    <cellStyle name="Ausgabe 2 5 4_Grünland" xfId="2967"/>
    <cellStyle name="Ausgabe 2 5 5" xfId="405"/>
    <cellStyle name="Ausgabe 2 5 5 2" xfId="406"/>
    <cellStyle name="Ausgabe 2 5 5 2 2" xfId="3822"/>
    <cellStyle name="Ausgabe 2 5 5 3" xfId="407"/>
    <cellStyle name="Ausgabe 2 5 5 3 2" xfId="3823"/>
    <cellStyle name="Ausgabe 2 5 5 4" xfId="408"/>
    <cellStyle name="Ausgabe 2 5 5 4 2" xfId="3824"/>
    <cellStyle name="Ausgabe 2 5 5 5" xfId="409"/>
    <cellStyle name="Ausgabe 2 5 5 5 2" xfId="3825"/>
    <cellStyle name="Ausgabe 2 5 5 6" xfId="3821"/>
    <cellStyle name="Ausgabe 2 5 5_Grünland" xfId="2968"/>
    <cellStyle name="Ausgabe 2 5 6" xfId="410"/>
    <cellStyle name="Ausgabe 2 5 6 2" xfId="3826"/>
    <cellStyle name="Ausgabe 2 5 7" xfId="411"/>
    <cellStyle name="Ausgabe 2 5 7 2" xfId="3827"/>
    <cellStyle name="Ausgabe 2 5 8" xfId="3790"/>
    <cellStyle name="Ausgabe 2 5_Grünland" xfId="2962"/>
    <cellStyle name="Ausgabe 2 6" xfId="412"/>
    <cellStyle name="Ausgabe 2 6 2" xfId="413"/>
    <cellStyle name="Ausgabe 2 6 2 2" xfId="414"/>
    <cellStyle name="Ausgabe 2 6 2 2 2" xfId="3830"/>
    <cellStyle name="Ausgabe 2 6 2 3" xfId="415"/>
    <cellStyle name="Ausgabe 2 6 2 3 2" xfId="3831"/>
    <cellStyle name="Ausgabe 2 6 2 4" xfId="416"/>
    <cellStyle name="Ausgabe 2 6 2 4 2" xfId="3832"/>
    <cellStyle name="Ausgabe 2 6 2 5" xfId="417"/>
    <cellStyle name="Ausgabe 2 6 2 5 2" xfId="3833"/>
    <cellStyle name="Ausgabe 2 6 2 6" xfId="418"/>
    <cellStyle name="Ausgabe 2 6 2 6 2" xfId="3834"/>
    <cellStyle name="Ausgabe 2 6 2 7" xfId="3829"/>
    <cellStyle name="Ausgabe 2 6 2_Grünland" xfId="2970"/>
    <cellStyle name="Ausgabe 2 6 3" xfId="419"/>
    <cellStyle name="Ausgabe 2 6 3 2" xfId="420"/>
    <cellStyle name="Ausgabe 2 6 3 2 2" xfId="3836"/>
    <cellStyle name="Ausgabe 2 6 3 3" xfId="421"/>
    <cellStyle name="Ausgabe 2 6 3 3 2" xfId="3837"/>
    <cellStyle name="Ausgabe 2 6 3 4" xfId="422"/>
    <cellStyle name="Ausgabe 2 6 3 4 2" xfId="3838"/>
    <cellStyle name="Ausgabe 2 6 3 5" xfId="423"/>
    <cellStyle name="Ausgabe 2 6 3 5 2" xfId="3839"/>
    <cellStyle name="Ausgabe 2 6 3 6" xfId="424"/>
    <cellStyle name="Ausgabe 2 6 3 6 2" xfId="3840"/>
    <cellStyle name="Ausgabe 2 6 3 7" xfId="3835"/>
    <cellStyle name="Ausgabe 2 6 3_Grünland" xfId="2971"/>
    <cellStyle name="Ausgabe 2 6 4" xfId="425"/>
    <cellStyle name="Ausgabe 2 6 4 2" xfId="3841"/>
    <cellStyle name="Ausgabe 2 6 5" xfId="426"/>
    <cellStyle name="Ausgabe 2 6 5 2" xfId="3842"/>
    <cellStyle name="Ausgabe 2 6 6" xfId="427"/>
    <cellStyle name="Ausgabe 2 6 6 2" xfId="3843"/>
    <cellStyle name="Ausgabe 2 6 7" xfId="428"/>
    <cellStyle name="Ausgabe 2 6 7 2" xfId="3844"/>
    <cellStyle name="Ausgabe 2 6 8" xfId="429"/>
    <cellStyle name="Ausgabe 2 6 8 2" xfId="3845"/>
    <cellStyle name="Ausgabe 2 6 9" xfId="3828"/>
    <cellStyle name="Ausgabe 2 6_Grünland" xfId="2969"/>
    <cellStyle name="Ausgabe 2 7" xfId="430"/>
    <cellStyle name="Ausgabe 2 7 2" xfId="431"/>
    <cellStyle name="Ausgabe 2 7 2 2" xfId="3847"/>
    <cellStyle name="Ausgabe 2 7 3" xfId="432"/>
    <cellStyle name="Ausgabe 2 7 3 2" xfId="3848"/>
    <cellStyle name="Ausgabe 2 7 4" xfId="433"/>
    <cellStyle name="Ausgabe 2 7 4 2" xfId="3849"/>
    <cellStyle name="Ausgabe 2 7 5" xfId="434"/>
    <cellStyle name="Ausgabe 2 7 5 2" xfId="3850"/>
    <cellStyle name="Ausgabe 2 7 6" xfId="435"/>
    <cellStyle name="Ausgabe 2 7 6 2" xfId="3851"/>
    <cellStyle name="Ausgabe 2 7 7" xfId="3846"/>
    <cellStyle name="Ausgabe 2 7_Grünland" xfId="2972"/>
    <cellStyle name="Ausgabe 2 8" xfId="436"/>
    <cellStyle name="Ausgabe 2 8 2" xfId="437"/>
    <cellStyle name="Ausgabe 2 8 2 2" xfId="3853"/>
    <cellStyle name="Ausgabe 2 8 3" xfId="438"/>
    <cellStyle name="Ausgabe 2 8 3 2" xfId="3854"/>
    <cellStyle name="Ausgabe 2 8 4" xfId="439"/>
    <cellStyle name="Ausgabe 2 8 4 2" xfId="3855"/>
    <cellStyle name="Ausgabe 2 8 5" xfId="440"/>
    <cellStyle name="Ausgabe 2 8 5 2" xfId="3856"/>
    <cellStyle name="Ausgabe 2 8 6" xfId="441"/>
    <cellStyle name="Ausgabe 2 8 6 2" xfId="3857"/>
    <cellStyle name="Ausgabe 2 8 7" xfId="3852"/>
    <cellStyle name="Ausgabe 2 8_Grünland" xfId="2973"/>
    <cellStyle name="Ausgabe 2 9" xfId="442"/>
    <cellStyle name="Ausgabe 2 9 2" xfId="3858"/>
    <cellStyle name="Ausgabe 2_Grünland" xfId="2894"/>
    <cellStyle name="Berechnung 2" xfId="443"/>
    <cellStyle name="Berechnung 2 10" xfId="444"/>
    <cellStyle name="Berechnung 2 10 2" xfId="3860"/>
    <cellStyle name="Berechnung 2 11" xfId="3859"/>
    <cellStyle name="Berechnung 2 2" xfId="445"/>
    <cellStyle name="Berechnung 2 2 10" xfId="3861"/>
    <cellStyle name="Berechnung 2 2 2" xfId="446"/>
    <cellStyle name="Berechnung 2 2 2 2" xfId="447"/>
    <cellStyle name="Berechnung 2 2 2 2 2" xfId="448"/>
    <cellStyle name="Berechnung 2 2 2 2 2 2" xfId="449"/>
    <cellStyle name="Berechnung 2 2 2 2 2 2 2" xfId="450"/>
    <cellStyle name="Berechnung 2 2 2 2 2 2 2 2" xfId="3866"/>
    <cellStyle name="Berechnung 2 2 2 2 2 2 3" xfId="451"/>
    <cellStyle name="Berechnung 2 2 2 2 2 2 3 2" xfId="3867"/>
    <cellStyle name="Berechnung 2 2 2 2 2 2 4" xfId="452"/>
    <cellStyle name="Berechnung 2 2 2 2 2 2 4 2" xfId="3868"/>
    <cellStyle name="Berechnung 2 2 2 2 2 2 5" xfId="453"/>
    <cellStyle name="Berechnung 2 2 2 2 2 2 5 2" xfId="3869"/>
    <cellStyle name="Berechnung 2 2 2 2 2 2 6" xfId="454"/>
    <cellStyle name="Berechnung 2 2 2 2 2 2 6 2" xfId="3870"/>
    <cellStyle name="Berechnung 2 2 2 2 2 2 7" xfId="3865"/>
    <cellStyle name="Berechnung 2 2 2 2 2 2_Grünland" xfId="2979"/>
    <cellStyle name="Berechnung 2 2 2 2 2 3" xfId="455"/>
    <cellStyle name="Berechnung 2 2 2 2 2 3 2" xfId="456"/>
    <cellStyle name="Berechnung 2 2 2 2 2 3 2 2" xfId="3872"/>
    <cellStyle name="Berechnung 2 2 2 2 2 3 3" xfId="457"/>
    <cellStyle name="Berechnung 2 2 2 2 2 3 3 2" xfId="3873"/>
    <cellStyle name="Berechnung 2 2 2 2 2 3 4" xfId="458"/>
    <cellStyle name="Berechnung 2 2 2 2 2 3 4 2" xfId="3874"/>
    <cellStyle name="Berechnung 2 2 2 2 2 3 5" xfId="459"/>
    <cellStyle name="Berechnung 2 2 2 2 2 3 5 2" xfId="3875"/>
    <cellStyle name="Berechnung 2 2 2 2 2 3 6" xfId="460"/>
    <cellStyle name="Berechnung 2 2 2 2 2 3 6 2" xfId="3876"/>
    <cellStyle name="Berechnung 2 2 2 2 2 3 7" xfId="3871"/>
    <cellStyle name="Berechnung 2 2 2 2 2 3_Grünland" xfId="2980"/>
    <cellStyle name="Berechnung 2 2 2 2 2 4" xfId="461"/>
    <cellStyle name="Berechnung 2 2 2 2 2 4 2" xfId="3877"/>
    <cellStyle name="Berechnung 2 2 2 2 2 5" xfId="462"/>
    <cellStyle name="Berechnung 2 2 2 2 2 5 2" xfId="3878"/>
    <cellStyle name="Berechnung 2 2 2 2 2 6" xfId="463"/>
    <cellStyle name="Berechnung 2 2 2 2 2 6 2" xfId="3879"/>
    <cellStyle name="Berechnung 2 2 2 2 2 7" xfId="464"/>
    <cellStyle name="Berechnung 2 2 2 2 2 7 2" xfId="3880"/>
    <cellStyle name="Berechnung 2 2 2 2 2 8" xfId="465"/>
    <cellStyle name="Berechnung 2 2 2 2 2 8 2" xfId="3881"/>
    <cellStyle name="Berechnung 2 2 2 2 2 9" xfId="3864"/>
    <cellStyle name="Berechnung 2 2 2 2 2_Grünland" xfId="2978"/>
    <cellStyle name="Berechnung 2 2 2 2 3" xfId="466"/>
    <cellStyle name="Berechnung 2 2 2 2 3 2" xfId="467"/>
    <cellStyle name="Berechnung 2 2 2 2 3 2 2" xfId="3883"/>
    <cellStyle name="Berechnung 2 2 2 2 3 3" xfId="468"/>
    <cellStyle name="Berechnung 2 2 2 2 3 3 2" xfId="3884"/>
    <cellStyle name="Berechnung 2 2 2 2 3 4" xfId="469"/>
    <cellStyle name="Berechnung 2 2 2 2 3 4 2" xfId="3885"/>
    <cellStyle name="Berechnung 2 2 2 2 3 5" xfId="470"/>
    <cellStyle name="Berechnung 2 2 2 2 3 5 2" xfId="3886"/>
    <cellStyle name="Berechnung 2 2 2 2 3 6" xfId="471"/>
    <cellStyle name="Berechnung 2 2 2 2 3 6 2" xfId="3887"/>
    <cellStyle name="Berechnung 2 2 2 2 3 7" xfId="3882"/>
    <cellStyle name="Berechnung 2 2 2 2 3_Grünland" xfId="2981"/>
    <cellStyle name="Berechnung 2 2 2 2 4" xfId="472"/>
    <cellStyle name="Berechnung 2 2 2 2 4 2" xfId="473"/>
    <cellStyle name="Berechnung 2 2 2 2 4 2 2" xfId="3889"/>
    <cellStyle name="Berechnung 2 2 2 2 4 3" xfId="474"/>
    <cellStyle name="Berechnung 2 2 2 2 4 3 2" xfId="3890"/>
    <cellStyle name="Berechnung 2 2 2 2 4 4" xfId="475"/>
    <cellStyle name="Berechnung 2 2 2 2 4 4 2" xfId="3891"/>
    <cellStyle name="Berechnung 2 2 2 2 4 5" xfId="476"/>
    <cellStyle name="Berechnung 2 2 2 2 4 5 2" xfId="3892"/>
    <cellStyle name="Berechnung 2 2 2 2 4 6" xfId="477"/>
    <cellStyle name="Berechnung 2 2 2 2 4 6 2" xfId="3893"/>
    <cellStyle name="Berechnung 2 2 2 2 4 7" xfId="3888"/>
    <cellStyle name="Berechnung 2 2 2 2 4_Grünland" xfId="2982"/>
    <cellStyle name="Berechnung 2 2 2 2 5" xfId="478"/>
    <cellStyle name="Berechnung 2 2 2 2 5 2" xfId="479"/>
    <cellStyle name="Berechnung 2 2 2 2 5 2 2" xfId="3895"/>
    <cellStyle name="Berechnung 2 2 2 2 5 3" xfId="480"/>
    <cellStyle name="Berechnung 2 2 2 2 5 3 2" xfId="3896"/>
    <cellStyle name="Berechnung 2 2 2 2 5 4" xfId="481"/>
    <cellStyle name="Berechnung 2 2 2 2 5 4 2" xfId="3897"/>
    <cellStyle name="Berechnung 2 2 2 2 5 5" xfId="482"/>
    <cellStyle name="Berechnung 2 2 2 2 5 5 2" xfId="3898"/>
    <cellStyle name="Berechnung 2 2 2 2 5 6" xfId="3894"/>
    <cellStyle name="Berechnung 2 2 2 2 5_Grünland" xfId="2983"/>
    <cellStyle name="Berechnung 2 2 2 2 6" xfId="483"/>
    <cellStyle name="Berechnung 2 2 2 2 6 2" xfId="3899"/>
    <cellStyle name="Berechnung 2 2 2 2 7" xfId="484"/>
    <cellStyle name="Berechnung 2 2 2 2 7 2" xfId="3900"/>
    <cellStyle name="Berechnung 2 2 2 2 8" xfId="3863"/>
    <cellStyle name="Berechnung 2 2 2 2_Grünland" xfId="2977"/>
    <cellStyle name="Berechnung 2 2 2 3" xfId="485"/>
    <cellStyle name="Berechnung 2 2 2 3 2" xfId="486"/>
    <cellStyle name="Berechnung 2 2 2 3 2 2" xfId="487"/>
    <cellStyle name="Berechnung 2 2 2 3 2 2 2" xfId="488"/>
    <cellStyle name="Berechnung 2 2 2 3 2 2 2 2" xfId="3904"/>
    <cellStyle name="Berechnung 2 2 2 3 2 2 3" xfId="489"/>
    <cellStyle name="Berechnung 2 2 2 3 2 2 3 2" xfId="3905"/>
    <cellStyle name="Berechnung 2 2 2 3 2 2 4" xfId="490"/>
    <cellStyle name="Berechnung 2 2 2 3 2 2 4 2" xfId="3906"/>
    <cellStyle name="Berechnung 2 2 2 3 2 2 5" xfId="491"/>
    <cellStyle name="Berechnung 2 2 2 3 2 2 5 2" xfId="3907"/>
    <cellStyle name="Berechnung 2 2 2 3 2 2 6" xfId="492"/>
    <cellStyle name="Berechnung 2 2 2 3 2 2 6 2" xfId="3908"/>
    <cellStyle name="Berechnung 2 2 2 3 2 2 7" xfId="3903"/>
    <cellStyle name="Berechnung 2 2 2 3 2 2_Grünland" xfId="2986"/>
    <cellStyle name="Berechnung 2 2 2 3 2 3" xfId="493"/>
    <cellStyle name="Berechnung 2 2 2 3 2 3 2" xfId="494"/>
    <cellStyle name="Berechnung 2 2 2 3 2 3 2 2" xfId="3910"/>
    <cellStyle name="Berechnung 2 2 2 3 2 3 3" xfId="495"/>
    <cellStyle name="Berechnung 2 2 2 3 2 3 3 2" xfId="3911"/>
    <cellStyle name="Berechnung 2 2 2 3 2 3 4" xfId="496"/>
    <cellStyle name="Berechnung 2 2 2 3 2 3 4 2" xfId="3912"/>
    <cellStyle name="Berechnung 2 2 2 3 2 3 5" xfId="497"/>
    <cellStyle name="Berechnung 2 2 2 3 2 3 5 2" xfId="3913"/>
    <cellStyle name="Berechnung 2 2 2 3 2 3 6" xfId="498"/>
    <cellStyle name="Berechnung 2 2 2 3 2 3 6 2" xfId="3914"/>
    <cellStyle name="Berechnung 2 2 2 3 2 3 7" xfId="3909"/>
    <cellStyle name="Berechnung 2 2 2 3 2 3_Grünland" xfId="2987"/>
    <cellStyle name="Berechnung 2 2 2 3 2 4" xfId="499"/>
    <cellStyle name="Berechnung 2 2 2 3 2 4 2" xfId="3915"/>
    <cellStyle name="Berechnung 2 2 2 3 2 5" xfId="500"/>
    <cellStyle name="Berechnung 2 2 2 3 2 5 2" xfId="3916"/>
    <cellStyle name="Berechnung 2 2 2 3 2 6" xfId="501"/>
    <cellStyle name="Berechnung 2 2 2 3 2 6 2" xfId="3917"/>
    <cellStyle name="Berechnung 2 2 2 3 2 7" xfId="502"/>
    <cellStyle name="Berechnung 2 2 2 3 2 7 2" xfId="3918"/>
    <cellStyle name="Berechnung 2 2 2 3 2 8" xfId="503"/>
    <cellStyle name="Berechnung 2 2 2 3 2 8 2" xfId="3919"/>
    <cellStyle name="Berechnung 2 2 2 3 2 9" xfId="3902"/>
    <cellStyle name="Berechnung 2 2 2 3 2_Grünland" xfId="2985"/>
    <cellStyle name="Berechnung 2 2 2 3 3" xfId="504"/>
    <cellStyle name="Berechnung 2 2 2 3 3 2" xfId="505"/>
    <cellStyle name="Berechnung 2 2 2 3 3 2 2" xfId="3921"/>
    <cellStyle name="Berechnung 2 2 2 3 3 3" xfId="506"/>
    <cellStyle name="Berechnung 2 2 2 3 3 3 2" xfId="3922"/>
    <cellStyle name="Berechnung 2 2 2 3 3 4" xfId="507"/>
    <cellStyle name="Berechnung 2 2 2 3 3 4 2" xfId="3923"/>
    <cellStyle name="Berechnung 2 2 2 3 3 5" xfId="508"/>
    <cellStyle name="Berechnung 2 2 2 3 3 5 2" xfId="3924"/>
    <cellStyle name="Berechnung 2 2 2 3 3 6" xfId="509"/>
    <cellStyle name="Berechnung 2 2 2 3 3 6 2" xfId="3925"/>
    <cellStyle name="Berechnung 2 2 2 3 3 7" xfId="3920"/>
    <cellStyle name="Berechnung 2 2 2 3 3_Grünland" xfId="2988"/>
    <cellStyle name="Berechnung 2 2 2 3 4" xfId="510"/>
    <cellStyle name="Berechnung 2 2 2 3 4 2" xfId="511"/>
    <cellStyle name="Berechnung 2 2 2 3 4 2 2" xfId="3927"/>
    <cellStyle name="Berechnung 2 2 2 3 4 3" xfId="512"/>
    <cellStyle name="Berechnung 2 2 2 3 4 3 2" xfId="3928"/>
    <cellStyle name="Berechnung 2 2 2 3 4 4" xfId="513"/>
    <cellStyle name="Berechnung 2 2 2 3 4 4 2" xfId="3929"/>
    <cellStyle name="Berechnung 2 2 2 3 4 5" xfId="514"/>
    <cellStyle name="Berechnung 2 2 2 3 4 5 2" xfId="3930"/>
    <cellStyle name="Berechnung 2 2 2 3 4 6" xfId="515"/>
    <cellStyle name="Berechnung 2 2 2 3 4 6 2" xfId="3931"/>
    <cellStyle name="Berechnung 2 2 2 3 4 7" xfId="3926"/>
    <cellStyle name="Berechnung 2 2 2 3 4_Grünland" xfId="2989"/>
    <cellStyle name="Berechnung 2 2 2 3 5" xfId="516"/>
    <cellStyle name="Berechnung 2 2 2 3 5 2" xfId="517"/>
    <cellStyle name="Berechnung 2 2 2 3 5 2 2" xfId="3933"/>
    <cellStyle name="Berechnung 2 2 2 3 5 3" xfId="518"/>
    <cellStyle name="Berechnung 2 2 2 3 5 3 2" xfId="3934"/>
    <cellStyle name="Berechnung 2 2 2 3 5 4" xfId="519"/>
    <cellStyle name="Berechnung 2 2 2 3 5 4 2" xfId="3935"/>
    <cellStyle name="Berechnung 2 2 2 3 5 5" xfId="520"/>
    <cellStyle name="Berechnung 2 2 2 3 5 5 2" xfId="3936"/>
    <cellStyle name="Berechnung 2 2 2 3 5 6" xfId="3932"/>
    <cellStyle name="Berechnung 2 2 2 3 5_Grünland" xfId="2990"/>
    <cellStyle name="Berechnung 2 2 2 3 6" xfId="521"/>
    <cellStyle name="Berechnung 2 2 2 3 6 2" xfId="3937"/>
    <cellStyle name="Berechnung 2 2 2 3 7" xfId="522"/>
    <cellStyle name="Berechnung 2 2 2 3 7 2" xfId="3938"/>
    <cellStyle name="Berechnung 2 2 2 3 8" xfId="3901"/>
    <cellStyle name="Berechnung 2 2 2 3_Grünland" xfId="2984"/>
    <cellStyle name="Berechnung 2 2 2 4" xfId="523"/>
    <cellStyle name="Berechnung 2 2 2 4 2" xfId="524"/>
    <cellStyle name="Berechnung 2 2 2 4 2 2" xfId="525"/>
    <cellStyle name="Berechnung 2 2 2 4 2 2 2" xfId="3941"/>
    <cellStyle name="Berechnung 2 2 2 4 2 3" xfId="526"/>
    <cellStyle name="Berechnung 2 2 2 4 2 3 2" xfId="3942"/>
    <cellStyle name="Berechnung 2 2 2 4 2 4" xfId="527"/>
    <cellStyle name="Berechnung 2 2 2 4 2 4 2" xfId="3943"/>
    <cellStyle name="Berechnung 2 2 2 4 2 5" xfId="528"/>
    <cellStyle name="Berechnung 2 2 2 4 2 5 2" xfId="3944"/>
    <cellStyle name="Berechnung 2 2 2 4 2 6" xfId="529"/>
    <cellStyle name="Berechnung 2 2 2 4 2 6 2" xfId="3945"/>
    <cellStyle name="Berechnung 2 2 2 4 2 7" xfId="3940"/>
    <cellStyle name="Berechnung 2 2 2 4 2_Grünland" xfId="2992"/>
    <cellStyle name="Berechnung 2 2 2 4 3" xfId="530"/>
    <cellStyle name="Berechnung 2 2 2 4 3 2" xfId="531"/>
    <cellStyle name="Berechnung 2 2 2 4 3 2 2" xfId="3947"/>
    <cellStyle name="Berechnung 2 2 2 4 3 3" xfId="532"/>
    <cellStyle name="Berechnung 2 2 2 4 3 3 2" xfId="3948"/>
    <cellStyle name="Berechnung 2 2 2 4 3 4" xfId="533"/>
    <cellStyle name="Berechnung 2 2 2 4 3 4 2" xfId="3949"/>
    <cellStyle name="Berechnung 2 2 2 4 3 5" xfId="534"/>
    <cellStyle name="Berechnung 2 2 2 4 3 5 2" xfId="3950"/>
    <cellStyle name="Berechnung 2 2 2 4 3 6" xfId="535"/>
    <cellStyle name="Berechnung 2 2 2 4 3 6 2" xfId="3951"/>
    <cellStyle name="Berechnung 2 2 2 4 3 7" xfId="3946"/>
    <cellStyle name="Berechnung 2 2 2 4 3_Grünland" xfId="2993"/>
    <cellStyle name="Berechnung 2 2 2 4 4" xfId="536"/>
    <cellStyle name="Berechnung 2 2 2 4 4 2" xfId="3952"/>
    <cellStyle name="Berechnung 2 2 2 4 5" xfId="537"/>
    <cellStyle name="Berechnung 2 2 2 4 5 2" xfId="3953"/>
    <cellStyle name="Berechnung 2 2 2 4 6" xfId="538"/>
    <cellStyle name="Berechnung 2 2 2 4 6 2" xfId="3954"/>
    <cellStyle name="Berechnung 2 2 2 4 7" xfId="539"/>
    <cellStyle name="Berechnung 2 2 2 4 7 2" xfId="3955"/>
    <cellStyle name="Berechnung 2 2 2 4 8" xfId="540"/>
    <cellStyle name="Berechnung 2 2 2 4 8 2" xfId="3956"/>
    <cellStyle name="Berechnung 2 2 2 4 9" xfId="3939"/>
    <cellStyle name="Berechnung 2 2 2 4_Grünland" xfId="2991"/>
    <cellStyle name="Berechnung 2 2 2 5" xfId="541"/>
    <cellStyle name="Berechnung 2 2 2 5 2" xfId="542"/>
    <cellStyle name="Berechnung 2 2 2 5 2 2" xfId="3958"/>
    <cellStyle name="Berechnung 2 2 2 5 3" xfId="543"/>
    <cellStyle name="Berechnung 2 2 2 5 3 2" xfId="3959"/>
    <cellStyle name="Berechnung 2 2 2 5 4" xfId="544"/>
    <cellStyle name="Berechnung 2 2 2 5 4 2" xfId="3960"/>
    <cellStyle name="Berechnung 2 2 2 5 5" xfId="545"/>
    <cellStyle name="Berechnung 2 2 2 5 5 2" xfId="3961"/>
    <cellStyle name="Berechnung 2 2 2 5 6" xfId="546"/>
    <cellStyle name="Berechnung 2 2 2 5 6 2" xfId="3962"/>
    <cellStyle name="Berechnung 2 2 2 5 7" xfId="3957"/>
    <cellStyle name="Berechnung 2 2 2 5_Grünland" xfId="2994"/>
    <cellStyle name="Berechnung 2 2 2 6" xfId="547"/>
    <cellStyle name="Berechnung 2 2 2 6 2" xfId="548"/>
    <cellStyle name="Berechnung 2 2 2 6 2 2" xfId="3964"/>
    <cellStyle name="Berechnung 2 2 2 6 3" xfId="549"/>
    <cellStyle name="Berechnung 2 2 2 6 3 2" xfId="3965"/>
    <cellStyle name="Berechnung 2 2 2 6 4" xfId="550"/>
    <cellStyle name="Berechnung 2 2 2 6 4 2" xfId="3966"/>
    <cellStyle name="Berechnung 2 2 2 6 5" xfId="551"/>
    <cellStyle name="Berechnung 2 2 2 6 5 2" xfId="3967"/>
    <cellStyle name="Berechnung 2 2 2 6 6" xfId="552"/>
    <cellStyle name="Berechnung 2 2 2 6 6 2" xfId="3968"/>
    <cellStyle name="Berechnung 2 2 2 6 7" xfId="3963"/>
    <cellStyle name="Berechnung 2 2 2 6_Grünland" xfId="2995"/>
    <cellStyle name="Berechnung 2 2 2 7" xfId="553"/>
    <cellStyle name="Berechnung 2 2 2 7 2" xfId="3969"/>
    <cellStyle name="Berechnung 2 2 2 8" xfId="554"/>
    <cellStyle name="Berechnung 2 2 2 8 2" xfId="3970"/>
    <cellStyle name="Berechnung 2 2 2 9" xfId="3862"/>
    <cellStyle name="Berechnung 2 2 2_Grünland" xfId="2976"/>
    <cellStyle name="Berechnung 2 2 3" xfId="555"/>
    <cellStyle name="Berechnung 2 2 3 2" xfId="556"/>
    <cellStyle name="Berechnung 2 2 3 2 2" xfId="557"/>
    <cellStyle name="Berechnung 2 2 3 2 2 2" xfId="558"/>
    <cellStyle name="Berechnung 2 2 3 2 2 2 2" xfId="3974"/>
    <cellStyle name="Berechnung 2 2 3 2 2 3" xfId="559"/>
    <cellStyle name="Berechnung 2 2 3 2 2 3 2" xfId="3975"/>
    <cellStyle name="Berechnung 2 2 3 2 2 4" xfId="560"/>
    <cellStyle name="Berechnung 2 2 3 2 2 4 2" xfId="3976"/>
    <cellStyle name="Berechnung 2 2 3 2 2 5" xfId="561"/>
    <cellStyle name="Berechnung 2 2 3 2 2 5 2" xfId="3977"/>
    <cellStyle name="Berechnung 2 2 3 2 2 6" xfId="562"/>
    <cellStyle name="Berechnung 2 2 3 2 2 6 2" xfId="3978"/>
    <cellStyle name="Berechnung 2 2 3 2 2 7" xfId="3973"/>
    <cellStyle name="Berechnung 2 2 3 2 2_Grünland" xfId="2998"/>
    <cellStyle name="Berechnung 2 2 3 2 3" xfId="563"/>
    <cellStyle name="Berechnung 2 2 3 2 3 2" xfId="564"/>
    <cellStyle name="Berechnung 2 2 3 2 3 2 2" xfId="3980"/>
    <cellStyle name="Berechnung 2 2 3 2 3 3" xfId="565"/>
    <cellStyle name="Berechnung 2 2 3 2 3 3 2" xfId="3981"/>
    <cellStyle name="Berechnung 2 2 3 2 3 4" xfId="566"/>
    <cellStyle name="Berechnung 2 2 3 2 3 4 2" xfId="3982"/>
    <cellStyle name="Berechnung 2 2 3 2 3 5" xfId="567"/>
    <cellStyle name="Berechnung 2 2 3 2 3 5 2" xfId="3983"/>
    <cellStyle name="Berechnung 2 2 3 2 3 6" xfId="568"/>
    <cellStyle name="Berechnung 2 2 3 2 3 6 2" xfId="3984"/>
    <cellStyle name="Berechnung 2 2 3 2 3 7" xfId="3979"/>
    <cellStyle name="Berechnung 2 2 3 2 3_Grünland" xfId="2999"/>
    <cellStyle name="Berechnung 2 2 3 2 4" xfId="569"/>
    <cellStyle name="Berechnung 2 2 3 2 4 2" xfId="3985"/>
    <cellStyle name="Berechnung 2 2 3 2 5" xfId="570"/>
    <cellStyle name="Berechnung 2 2 3 2 5 2" xfId="3986"/>
    <cellStyle name="Berechnung 2 2 3 2 6" xfId="571"/>
    <cellStyle name="Berechnung 2 2 3 2 6 2" xfId="3987"/>
    <cellStyle name="Berechnung 2 2 3 2 7" xfId="572"/>
    <cellStyle name="Berechnung 2 2 3 2 7 2" xfId="3988"/>
    <cellStyle name="Berechnung 2 2 3 2 8" xfId="573"/>
    <cellStyle name="Berechnung 2 2 3 2 8 2" xfId="3989"/>
    <cellStyle name="Berechnung 2 2 3 2 9" xfId="3972"/>
    <cellStyle name="Berechnung 2 2 3 2_Grünland" xfId="2997"/>
    <cellStyle name="Berechnung 2 2 3 3" xfId="574"/>
    <cellStyle name="Berechnung 2 2 3 3 2" xfId="575"/>
    <cellStyle name="Berechnung 2 2 3 3 2 2" xfId="3991"/>
    <cellStyle name="Berechnung 2 2 3 3 3" xfId="576"/>
    <cellStyle name="Berechnung 2 2 3 3 3 2" xfId="3992"/>
    <cellStyle name="Berechnung 2 2 3 3 4" xfId="577"/>
    <cellStyle name="Berechnung 2 2 3 3 4 2" xfId="3993"/>
    <cellStyle name="Berechnung 2 2 3 3 5" xfId="578"/>
    <cellStyle name="Berechnung 2 2 3 3 5 2" xfId="3994"/>
    <cellStyle name="Berechnung 2 2 3 3 6" xfId="579"/>
    <cellStyle name="Berechnung 2 2 3 3 6 2" xfId="3995"/>
    <cellStyle name="Berechnung 2 2 3 3 7" xfId="3990"/>
    <cellStyle name="Berechnung 2 2 3 3_Grünland" xfId="3000"/>
    <cellStyle name="Berechnung 2 2 3 4" xfId="580"/>
    <cellStyle name="Berechnung 2 2 3 4 2" xfId="581"/>
    <cellStyle name="Berechnung 2 2 3 4 2 2" xfId="3997"/>
    <cellStyle name="Berechnung 2 2 3 4 3" xfId="582"/>
    <cellStyle name="Berechnung 2 2 3 4 3 2" xfId="3998"/>
    <cellStyle name="Berechnung 2 2 3 4 4" xfId="583"/>
    <cellStyle name="Berechnung 2 2 3 4 4 2" xfId="3999"/>
    <cellStyle name="Berechnung 2 2 3 4 5" xfId="584"/>
    <cellStyle name="Berechnung 2 2 3 4 5 2" xfId="4000"/>
    <cellStyle name="Berechnung 2 2 3 4 6" xfId="585"/>
    <cellStyle name="Berechnung 2 2 3 4 6 2" xfId="4001"/>
    <cellStyle name="Berechnung 2 2 3 4 7" xfId="3996"/>
    <cellStyle name="Berechnung 2 2 3 4_Grünland" xfId="3001"/>
    <cellStyle name="Berechnung 2 2 3 5" xfId="586"/>
    <cellStyle name="Berechnung 2 2 3 5 2" xfId="587"/>
    <cellStyle name="Berechnung 2 2 3 5 2 2" xfId="4003"/>
    <cellStyle name="Berechnung 2 2 3 5 3" xfId="588"/>
    <cellStyle name="Berechnung 2 2 3 5 3 2" xfId="4004"/>
    <cellStyle name="Berechnung 2 2 3 5 4" xfId="589"/>
    <cellStyle name="Berechnung 2 2 3 5 4 2" xfId="4005"/>
    <cellStyle name="Berechnung 2 2 3 5 5" xfId="590"/>
    <cellStyle name="Berechnung 2 2 3 5 5 2" xfId="4006"/>
    <cellStyle name="Berechnung 2 2 3 5 6" xfId="4002"/>
    <cellStyle name="Berechnung 2 2 3 5_Grünland" xfId="3002"/>
    <cellStyle name="Berechnung 2 2 3 6" xfId="591"/>
    <cellStyle name="Berechnung 2 2 3 6 2" xfId="4007"/>
    <cellStyle name="Berechnung 2 2 3 7" xfId="592"/>
    <cellStyle name="Berechnung 2 2 3 7 2" xfId="4008"/>
    <cellStyle name="Berechnung 2 2 3 8" xfId="3971"/>
    <cellStyle name="Berechnung 2 2 3_Grünland" xfId="2996"/>
    <cellStyle name="Berechnung 2 2 4" xfId="593"/>
    <cellStyle name="Berechnung 2 2 4 2" xfId="594"/>
    <cellStyle name="Berechnung 2 2 4 2 2" xfId="595"/>
    <cellStyle name="Berechnung 2 2 4 2 2 2" xfId="596"/>
    <cellStyle name="Berechnung 2 2 4 2 2 2 2" xfId="4012"/>
    <cellStyle name="Berechnung 2 2 4 2 2 3" xfId="597"/>
    <cellStyle name="Berechnung 2 2 4 2 2 3 2" xfId="4013"/>
    <cellStyle name="Berechnung 2 2 4 2 2 4" xfId="598"/>
    <cellStyle name="Berechnung 2 2 4 2 2 4 2" xfId="4014"/>
    <cellStyle name="Berechnung 2 2 4 2 2 5" xfId="599"/>
    <cellStyle name="Berechnung 2 2 4 2 2 5 2" xfId="4015"/>
    <cellStyle name="Berechnung 2 2 4 2 2 6" xfId="600"/>
    <cellStyle name="Berechnung 2 2 4 2 2 6 2" xfId="4016"/>
    <cellStyle name="Berechnung 2 2 4 2 2 7" xfId="4011"/>
    <cellStyle name="Berechnung 2 2 4 2 2_Grünland" xfId="3005"/>
    <cellStyle name="Berechnung 2 2 4 2 3" xfId="601"/>
    <cellStyle name="Berechnung 2 2 4 2 3 2" xfId="602"/>
    <cellStyle name="Berechnung 2 2 4 2 3 2 2" xfId="4018"/>
    <cellStyle name="Berechnung 2 2 4 2 3 3" xfId="603"/>
    <cellStyle name="Berechnung 2 2 4 2 3 3 2" xfId="4019"/>
    <cellStyle name="Berechnung 2 2 4 2 3 4" xfId="604"/>
    <cellStyle name="Berechnung 2 2 4 2 3 4 2" xfId="4020"/>
    <cellStyle name="Berechnung 2 2 4 2 3 5" xfId="605"/>
    <cellStyle name="Berechnung 2 2 4 2 3 5 2" xfId="4021"/>
    <cellStyle name="Berechnung 2 2 4 2 3 6" xfId="606"/>
    <cellStyle name="Berechnung 2 2 4 2 3 6 2" xfId="4022"/>
    <cellStyle name="Berechnung 2 2 4 2 3 7" xfId="4017"/>
    <cellStyle name="Berechnung 2 2 4 2 3_Grünland" xfId="3006"/>
    <cellStyle name="Berechnung 2 2 4 2 4" xfId="607"/>
    <cellStyle name="Berechnung 2 2 4 2 4 2" xfId="4023"/>
    <cellStyle name="Berechnung 2 2 4 2 5" xfId="608"/>
    <cellStyle name="Berechnung 2 2 4 2 5 2" xfId="4024"/>
    <cellStyle name="Berechnung 2 2 4 2 6" xfId="609"/>
    <cellStyle name="Berechnung 2 2 4 2 6 2" xfId="4025"/>
    <cellStyle name="Berechnung 2 2 4 2 7" xfId="610"/>
    <cellStyle name="Berechnung 2 2 4 2 7 2" xfId="4026"/>
    <cellStyle name="Berechnung 2 2 4 2 8" xfId="611"/>
    <cellStyle name="Berechnung 2 2 4 2 8 2" xfId="4027"/>
    <cellStyle name="Berechnung 2 2 4 2 9" xfId="4010"/>
    <cellStyle name="Berechnung 2 2 4 2_Grünland" xfId="3004"/>
    <cellStyle name="Berechnung 2 2 4 3" xfId="612"/>
    <cellStyle name="Berechnung 2 2 4 3 2" xfId="613"/>
    <cellStyle name="Berechnung 2 2 4 3 2 2" xfId="4029"/>
    <cellStyle name="Berechnung 2 2 4 3 3" xfId="614"/>
    <cellStyle name="Berechnung 2 2 4 3 3 2" xfId="4030"/>
    <cellStyle name="Berechnung 2 2 4 3 4" xfId="615"/>
    <cellStyle name="Berechnung 2 2 4 3 4 2" xfId="4031"/>
    <cellStyle name="Berechnung 2 2 4 3 5" xfId="616"/>
    <cellStyle name="Berechnung 2 2 4 3 5 2" xfId="4032"/>
    <cellStyle name="Berechnung 2 2 4 3 6" xfId="617"/>
    <cellStyle name="Berechnung 2 2 4 3 6 2" xfId="4033"/>
    <cellStyle name="Berechnung 2 2 4 3 7" xfId="4028"/>
    <cellStyle name="Berechnung 2 2 4 3_Grünland" xfId="3007"/>
    <cellStyle name="Berechnung 2 2 4 4" xfId="618"/>
    <cellStyle name="Berechnung 2 2 4 4 2" xfId="619"/>
    <cellStyle name="Berechnung 2 2 4 4 2 2" xfId="4035"/>
    <cellStyle name="Berechnung 2 2 4 4 3" xfId="620"/>
    <cellStyle name="Berechnung 2 2 4 4 3 2" xfId="4036"/>
    <cellStyle name="Berechnung 2 2 4 4 4" xfId="621"/>
    <cellStyle name="Berechnung 2 2 4 4 4 2" xfId="4037"/>
    <cellStyle name="Berechnung 2 2 4 4 5" xfId="622"/>
    <cellStyle name="Berechnung 2 2 4 4 5 2" xfId="4038"/>
    <cellStyle name="Berechnung 2 2 4 4 6" xfId="623"/>
    <cellStyle name="Berechnung 2 2 4 4 6 2" xfId="4039"/>
    <cellStyle name="Berechnung 2 2 4 4 7" xfId="4034"/>
    <cellStyle name="Berechnung 2 2 4 4_Grünland" xfId="3008"/>
    <cellStyle name="Berechnung 2 2 4 5" xfId="624"/>
    <cellStyle name="Berechnung 2 2 4 5 2" xfId="625"/>
    <cellStyle name="Berechnung 2 2 4 5 2 2" xfId="4041"/>
    <cellStyle name="Berechnung 2 2 4 5 3" xfId="626"/>
    <cellStyle name="Berechnung 2 2 4 5 3 2" xfId="4042"/>
    <cellStyle name="Berechnung 2 2 4 5 4" xfId="627"/>
    <cellStyle name="Berechnung 2 2 4 5 4 2" xfId="4043"/>
    <cellStyle name="Berechnung 2 2 4 5 5" xfId="628"/>
    <cellStyle name="Berechnung 2 2 4 5 5 2" xfId="4044"/>
    <cellStyle name="Berechnung 2 2 4 5 6" xfId="4040"/>
    <cellStyle name="Berechnung 2 2 4 5_Grünland" xfId="3009"/>
    <cellStyle name="Berechnung 2 2 4 6" xfId="629"/>
    <cellStyle name="Berechnung 2 2 4 6 2" xfId="4045"/>
    <cellStyle name="Berechnung 2 2 4 7" xfId="630"/>
    <cellStyle name="Berechnung 2 2 4 7 2" xfId="4046"/>
    <cellStyle name="Berechnung 2 2 4 8" xfId="4009"/>
    <cellStyle name="Berechnung 2 2 4_Grünland" xfId="3003"/>
    <cellStyle name="Berechnung 2 2 5" xfId="631"/>
    <cellStyle name="Berechnung 2 2 5 2" xfId="632"/>
    <cellStyle name="Berechnung 2 2 5 2 2" xfId="633"/>
    <cellStyle name="Berechnung 2 2 5 2 2 2" xfId="4049"/>
    <cellStyle name="Berechnung 2 2 5 2 3" xfId="634"/>
    <cellStyle name="Berechnung 2 2 5 2 3 2" xfId="4050"/>
    <cellStyle name="Berechnung 2 2 5 2 4" xfId="635"/>
    <cellStyle name="Berechnung 2 2 5 2 4 2" xfId="4051"/>
    <cellStyle name="Berechnung 2 2 5 2 5" xfId="636"/>
    <cellStyle name="Berechnung 2 2 5 2 5 2" xfId="4052"/>
    <cellStyle name="Berechnung 2 2 5 2 6" xfId="637"/>
    <cellStyle name="Berechnung 2 2 5 2 6 2" xfId="4053"/>
    <cellStyle name="Berechnung 2 2 5 2 7" xfId="4048"/>
    <cellStyle name="Berechnung 2 2 5 2_Grünland" xfId="3011"/>
    <cellStyle name="Berechnung 2 2 5 3" xfId="638"/>
    <cellStyle name="Berechnung 2 2 5 3 2" xfId="639"/>
    <cellStyle name="Berechnung 2 2 5 3 2 2" xfId="4055"/>
    <cellStyle name="Berechnung 2 2 5 3 3" xfId="640"/>
    <cellStyle name="Berechnung 2 2 5 3 3 2" xfId="4056"/>
    <cellStyle name="Berechnung 2 2 5 3 4" xfId="641"/>
    <cellStyle name="Berechnung 2 2 5 3 4 2" xfId="4057"/>
    <cellStyle name="Berechnung 2 2 5 3 5" xfId="642"/>
    <cellStyle name="Berechnung 2 2 5 3 5 2" xfId="4058"/>
    <cellStyle name="Berechnung 2 2 5 3 6" xfId="643"/>
    <cellStyle name="Berechnung 2 2 5 3 6 2" xfId="4059"/>
    <cellStyle name="Berechnung 2 2 5 3 7" xfId="4054"/>
    <cellStyle name="Berechnung 2 2 5 3_Grünland" xfId="3012"/>
    <cellStyle name="Berechnung 2 2 5 4" xfId="644"/>
    <cellStyle name="Berechnung 2 2 5 4 2" xfId="4060"/>
    <cellStyle name="Berechnung 2 2 5 5" xfId="645"/>
    <cellStyle name="Berechnung 2 2 5 5 2" xfId="4061"/>
    <cellStyle name="Berechnung 2 2 5 6" xfId="646"/>
    <cellStyle name="Berechnung 2 2 5 6 2" xfId="4062"/>
    <cellStyle name="Berechnung 2 2 5 7" xfId="647"/>
    <cellStyle name="Berechnung 2 2 5 7 2" xfId="4063"/>
    <cellStyle name="Berechnung 2 2 5 8" xfId="648"/>
    <cellStyle name="Berechnung 2 2 5 8 2" xfId="4064"/>
    <cellStyle name="Berechnung 2 2 5 9" xfId="4047"/>
    <cellStyle name="Berechnung 2 2 5_Grünland" xfId="3010"/>
    <cellStyle name="Berechnung 2 2 6" xfId="649"/>
    <cellStyle name="Berechnung 2 2 6 2" xfId="650"/>
    <cellStyle name="Berechnung 2 2 6 2 2" xfId="4066"/>
    <cellStyle name="Berechnung 2 2 6 3" xfId="651"/>
    <cellStyle name="Berechnung 2 2 6 3 2" xfId="4067"/>
    <cellStyle name="Berechnung 2 2 6 4" xfId="652"/>
    <cellStyle name="Berechnung 2 2 6 4 2" xfId="4068"/>
    <cellStyle name="Berechnung 2 2 6 5" xfId="653"/>
    <cellStyle name="Berechnung 2 2 6 5 2" xfId="4069"/>
    <cellStyle name="Berechnung 2 2 6 6" xfId="654"/>
    <cellStyle name="Berechnung 2 2 6 6 2" xfId="4070"/>
    <cellStyle name="Berechnung 2 2 6 7" xfId="4065"/>
    <cellStyle name="Berechnung 2 2 6_Grünland" xfId="3013"/>
    <cellStyle name="Berechnung 2 2 7" xfId="655"/>
    <cellStyle name="Berechnung 2 2 7 2" xfId="656"/>
    <cellStyle name="Berechnung 2 2 7 2 2" xfId="4072"/>
    <cellStyle name="Berechnung 2 2 7 3" xfId="657"/>
    <cellStyle name="Berechnung 2 2 7 3 2" xfId="4073"/>
    <cellStyle name="Berechnung 2 2 7 4" xfId="658"/>
    <cellStyle name="Berechnung 2 2 7 4 2" xfId="4074"/>
    <cellStyle name="Berechnung 2 2 7 5" xfId="659"/>
    <cellStyle name="Berechnung 2 2 7 5 2" xfId="4075"/>
    <cellStyle name="Berechnung 2 2 7 6" xfId="660"/>
    <cellStyle name="Berechnung 2 2 7 6 2" xfId="4076"/>
    <cellStyle name="Berechnung 2 2 7 7" xfId="4071"/>
    <cellStyle name="Berechnung 2 2 7_Grünland" xfId="3014"/>
    <cellStyle name="Berechnung 2 2 8" xfId="661"/>
    <cellStyle name="Berechnung 2 2 8 2" xfId="4077"/>
    <cellStyle name="Berechnung 2 2 9" xfId="662"/>
    <cellStyle name="Berechnung 2 2 9 2" xfId="4078"/>
    <cellStyle name="Berechnung 2 2_Grünland" xfId="2975"/>
    <cellStyle name="Berechnung 2 3" xfId="663"/>
    <cellStyle name="Berechnung 2 3 2" xfId="664"/>
    <cellStyle name="Berechnung 2 3 2 2" xfId="665"/>
    <cellStyle name="Berechnung 2 3 2 2 2" xfId="666"/>
    <cellStyle name="Berechnung 2 3 2 2 2 2" xfId="667"/>
    <cellStyle name="Berechnung 2 3 2 2 2 2 2" xfId="4083"/>
    <cellStyle name="Berechnung 2 3 2 2 2 3" xfId="668"/>
    <cellStyle name="Berechnung 2 3 2 2 2 3 2" xfId="4084"/>
    <cellStyle name="Berechnung 2 3 2 2 2 4" xfId="669"/>
    <cellStyle name="Berechnung 2 3 2 2 2 4 2" xfId="4085"/>
    <cellStyle name="Berechnung 2 3 2 2 2 5" xfId="670"/>
    <cellStyle name="Berechnung 2 3 2 2 2 5 2" xfId="4086"/>
    <cellStyle name="Berechnung 2 3 2 2 2 6" xfId="671"/>
    <cellStyle name="Berechnung 2 3 2 2 2 6 2" xfId="4087"/>
    <cellStyle name="Berechnung 2 3 2 2 2 7" xfId="4082"/>
    <cellStyle name="Berechnung 2 3 2 2 2_Grünland" xfId="3018"/>
    <cellStyle name="Berechnung 2 3 2 2 3" xfId="672"/>
    <cellStyle name="Berechnung 2 3 2 2 3 2" xfId="673"/>
    <cellStyle name="Berechnung 2 3 2 2 3 2 2" xfId="4089"/>
    <cellStyle name="Berechnung 2 3 2 2 3 3" xfId="674"/>
    <cellStyle name="Berechnung 2 3 2 2 3 3 2" xfId="4090"/>
    <cellStyle name="Berechnung 2 3 2 2 3 4" xfId="675"/>
    <cellStyle name="Berechnung 2 3 2 2 3 4 2" xfId="4091"/>
    <cellStyle name="Berechnung 2 3 2 2 3 5" xfId="676"/>
    <cellStyle name="Berechnung 2 3 2 2 3 5 2" xfId="4092"/>
    <cellStyle name="Berechnung 2 3 2 2 3 6" xfId="677"/>
    <cellStyle name="Berechnung 2 3 2 2 3 6 2" xfId="4093"/>
    <cellStyle name="Berechnung 2 3 2 2 3 7" xfId="4088"/>
    <cellStyle name="Berechnung 2 3 2 2 3_Grünland" xfId="3019"/>
    <cellStyle name="Berechnung 2 3 2 2 4" xfId="678"/>
    <cellStyle name="Berechnung 2 3 2 2 4 2" xfId="4094"/>
    <cellStyle name="Berechnung 2 3 2 2 5" xfId="679"/>
    <cellStyle name="Berechnung 2 3 2 2 5 2" xfId="4095"/>
    <cellStyle name="Berechnung 2 3 2 2 6" xfId="680"/>
    <cellStyle name="Berechnung 2 3 2 2 6 2" xfId="4096"/>
    <cellStyle name="Berechnung 2 3 2 2 7" xfId="681"/>
    <cellStyle name="Berechnung 2 3 2 2 7 2" xfId="4097"/>
    <cellStyle name="Berechnung 2 3 2 2 8" xfId="682"/>
    <cellStyle name="Berechnung 2 3 2 2 8 2" xfId="4098"/>
    <cellStyle name="Berechnung 2 3 2 2 9" xfId="4081"/>
    <cellStyle name="Berechnung 2 3 2 2_Grünland" xfId="3017"/>
    <cellStyle name="Berechnung 2 3 2 3" xfId="683"/>
    <cellStyle name="Berechnung 2 3 2 3 2" xfId="684"/>
    <cellStyle name="Berechnung 2 3 2 3 2 2" xfId="4100"/>
    <cellStyle name="Berechnung 2 3 2 3 3" xfId="685"/>
    <cellStyle name="Berechnung 2 3 2 3 3 2" xfId="4101"/>
    <cellStyle name="Berechnung 2 3 2 3 4" xfId="686"/>
    <cellStyle name="Berechnung 2 3 2 3 4 2" xfId="4102"/>
    <cellStyle name="Berechnung 2 3 2 3 5" xfId="687"/>
    <cellStyle name="Berechnung 2 3 2 3 5 2" xfId="4103"/>
    <cellStyle name="Berechnung 2 3 2 3 6" xfId="688"/>
    <cellStyle name="Berechnung 2 3 2 3 6 2" xfId="4104"/>
    <cellStyle name="Berechnung 2 3 2 3 7" xfId="4099"/>
    <cellStyle name="Berechnung 2 3 2 3_Grünland" xfId="3020"/>
    <cellStyle name="Berechnung 2 3 2 4" xfId="689"/>
    <cellStyle name="Berechnung 2 3 2 4 2" xfId="690"/>
    <cellStyle name="Berechnung 2 3 2 4 2 2" xfId="4106"/>
    <cellStyle name="Berechnung 2 3 2 4 3" xfId="691"/>
    <cellStyle name="Berechnung 2 3 2 4 3 2" xfId="4107"/>
    <cellStyle name="Berechnung 2 3 2 4 4" xfId="692"/>
    <cellStyle name="Berechnung 2 3 2 4 4 2" xfId="4108"/>
    <cellStyle name="Berechnung 2 3 2 4 5" xfId="693"/>
    <cellStyle name="Berechnung 2 3 2 4 5 2" xfId="4109"/>
    <cellStyle name="Berechnung 2 3 2 4 6" xfId="694"/>
    <cellStyle name="Berechnung 2 3 2 4 6 2" xfId="4110"/>
    <cellStyle name="Berechnung 2 3 2 4 7" xfId="4105"/>
    <cellStyle name="Berechnung 2 3 2 4_Grünland" xfId="3021"/>
    <cellStyle name="Berechnung 2 3 2 5" xfId="695"/>
    <cellStyle name="Berechnung 2 3 2 5 2" xfId="696"/>
    <cellStyle name="Berechnung 2 3 2 5 2 2" xfId="4112"/>
    <cellStyle name="Berechnung 2 3 2 5 3" xfId="697"/>
    <cellStyle name="Berechnung 2 3 2 5 3 2" xfId="4113"/>
    <cellStyle name="Berechnung 2 3 2 5 4" xfId="698"/>
    <cellStyle name="Berechnung 2 3 2 5 4 2" xfId="4114"/>
    <cellStyle name="Berechnung 2 3 2 5 5" xfId="699"/>
    <cellStyle name="Berechnung 2 3 2 5 5 2" xfId="4115"/>
    <cellStyle name="Berechnung 2 3 2 5 6" xfId="4111"/>
    <cellStyle name="Berechnung 2 3 2 5_Grünland" xfId="3022"/>
    <cellStyle name="Berechnung 2 3 2 6" xfId="700"/>
    <cellStyle name="Berechnung 2 3 2 6 2" xfId="4116"/>
    <cellStyle name="Berechnung 2 3 2 7" xfId="701"/>
    <cellStyle name="Berechnung 2 3 2 7 2" xfId="4117"/>
    <cellStyle name="Berechnung 2 3 2 8" xfId="4080"/>
    <cellStyle name="Berechnung 2 3 2_Grünland" xfId="3016"/>
    <cellStyle name="Berechnung 2 3 3" xfId="702"/>
    <cellStyle name="Berechnung 2 3 3 2" xfId="703"/>
    <cellStyle name="Berechnung 2 3 3 2 2" xfId="704"/>
    <cellStyle name="Berechnung 2 3 3 2 2 2" xfId="705"/>
    <cellStyle name="Berechnung 2 3 3 2 2 2 2" xfId="4121"/>
    <cellStyle name="Berechnung 2 3 3 2 2 3" xfId="706"/>
    <cellStyle name="Berechnung 2 3 3 2 2 3 2" xfId="4122"/>
    <cellStyle name="Berechnung 2 3 3 2 2 4" xfId="707"/>
    <cellStyle name="Berechnung 2 3 3 2 2 4 2" xfId="4123"/>
    <cellStyle name="Berechnung 2 3 3 2 2 5" xfId="708"/>
    <cellStyle name="Berechnung 2 3 3 2 2 5 2" xfId="4124"/>
    <cellStyle name="Berechnung 2 3 3 2 2 6" xfId="709"/>
    <cellStyle name="Berechnung 2 3 3 2 2 6 2" xfId="4125"/>
    <cellStyle name="Berechnung 2 3 3 2 2 7" xfId="4120"/>
    <cellStyle name="Berechnung 2 3 3 2 2_Grünland" xfId="3025"/>
    <cellStyle name="Berechnung 2 3 3 2 3" xfId="710"/>
    <cellStyle name="Berechnung 2 3 3 2 3 2" xfId="711"/>
    <cellStyle name="Berechnung 2 3 3 2 3 2 2" xfId="4127"/>
    <cellStyle name="Berechnung 2 3 3 2 3 3" xfId="712"/>
    <cellStyle name="Berechnung 2 3 3 2 3 3 2" xfId="4128"/>
    <cellStyle name="Berechnung 2 3 3 2 3 4" xfId="713"/>
    <cellStyle name="Berechnung 2 3 3 2 3 4 2" xfId="4129"/>
    <cellStyle name="Berechnung 2 3 3 2 3 5" xfId="714"/>
    <cellStyle name="Berechnung 2 3 3 2 3 5 2" xfId="4130"/>
    <cellStyle name="Berechnung 2 3 3 2 3 6" xfId="715"/>
    <cellStyle name="Berechnung 2 3 3 2 3 6 2" xfId="4131"/>
    <cellStyle name="Berechnung 2 3 3 2 3 7" xfId="4126"/>
    <cellStyle name="Berechnung 2 3 3 2 3_Grünland" xfId="3026"/>
    <cellStyle name="Berechnung 2 3 3 2 4" xfId="716"/>
    <cellStyle name="Berechnung 2 3 3 2 4 2" xfId="4132"/>
    <cellStyle name="Berechnung 2 3 3 2 5" xfId="717"/>
    <cellStyle name="Berechnung 2 3 3 2 5 2" xfId="4133"/>
    <cellStyle name="Berechnung 2 3 3 2 6" xfId="718"/>
    <cellStyle name="Berechnung 2 3 3 2 6 2" xfId="4134"/>
    <cellStyle name="Berechnung 2 3 3 2 7" xfId="719"/>
    <cellStyle name="Berechnung 2 3 3 2 7 2" xfId="4135"/>
    <cellStyle name="Berechnung 2 3 3 2 8" xfId="720"/>
    <cellStyle name="Berechnung 2 3 3 2 8 2" xfId="4136"/>
    <cellStyle name="Berechnung 2 3 3 2 9" xfId="4119"/>
    <cellStyle name="Berechnung 2 3 3 2_Grünland" xfId="3024"/>
    <cellStyle name="Berechnung 2 3 3 3" xfId="721"/>
    <cellStyle name="Berechnung 2 3 3 3 2" xfId="722"/>
    <cellStyle name="Berechnung 2 3 3 3 2 2" xfId="4138"/>
    <cellStyle name="Berechnung 2 3 3 3 3" xfId="723"/>
    <cellStyle name="Berechnung 2 3 3 3 3 2" xfId="4139"/>
    <cellStyle name="Berechnung 2 3 3 3 4" xfId="724"/>
    <cellStyle name="Berechnung 2 3 3 3 4 2" xfId="4140"/>
    <cellStyle name="Berechnung 2 3 3 3 5" xfId="725"/>
    <cellStyle name="Berechnung 2 3 3 3 5 2" xfId="4141"/>
    <cellStyle name="Berechnung 2 3 3 3 6" xfId="726"/>
    <cellStyle name="Berechnung 2 3 3 3 6 2" xfId="4142"/>
    <cellStyle name="Berechnung 2 3 3 3 7" xfId="4137"/>
    <cellStyle name="Berechnung 2 3 3 3_Grünland" xfId="3027"/>
    <cellStyle name="Berechnung 2 3 3 4" xfId="727"/>
    <cellStyle name="Berechnung 2 3 3 4 2" xfId="728"/>
    <cellStyle name="Berechnung 2 3 3 4 2 2" xfId="4144"/>
    <cellStyle name="Berechnung 2 3 3 4 3" xfId="729"/>
    <cellStyle name="Berechnung 2 3 3 4 3 2" xfId="4145"/>
    <cellStyle name="Berechnung 2 3 3 4 4" xfId="730"/>
    <cellStyle name="Berechnung 2 3 3 4 4 2" xfId="4146"/>
    <cellStyle name="Berechnung 2 3 3 4 5" xfId="731"/>
    <cellStyle name="Berechnung 2 3 3 4 5 2" xfId="4147"/>
    <cellStyle name="Berechnung 2 3 3 4 6" xfId="732"/>
    <cellStyle name="Berechnung 2 3 3 4 6 2" xfId="4148"/>
    <cellStyle name="Berechnung 2 3 3 4 7" xfId="4143"/>
    <cellStyle name="Berechnung 2 3 3 4_Grünland" xfId="3028"/>
    <cellStyle name="Berechnung 2 3 3 5" xfId="733"/>
    <cellStyle name="Berechnung 2 3 3 5 2" xfId="734"/>
    <cellStyle name="Berechnung 2 3 3 5 2 2" xfId="4150"/>
    <cellStyle name="Berechnung 2 3 3 5 3" xfId="735"/>
    <cellStyle name="Berechnung 2 3 3 5 3 2" xfId="4151"/>
    <cellStyle name="Berechnung 2 3 3 5 4" xfId="736"/>
    <cellStyle name="Berechnung 2 3 3 5 4 2" xfId="4152"/>
    <cellStyle name="Berechnung 2 3 3 5 5" xfId="737"/>
    <cellStyle name="Berechnung 2 3 3 5 5 2" xfId="4153"/>
    <cellStyle name="Berechnung 2 3 3 5 6" xfId="4149"/>
    <cellStyle name="Berechnung 2 3 3 5_Grünland" xfId="3029"/>
    <cellStyle name="Berechnung 2 3 3 6" xfId="738"/>
    <cellStyle name="Berechnung 2 3 3 6 2" xfId="4154"/>
    <cellStyle name="Berechnung 2 3 3 7" xfId="739"/>
    <cellStyle name="Berechnung 2 3 3 7 2" xfId="4155"/>
    <cellStyle name="Berechnung 2 3 3 8" xfId="4118"/>
    <cellStyle name="Berechnung 2 3 3_Grünland" xfId="3023"/>
    <cellStyle name="Berechnung 2 3 4" xfId="740"/>
    <cellStyle name="Berechnung 2 3 4 2" xfId="741"/>
    <cellStyle name="Berechnung 2 3 4 2 2" xfId="742"/>
    <cellStyle name="Berechnung 2 3 4 2 2 2" xfId="4158"/>
    <cellStyle name="Berechnung 2 3 4 2 3" xfId="743"/>
    <cellStyle name="Berechnung 2 3 4 2 3 2" xfId="4159"/>
    <cellStyle name="Berechnung 2 3 4 2 4" xfId="744"/>
    <cellStyle name="Berechnung 2 3 4 2 4 2" xfId="4160"/>
    <cellStyle name="Berechnung 2 3 4 2 5" xfId="745"/>
    <cellStyle name="Berechnung 2 3 4 2 5 2" xfId="4161"/>
    <cellStyle name="Berechnung 2 3 4 2 6" xfId="746"/>
    <cellStyle name="Berechnung 2 3 4 2 6 2" xfId="4162"/>
    <cellStyle name="Berechnung 2 3 4 2 7" xfId="4157"/>
    <cellStyle name="Berechnung 2 3 4 2_Grünland" xfId="3031"/>
    <cellStyle name="Berechnung 2 3 4 3" xfId="747"/>
    <cellStyle name="Berechnung 2 3 4 3 2" xfId="748"/>
    <cellStyle name="Berechnung 2 3 4 3 2 2" xfId="4164"/>
    <cellStyle name="Berechnung 2 3 4 3 3" xfId="749"/>
    <cellStyle name="Berechnung 2 3 4 3 3 2" xfId="4165"/>
    <cellStyle name="Berechnung 2 3 4 3 4" xfId="750"/>
    <cellStyle name="Berechnung 2 3 4 3 4 2" xfId="4166"/>
    <cellStyle name="Berechnung 2 3 4 3 5" xfId="751"/>
    <cellStyle name="Berechnung 2 3 4 3 5 2" xfId="4167"/>
    <cellStyle name="Berechnung 2 3 4 3 6" xfId="752"/>
    <cellStyle name="Berechnung 2 3 4 3 6 2" xfId="4168"/>
    <cellStyle name="Berechnung 2 3 4 3 7" xfId="4163"/>
    <cellStyle name="Berechnung 2 3 4 3_Grünland" xfId="3032"/>
    <cellStyle name="Berechnung 2 3 4 4" xfId="753"/>
    <cellStyle name="Berechnung 2 3 4 4 2" xfId="4169"/>
    <cellStyle name="Berechnung 2 3 4 5" xfId="754"/>
    <cellStyle name="Berechnung 2 3 4 5 2" xfId="4170"/>
    <cellStyle name="Berechnung 2 3 4 6" xfId="755"/>
    <cellStyle name="Berechnung 2 3 4 6 2" xfId="4171"/>
    <cellStyle name="Berechnung 2 3 4 7" xfId="756"/>
    <cellStyle name="Berechnung 2 3 4 7 2" xfId="4172"/>
    <cellStyle name="Berechnung 2 3 4 8" xfId="757"/>
    <cellStyle name="Berechnung 2 3 4 8 2" xfId="4173"/>
    <cellStyle name="Berechnung 2 3 4 9" xfId="4156"/>
    <cellStyle name="Berechnung 2 3 4_Grünland" xfId="3030"/>
    <cellStyle name="Berechnung 2 3 5" xfId="758"/>
    <cellStyle name="Berechnung 2 3 5 2" xfId="759"/>
    <cellStyle name="Berechnung 2 3 5 2 2" xfId="4175"/>
    <cellStyle name="Berechnung 2 3 5 3" xfId="760"/>
    <cellStyle name="Berechnung 2 3 5 3 2" xfId="4176"/>
    <cellStyle name="Berechnung 2 3 5 4" xfId="761"/>
    <cellStyle name="Berechnung 2 3 5 4 2" xfId="4177"/>
    <cellStyle name="Berechnung 2 3 5 5" xfId="762"/>
    <cellStyle name="Berechnung 2 3 5 5 2" xfId="4178"/>
    <cellStyle name="Berechnung 2 3 5 6" xfId="763"/>
    <cellStyle name="Berechnung 2 3 5 6 2" xfId="4179"/>
    <cellStyle name="Berechnung 2 3 5 7" xfId="4174"/>
    <cellStyle name="Berechnung 2 3 5_Grünland" xfId="3033"/>
    <cellStyle name="Berechnung 2 3 6" xfId="764"/>
    <cellStyle name="Berechnung 2 3 6 2" xfId="765"/>
    <cellStyle name="Berechnung 2 3 6 2 2" xfId="4181"/>
    <cellStyle name="Berechnung 2 3 6 3" xfId="766"/>
    <cellStyle name="Berechnung 2 3 6 3 2" xfId="4182"/>
    <cellStyle name="Berechnung 2 3 6 4" xfId="767"/>
    <cellStyle name="Berechnung 2 3 6 4 2" xfId="4183"/>
    <cellStyle name="Berechnung 2 3 6 5" xfId="768"/>
    <cellStyle name="Berechnung 2 3 6 5 2" xfId="4184"/>
    <cellStyle name="Berechnung 2 3 6 6" xfId="769"/>
    <cellStyle name="Berechnung 2 3 6 6 2" xfId="4185"/>
    <cellStyle name="Berechnung 2 3 6 7" xfId="4180"/>
    <cellStyle name="Berechnung 2 3 6_Grünland" xfId="3034"/>
    <cellStyle name="Berechnung 2 3 7" xfId="770"/>
    <cellStyle name="Berechnung 2 3 7 2" xfId="4186"/>
    <cellStyle name="Berechnung 2 3 8" xfId="771"/>
    <cellStyle name="Berechnung 2 3 8 2" xfId="4187"/>
    <cellStyle name="Berechnung 2 3 9" xfId="4079"/>
    <cellStyle name="Berechnung 2 3_Grünland" xfId="3015"/>
    <cellStyle name="Berechnung 2 4" xfId="772"/>
    <cellStyle name="Berechnung 2 4 2" xfId="773"/>
    <cellStyle name="Berechnung 2 4 2 2" xfId="774"/>
    <cellStyle name="Berechnung 2 4 2 2 2" xfId="775"/>
    <cellStyle name="Berechnung 2 4 2 2 2 2" xfId="4191"/>
    <cellStyle name="Berechnung 2 4 2 2 3" xfId="776"/>
    <cellStyle name="Berechnung 2 4 2 2 3 2" xfId="4192"/>
    <cellStyle name="Berechnung 2 4 2 2 4" xfId="777"/>
    <cellStyle name="Berechnung 2 4 2 2 4 2" xfId="4193"/>
    <cellStyle name="Berechnung 2 4 2 2 5" xfId="778"/>
    <cellStyle name="Berechnung 2 4 2 2 5 2" xfId="4194"/>
    <cellStyle name="Berechnung 2 4 2 2 6" xfId="779"/>
    <cellStyle name="Berechnung 2 4 2 2 6 2" xfId="4195"/>
    <cellStyle name="Berechnung 2 4 2 2 7" xfId="4190"/>
    <cellStyle name="Berechnung 2 4 2 2_Grünland" xfId="3037"/>
    <cellStyle name="Berechnung 2 4 2 3" xfId="780"/>
    <cellStyle name="Berechnung 2 4 2 3 2" xfId="781"/>
    <cellStyle name="Berechnung 2 4 2 3 2 2" xfId="4197"/>
    <cellStyle name="Berechnung 2 4 2 3 3" xfId="782"/>
    <cellStyle name="Berechnung 2 4 2 3 3 2" xfId="4198"/>
    <cellStyle name="Berechnung 2 4 2 3 4" xfId="783"/>
    <cellStyle name="Berechnung 2 4 2 3 4 2" xfId="4199"/>
    <cellStyle name="Berechnung 2 4 2 3 5" xfId="784"/>
    <cellStyle name="Berechnung 2 4 2 3 5 2" xfId="4200"/>
    <cellStyle name="Berechnung 2 4 2 3 6" xfId="785"/>
    <cellStyle name="Berechnung 2 4 2 3 6 2" xfId="4201"/>
    <cellStyle name="Berechnung 2 4 2 3 7" xfId="4196"/>
    <cellStyle name="Berechnung 2 4 2 3_Grünland" xfId="3038"/>
    <cellStyle name="Berechnung 2 4 2 4" xfId="786"/>
    <cellStyle name="Berechnung 2 4 2 4 2" xfId="4202"/>
    <cellStyle name="Berechnung 2 4 2 5" xfId="787"/>
    <cellStyle name="Berechnung 2 4 2 5 2" xfId="4203"/>
    <cellStyle name="Berechnung 2 4 2 6" xfId="788"/>
    <cellStyle name="Berechnung 2 4 2 6 2" xfId="4204"/>
    <cellStyle name="Berechnung 2 4 2 7" xfId="789"/>
    <cellStyle name="Berechnung 2 4 2 7 2" xfId="4205"/>
    <cellStyle name="Berechnung 2 4 2 8" xfId="790"/>
    <cellStyle name="Berechnung 2 4 2 8 2" xfId="4206"/>
    <cellStyle name="Berechnung 2 4 2 9" xfId="4189"/>
    <cellStyle name="Berechnung 2 4 2_Grünland" xfId="3036"/>
    <cellStyle name="Berechnung 2 4 3" xfId="791"/>
    <cellStyle name="Berechnung 2 4 3 2" xfId="792"/>
    <cellStyle name="Berechnung 2 4 3 2 2" xfId="4208"/>
    <cellStyle name="Berechnung 2 4 3 3" xfId="793"/>
    <cellStyle name="Berechnung 2 4 3 3 2" xfId="4209"/>
    <cellStyle name="Berechnung 2 4 3 4" xfId="794"/>
    <cellStyle name="Berechnung 2 4 3 4 2" xfId="4210"/>
    <cellStyle name="Berechnung 2 4 3 5" xfId="795"/>
    <cellStyle name="Berechnung 2 4 3 5 2" xfId="4211"/>
    <cellStyle name="Berechnung 2 4 3 6" xfId="796"/>
    <cellStyle name="Berechnung 2 4 3 6 2" xfId="4212"/>
    <cellStyle name="Berechnung 2 4 3 7" xfId="4207"/>
    <cellStyle name="Berechnung 2 4 3_Grünland" xfId="3039"/>
    <cellStyle name="Berechnung 2 4 4" xfId="797"/>
    <cellStyle name="Berechnung 2 4 4 2" xfId="798"/>
    <cellStyle name="Berechnung 2 4 4 2 2" xfId="4214"/>
    <cellStyle name="Berechnung 2 4 4 3" xfId="799"/>
    <cellStyle name="Berechnung 2 4 4 3 2" xfId="4215"/>
    <cellStyle name="Berechnung 2 4 4 4" xfId="800"/>
    <cellStyle name="Berechnung 2 4 4 4 2" xfId="4216"/>
    <cellStyle name="Berechnung 2 4 4 5" xfId="801"/>
    <cellStyle name="Berechnung 2 4 4 5 2" xfId="4217"/>
    <cellStyle name="Berechnung 2 4 4 6" xfId="802"/>
    <cellStyle name="Berechnung 2 4 4 6 2" xfId="4218"/>
    <cellStyle name="Berechnung 2 4 4 7" xfId="4213"/>
    <cellStyle name="Berechnung 2 4 4_Grünland" xfId="3040"/>
    <cellStyle name="Berechnung 2 4 5" xfId="803"/>
    <cellStyle name="Berechnung 2 4 5 2" xfId="804"/>
    <cellStyle name="Berechnung 2 4 5 2 2" xfId="4220"/>
    <cellStyle name="Berechnung 2 4 5 3" xfId="805"/>
    <cellStyle name="Berechnung 2 4 5 3 2" xfId="4221"/>
    <cellStyle name="Berechnung 2 4 5 4" xfId="806"/>
    <cellStyle name="Berechnung 2 4 5 4 2" xfId="4222"/>
    <cellStyle name="Berechnung 2 4 5 5" xfId="807"/>
    <cellStyle name="Berechnung 2 4 5 5 2" xfId="4223"/>
    <cellStyle name="Berechnung 2 4 5 6" xfId="4219"/>
    <cellStyle name="Berechnung 2 4 5_Grünland" xfId="3041"/>
    <cellStyle name="Berechnung 2 4 6" xfId="808"/>
    <cellStyle name="Berechnung 2 4 6 2" xfId="4224"/>
    <cellStyle name="Berechnung 2 4 7" xfId="809"/>
    <cellStyle name="Berechnung 2 4 7 2" xfId="4225"/>
    <cellStyle name="Berechnung 2 4 8" xfId="4188"/>
    <cellStyle name="Berechnung 2 4_Grünland" xfId="3035"/>
    <cellStyle name="Berechnung 2 5" xfId="810"/>
    <cellStyle name="Berechnung 2 5 2" xfId="811"/>
    <cellStyle name="Berechnung 2 5 2 2" xfId="812"/>
    <cellStyle name="Berechnung 2 5 2 2 2" xfId="813"/>
    <cellStyle name="Berechnung 2 5 2 2 2 2" xfId="4229"/>
    <cellStyle name="Berechnung 2 5 2 2 3" xfId="814"/>
    <cellStyle name="Berechnung 2 5 2 2 3 2" xfId="4230"/>
    <cellStyle name="Berechnung 2 5 2 2 4" xfId="815"/>
    <cellStyle name="Berechnung 2 5 2 2 4 2" xfId="4231"/>
    <cellStyle name="Berechnung 2 5 2 2 5" xfId="816"/>
    <cellStyle name="Berechnung 2 5 2 2 5 2" xfId="4232"/>
    <cellStyle name="Berechnung 2 5 2 2 6" xfId="817"/>
    <cellStyle name="Berechnung 2 5 2 2 6 2" xfId="4233"/>
    <cellStyle name="Berechnung 2 5 2 2 7" xfId="4228"/>
    <cellStyle name="Berechnung 2 5 2 2_Grünland" xfId="3044"/>
    <cellStyle name="Berechnung 2 5 2 3" xfId="818"/>
    <cellStyle name="Berechnung 2 5 2 3 2" xfId="819"/>
    <cellStyle name="Berechnung 2 5 2 3 2 2" xfId="4235"/>
    <cellStyle name="Berechnung 2 5 2 3 3" xfId="820"/>
    <cellStyle name="Berechnung 2 5 2 3 3 2" xfId="4236"/>
    <cellStyle name="Berechnung 2 5 2 3 4" xfId="821"/>
    <cellStyle name="Berechnung 2 5 2 3 4 2" xfId="4237"/>
    <cellStyle name="Berechnung 2 5 2 3 5" xfId="822"/>
    <cellStyle name="Berechnung 2 5 2 3 5 2" xfId="4238"/>
    <cellStyle name="Berechnung 2 5 2 3 6" xfId="823"/>
    <cellStyle name="Berechnung 2 5 2 3 6 2" xfId="4239"/>
    <cellStyle name="Berechnung 2 5 2 3 7" xfId="4234"/>
    <cellStyle name="Berechnung 2 5 2 3_Grünland" xfId="3045"/>
    <cellStyle name="Berechnung 2 5 2 4" xfId="824"/>
    <cellStyle name="Berechnung 2 5 2 4 2" xfId="4240"/>
    <cellStyle name="Berechnung 2 5 2 5" xfId="825"/>
    <cellStyle name="Berechnung 2 5 2 5 2" xfId="4241"/>
    <cellStyle name="Berechnung 2 5 2 6" xfId="826"/>
    <cellStyle name="Berechnung 2 5 2 6 2" xfId="4242"/>
    <cellStyle name="Berechnung 2 5 2 7" xfId="827"/>
    <cellStyle name="Berechnung 2 5 2 7 2" xfId="4243"/>
    <cellStyle name="Berechnung 2 5 2 8" xfId="828"/>
    <cellStyle name="Berechnung 2 5 2 8 2" xfId="4244"/>
    <cellStyle name="Berechnung 2 5 2 9" xfId="4227"/>
    <cellStyle name="Berechnung 2 5 2_Grünland" xfId="3043"/>
    <cellStyle name="Berechnung 2 5 3" xfId="829"/>
    <cellStyle name="Berechnung 2 5 3 2" xfId="830"/>
    <cellStyle name="Berechnung 2 5 3 2 2" xfId="4246"/>
    <cellStyle name="Berechnung 2 5 3 3" xfId="831"/>
    <cellStyle name="Berechnung 2 5 3 3 2" xfId="4247"/>
    <cellStyle name="Berechnung 2 5 3 4" xfId="832"/>
    <cellStyle name="Berechnung 2 5 3 4 2" xfId="4248"/>
    <cellStyle name="Berechnung 2 5 3 5" xfId="833"/>
    <cellStyle name="Berechnung 2 5 3 5 2" xfId="4249"/>
    <cellStyle name="Berechnung 2 5 3 6" xfId="834"/>
    <cellStyle name="Berechnung 2 5 3 6 2" xfId="4250"/>
    <cellStyle name="Berechnung 2 5 3 7" xfId="4245"/>
    <cellStyle name="Berechnung 2 5 3_Grünland" xfId="3046"/>
    <cellStyle name="Berechnung 2 5 4" xfId="835"/>
    <cellStyle name="Berechnung 2 5 4 2" xfId="836"/>
    <cellStyle name="Berechnung 2 5 4 2 2" xfId="4252"/>
    <cellStyle name="Berechnung 2 5 4 3" xfId="837"/>
    <cellStyle name="Berechnung 2 5 4 3 2" xfId="4253"/>
    <cellStyle name="Berechnung 2 5 4 4" xfId="838"/>
    <cellStyle name="Berechnung 2 5 4 4 2" xfId="4254"/>
    <cellStyle name="Berechnung 2 5 4 5" xfId="839"/>
    <cellStyle name="Berechnung 2 5 4 5 2" xfId="4255"/>
    <cellStyle name="Berechnung 2 5 4 6" xfId="840"/>
    <cellStyle name="Berechnung 2 5 4 6 2" xfId="4256"/>
    <cellStyle name="Berechnung 2 5 4 7" xfId="4251"/>
    <cellStyle name="Berechnung 2 5 4_Grünland" xfId="3047"/>
    <cellStyle name="Berechnung 2 5 5" xfId="841"/>
    <cellStyle name="Berechnung 2 5 5 2" xfId="842"/>
    <cellStyle name="Berechnung 2 5 5 2 2" xfId="4258"/>
    <cellStyle name="Berechnung 2 5 5 3" xfId="843"/>
    <cellStyle name="Berechnung 2 5 5 3 2" xfId="4259"/>
    <cellStyle name="Berechnung 2 5 5 4" xfId="844"/>
    <cellStyle name="Berechnung 2 5 5 4 2" xfId="4260"/>
    <cellStyle name="Berechnung 2 5 5 5" xfId="845"/>
    <cellStyle name="Berechnung 2 5 5 5 2" xfId="4261"/>
    <cellStyle name="Berechnung 2 5 5 6" xfId="4257"/>
    <cellStyle name="Berechnung 2 5 5_Grünland" xfId="3048"/>
    <cellStyle name="Berechnung 2 5 6" xfId="846"/>
    <cellStyle name="Berechnung 2 5 6 2" xfId="4262"/>
    <cellStyle name="Berechnung 2 5 7" xfId="847"/>
    <cellStyle name="Berechnung 2 5 7 2" xfId="4263"/>
    <cellStyle name="Berechnung 2 5 8" xfId="4226"/>
    <cellStyle name="Berechnung 2 5_Grünland" xfId="3042"/>
    <cellStyle name="Berechnung 2 6" xfId="848"/>
    <cellStyle name="Berechnung 2 6 2" xfId="849"/>
    <cellStyle name="Berechnung 2 6 2 2" xfId="850"/>
    <cellStyle name="Berechnung 2 6 2 2 2" xfId="4266"/>
    <cellStyle name="Berechnung 2 6 2 3" xfId="851"/>
    <cellStyle name="Berechnung 2 6 2 3 2" xfId="4267"/>
    <cellStyle name="Berechnung 2 6 2 4" xfId="852"/>
    <cellStyle name="Berechnung 2 6 2 4 2" xfId="4268"/>
    <cellStyle name="Berechnung 2 6 2 5" xfId="853"/>
    <cellStyle name="Berechnung 2 6 2 5 2" xfId="4269"/>
    <cellStyle name="Berechnung 2 6 2 6" xfId="854"/>
    <cellStyle name="Berechnung 2 6 2 6 2" xfId="4270"/>
    <cellStyle name="Berechnung 2 6 2 7" xfId="4265"/>
    <cellStyle name="Berechnung 2 6 2_Grünland" xfId="3050"/>
    <cellStyle name="Berechnung 2 6 3" xfId="855"/>
    <cellStyle name="Berechnung 2 6 3 2" xfId="856"/>
    <cellStyle name="Berechnung 2 6 3 2 2" xfId="4272"/>
    <cellStyle name="Berechnung 2 6 3 3" xfId="857"/>
    <cellStyle name="Berechnung 2 6 3 3 2" xfId="4273"/>
    <cellStyle name="Berechnung 2 6 3 4" xfId="858"/>
    <cellStyle name="Berechnung 2 6 3 4 2" xfId="4274"/>
    <cellStyle name="Berechnung 2 6 3 5" xfId="859"/>
    <cellStyle name="Berechnung 2 6 3 5 2" xfId="4275"/>
    <cellStyle name="Berechnung 2 6 3 6" xfId="860"/>
    <cellStyle name="Berechnung 2 6 3 6 2" xfId="4276"/>
    <cellStyle name="Berechnung 2 6 3 7" xfId="4271"/>
    <cellStyle name="Berechnung 2 6 3_Grünland" xfId="3051"/>
    <cellStyle name="Berechnung 2 6 4" xfId="861"/>
    <cellStyle name="Berechnung 2 6 4 2" xfId="4277"/>
    <cellStyle name="Berechnung 2 6 5" xfId="862"/>
    <cellStyle name="Berechnung 2 6 5 2" xfId="4278"/>
    <cellStyle name="Berechnung 2 6 6" xfId="863"/>
    <cellStyle name="Berechnung 2 6 6 2" xfId="4279"/>
    <cellStyle name="Berechnung 2 6 7" xfId="864"/>
    <cellStyle name="Berechnung 2 6 7 2" xfId="4280"/>
    <cellStyle name="Berechnung 2 6 8" xfId="865"/>
    <cellStyle name="Berechnung 2 6 8 2" xfId="4281"/>
    <cellStyle name="Berechnung 2 6 9" xfId="4264"/>
    <cellStyle name="Berechnung 2 6_Grünland" xfId="3049"/>
    <cellStyle name="Berechnung 2 7" xfId="866"/>
    <cellStyle name="Berechnung 2 7 2" xfId="867"/>
    <cellStyle name="Berechnung 2 7 2 2" xfId="4283"/>
    <cellStyle name="Berechnung 2 7 3" xfId="868"/>
    <cellStyle name="Berechnung 2 7 3 2" xfId="4284"/>
    <cellStyle name="Berechnung 2 7 4" xfId="869"/>
    <cellStyle name="Berechnung 2 7 4 2" xfId="4285"/>
    <cellStyle name="Berechnung 2 7 5" xfId="870"/>
    <cellStyle name="Berechnung 2 7 5 2" xfId="4286"/>
    <cellStyle name="Berechnung 2 7 6" xfId="871"/>
    <cellStyle name="Berechnung 2 7 6 2" xfId="4287"/>
    <cellStyle name="Berechnung 2 7 7" xfId="4282"/>
    <cellStyle name="Berechnung 2 7_Grünland" xfId="3052"/>
    <cellStyle name="Berechnung 2 8" xfId="872"/>
    <cellStyle name="Berechnung 2 8 2" xfId="873"/>
    <cellStyle name="Berechnung 2 8 2 2" xfId="4289"/>
    <cellStyle name="Berechnung 2 8 3" xfId="874"/>
    <cellStyle name="Berechnung 2 8 3 2" xfId="4290"/>
    <cellStyle name="Berechnung 2 8 4" xfId="875"/>
    <cellStyle name="Berechnung 2 8 4 2" xfId="4291"/>
    <cellStyle name="Berechnung 2 8 5" xfId="876"/>
    <cellStyle name="Berechnung 2 8 5 2" xfId="4292"/>
    <cellStyle name="Berechnung 2 8 6" xfId="877"/>
    <cellStyle name="Berechnung 2 8 6 2" xfId="4293"/>
    <cellStyle name="Berechnung 2 8 7" xfId="4288"/>
    <cellStyle name="Berechnung 2 8_Grünland" xfId="3053"/>
    <cellStyle name="Berechnung 2 9" xfId="878"/>
    <cellStyle name="Berechnung 2 9 2" xfId="4294"/>
    <cellStyle name="Berechnung 2_Grünland" xfId="2974"/>
    <cellStyle name="Eingabe 2" xfId="879"/>
    <cellStyle name="Eingabe 2 10" xfId="880"/>
    <cellStyle name="Eingabe 2 10 2" xfId="4296"/>
    <cellStyle name="Eingabe 2 11" xfId="4295"/>
    <cellStyle name="Eingabe 2 2" xfId="881"/>
    <cellStyle name="Eingabe 2 2 10" xfId="4297"/>
    <cellStyle name="Eingabe 2 2 2" xfId="882"/>
    <cellStyle name="Eingabe 2 2 2 2" xfId="883"/>
    <cellStyle name="Eingabe 2 2 2 2 2" xfId="884"/>
    <cellStyle name="Eingabe 2 2 2 2 2 2" xfId="885"/>
    <cellStyle name="Eingabe 2 2 2 2 2 2 2" xfId="886"/>
    <cellStyle name="Eingabe 2 2 2 2 2 2 2 2" xfId="4302"/>
    <cellStyle name="Eingabe 2 2 2 2 2 2 3" xfId="887"/>
    <cellStyle name="Eingabe 2 2 2 2 2 2 3 2" xfId="4303"/>
    <cellStyle name="Eingabe 2 2 2 2 2 2 4" xfId="888"/>
    <cellStyle name="Eingabe 2 2 2 2 2 2 4 2" xfId="4304"/>
    <cellStyle name="Eingabe 2 2 2 2 2 2 5" xfId="889"/>
    <cellStyle name="Eingabe 2 2 2 2 2 2 5 2" xfId="4305"/>
    <cellStyle name="Eingabe 2 2 2 2 2 2 6" xfId="890"/>
    <cellStyle name="Eingabe 2 2 2 2 2 2 6 2" xfId="4306"/>
    <cellStyle name="Eingabe 2 2 2 2 2 2 7" xfId="4301"/>
    <cellStyle name="Eingabe 2 2 2 2 2 2_Grünland" xfId="3059"/>
    <cellStyle name="Eingabe 2 2 2 2 2 3" xfId="891"/>
    <cellStyle name="Eingabe 2 2 2 2 2 3 2" xfId="892"/>
    <cellStyle name="Eingabe 2 2 2 2 2 3 2 2" xfId="4308"/>
    <cellStyle name="Eingabe 2 2 2 2 2 3 3" xfId="893"/>
    <cellStyle name="Eingabe 2 2 2 2 2 3 3 2" xfId="4309"/>
    <cellStyle name="Eingabe 2 2 2 2 2 3 4" xfId="894"/>
    <cellStyle name="Eingabe 2 2 2 2 2 3 4 2" xfId="4310"/>
    <cellStyle name="Eingabe 2 2 2 2 2 3 5" xfId="895"/>
    <cellStyle name="Eingabe 2 2 2 2 2 3 5 2" xfId="4311"/>
    <cellStyle name="Eingabe 2 2 2 2 2 3 6" xfId="896"/>
    <cellStyle name="Eingabe 2 2 2 2 2 3 6 2" xfId="4312"/>
    <cellStyle name="Eingabe 2 2 2 2 2 3 7" xfId="4307"/>
    <cellStyle name="Eingabe 2 2 2 2 2 3_Grünland" xfId="3060"/>
    <cellStyle name="Eingabe 2 2 2 2 2 4" xfId="897"/>
    <cellStyle name="Eingabe 2 2 2 2 2 4 2" xfId="4313"/>
    <cellStyle name="Eingabe 2 2 2 2 2 5" xfId="898"/>
    <cellStyle name="Eingabe 2 2 2 2 2 5 2" xfId="4314"/>
    <cellStyle name="Eingabe 2 2 2 2 2 6" xfId="899"/>
    <cellStyle name="Eingabe 2 2 2 2 2 6 2" xfId="4315"/>
    <cellStyle name="Eingabe 2 2 2 2 2 7" xfId="900"/>
    <cellStyle name="Eingabe 2 2 2 2 2 7 2" xfId="4316"/>
    <cellStyle name="Eingabe 2 2 2 2 2 8" xfId="901"/>
    <cellStyle name="Eingabe 2 2 2 2 2 8 2" xfId="4317"/>
    <cellStyle name="Eingabe 2 2 2 2 2 9" xfId="4300"/>
    <cellStyle name="Eingabe 2 2 2 2 2_Grünland" xfId="3058"/>
    <cellStyle name="Eingabe 2 2 2 2 3" xfId="902"/>
    <cellStyle name="Eingabe 2 2 2 2 3 2" xfId="903"/>
    <cellStyle name="Eingabe 2 2 2 2 3 2 2" xfId="4319"/>
    <cellStyle name="Eingabe 2 2 2 2 3 3" xfId="904"/>
    <cellStyle name="Eingabe 2 2 2 2 3 3 2" xfId="4320"/>
    <cellStyle name="Eingabe 2 2 2 2 3 4" xfId="905"/>
    <cellStyle name="Eingabe 2 2 2 2 3 4 2" xfId="4321"/>
    <cellStyle name="Eingabe 2 2 2 2 3 5" xfId="906"/>
    <cellStyle name="Eingabe 2 2 2 2 3 5 2" xfId="4322"/>
    <cellStyle name="Eingabe 2 2 2 2 3 6" xfId="907"/>
    <cellStyle name="Eingabe 2 2 2 2 3 6 2" xfId="4323"/>
    <cellStyle name="Eingabe 2 2 2 2 3 7" xfId="4318"/>
    <cellStyle name="Eingabe 2 2 2 2 3_Grünland" xfId="3061"/>
    <cellStyle name="Eingabe 2 2 2 2 4" xfId="908"/>
    <cellStyle name="Eingabe 2 2 2 2 4 2" xfId="909"/>
    <cellStyle name="Eingabe 2 2 2 2 4 2 2" xfId="4325"/>
    <cellStyle name="Eingabe 2 2 2 2 4 3" xfId="910"/>
    <cellStyle name="Eingabe 2 2 2 2 4 3 2" xfId="4326"/>
    <cellStyle name="Eingabe 2 2 2 2 4 4" xfId="911"/>
    <cellStyle name="Eingabe 2 2 2 2 4 4 2" xfId="4327"/>
    <cellStyle name="Eingabe 2 2 2 2 4 5" xfId="912"/>
    <cellStyle name="Eingabe 2 2 2 2 4 5 2" xfId="4328"/>
    <cellStyle name="Eingabe 2 2 2 2 4 6" xfId="913"/>
    <cellStyle name="Eingabe 2 2 2 2 4 6 2" xfId="4329"/>
    <cellStyle name="Eingabe 2 2 2 2 4 7" xfId="4324"/>
    <cellStyle name="Eingabe 2 2 2 2 4_Grünland" xfId="3062"/>
    <cellStyle name="Eingabe 2 2 2 2 5" xfId="914"/>
    <cellStyle name="Eingabe 2 2 2 2 5 2" xfId="915"/>
    <cellStyle name="Eingabe 2 2 2 2 5 2 2" xfId="4331"/>
    <cellStyle name="Eingabe 2 2 2 2 5 3" xfId="916"/>
    <cellStyle name="Eingabe 2 2 2 2 5 3 2" xfId="4332"/>
    <cellStyle name="Eingabe 2 2 2 2 5 4" xfId="917"/>
    <cellStyle name="Eingabe 2 2 2 2 5 4 2" xfId="4333"/>
    <cellStyle name="Eingabe 2 2 2 2 5 5" xfId="918"/>
    <cellStyle name="Eingabe 2 2 2 2 5 5 2" xfId="4334"/>
    <cellStyle name="Eingabe 2 2 2 2 5 6" xfId="4330"/>
    <cellStyle name="Eingabe 2 2 2 2 5_Grünland" xfId="3063"/>
    <cellStyle name="Eingabe 2 2 2 2 6" xfId="919"/>
    <cellStyle name="Eingabe 2 2 2 2 6 2" xfId="4335"/>
    <cellStyle name="Eingabe 2 2 2 2 7" xfId="920"/>
    <cellStyle name="Eingabe 2 2 2 2 7 2" xfId="4336"/>
    <cellStyle name="Eingabe 2 2 2 2 8" xfId="4299"/>
    <cellStyle name="Eingabe 2 2 2 2_Grünland" xfId="3057"/>
    <cellStyle name="Eingabe 2 2 2 3" xfId="921"/>
    <cellStyle name="Eingabe 2 2 2 3 2" xfId="922"/>
    <cellStyle name="Eingabe 2 2 2 3 2 2" xfId="923"/>
    <cellStyle name="Eingabe 2 2 2 3 2 2 2" xfId="924"/>
    <cellStyle name="Eingabe 2 2 2 3 2 2 2 2" xfId="4340"/>
    <cellStyle name="Eingabe 2 2 2 3 2 2 3" xfId="925"/>
    <cellStyle name="Eingabe 2 2 2 3 2 2 3 2" xfId="4341"/>
    <cellStyle name="Eingabe 2 2 2 3 2 2 4" xfId="926"/>
    <cellStyle name="Eingabe 2 2 2 3 2 2 4 2" xfId="4342"/>
    <cellStyle name="Eingabe 2 2 2 3 2 2 5" xfId="927"/>
    <cellStyle name="Eingabe 2 2 2 3 2 2 5 2" xfId="4343"/>
    <cellStyle name="Eingabe 2 2 2 3 2 2 6" xfId="928"/>
    <cellStyle name="Eingabe 2 2 2 3 2 2 6 2" xfId="4344"/>
    <cellStyle name="Eingabe 2 2 2 3 2 2 7" xfId="4339"/>
    <cellStyle name="Eingabe 2 2 2 3 2 2_Grünland" xfId="3066"/>
    <cellStyle name="Eingabe 2 2 2 3 2 3" xfId="929"/>
    <cellStyle name="Eingabe 2 2 2 3 2 3 2" xfId="930"/>
    <cellStyle name="Eingabe 2 2 2 3 2 3 2 2" xfId="4346"/>
    <cellStyle name="Eingabe 2 2 2 3 2 3 3" xfId="931"/>
    <cellStyle name="Eingabe 2 2 2 3 2 3 3 2" xfId="4347"/>
    <cellStyle name="Eingabe 2 2 2 3 2 3 4" xfId="932"/>
    <cellStyle name="Eingabe 2 2 2 3 2 3 4 2" xfId="4348"/>
    <cellStyle name="Eingabe 2 2 2 3 2 3 5" xfId="933"/>
    <cellStyle name="Eingabe 2 2 2 3 2 3 5 2" xfId="4349"/>
    <cellStyle name="Eingabe 2 2 2 3 2 3 6" xfId="934"/>
    <cellStyle name="Eingabe 2 2 2 3 2 3 6 2" xfId="4350"/>
    <cellStyle name="Eingabe 2 2 2 3 2 3 7" xfId="4345"/>
    <cellStyle name="Eingabe 2 2 2 3 2 3_Grünland" xfId="3067"/>
    <cellStyle name="Eingabe 2 2 2 3 2 4" xfId="935"/>
    <cellStyle name="Eingabe 2 2 2 3 2 4 2" xfId="4351"/>
    <cellStyle name="Eingabe 2 2 2 3 2 5" xfId="936"/>
    <cellStyle name="Eingabe 2 2 2 3 2 5 2" xfId="4352"/>
    <cellStyle name="Eingabe 2 2 2 3 2 6" xfId="937"/>
    <cellStyle name="Eingabe 2 2 2 3 2 6 2" xfId="4353"/>
    <cellStyle name="Eingabe 2 2 2 3 2 7" xfId="938"/>
    <cellStyle name="Eingabe 2 2 2 3 2 7 2" xfId="4354"/>
    <cellStyle name="Eingabe 2 2 2 3 2 8" xfId="939"/>
    <cellStyle name="Eingabe 2 2 2 3 2 8 2" xfId="4355"/>
    <cellStyle name="Eingabe 2 2 2 3 2 9" xfId="4338"/>
    <cellStyle name="Eingabe 2 2 2 3 2_Grünland" xfId="3065"/>
    <cellStyle name="Eingabe 2 2 2 3 3" xfId="940"/>
    <cellStyle name="Eingabe 2 2 2 3 3 2" xfId="941"/>
    <cellStyle name="Eingabe 2 2 2 3 3 2 2" xfId="4357"/>
    <cellStyle name="Eingabe 2 2 2 3 3 3" xfId="942"/>
    <cellStyle name="Eingabe 2 2 2 3 3 3 2" xfId="4358"/>
    <cellStyle name="Eingabe 2 2 2 3 3 4" xfId="943"/>
    <cellStyle name="Eingabe 2 2 2 3 3 4 2" xfId="4359"/>
    <cellStyle name="Eingabe 2 2 2 3 3 5" xfId="944"/>
    <cellStyle name="Eingabe 2 2 2 3 3 5 2" xfId="4360"/>
    <cellStyle name="Eingabe 2 2 2 3 3 6" xfId="945"/>
    <cellStyle name="Eingabe 2 2 2 3 3 6 2" xfId="4361"/>
    <cellStyle name="Eingabe 2 2 2 3 3 7" xfId="4356"/>
    <cellStyle name="Eingabe 2 2 2 3 3_Grünland" xfId="3068"/>
    <cellStyle name="Eingabe 2 2 2 3 4" xfId="946"/>
    <cellStyle name="Eingabe 2 2 2 3 4 2" xfId="947"/>
    <cellStyle name="Eingabe 2 2 2 3 4 2 2" xfId="4363"/>
    <cellStyle name="Eingabe 2 2 2 3 4 3" xfId="948"/>
    <cellStyle name="Eingabe 2 2 2 3 4 3 2" xfId="4364"/>
    <cellStyle name="Eingabe 2 2 2 3 4 4" xfId="949"/>
    <cellStyle name="Eingabe 2 2 2 3 4 4 2" xfId="4365"/>
    <cellStyle name="Eingabe 2 2 2 3 4 5" xfId="950"/>
    <cellStyle name="Eingabe 2 2 2 3 4 5 2" xfId="4366"/>
    <cellStyle name="Eingabe 2 2 2 3 4 6" xfId="951"/>
    <cellStyle name="Eingabe 2 2 2 3 4 6 2" xfId="4367"/>
    <cellStyle name="Eingabe 2 2 2 3 4 7" xfId="4362"/>
    <cellStyle name="Eingabe 2 2 2 3 4_Grünland" xfId="3069"/>
    <cellStyle name="Eingabe 2 2 2 3 5" xfId="952"/>
    <cellStyle name="Eingabe 2 2 2 3 5 2" xfId="953"/>
    <cellStyle name="Eingabe 2 2 2 3 5 2 2" xfId="4369"/>
    <cellStyle name="Eingabe 2 2 2 3 5 3" xfId="954"/>
    <cellStyle name="Eingabe 2 2 2 3 5 3 2" xfId="4370"/>
    <cellStyle name="Eingabe 2 2 2 3 5 4" xfId="955"/>
    <cellStyle name="Eingabe 2 2 2 3 5 4 2" xfId="4371"/>
    <cellStyle name="Eingabe 2 2 2 3 5 5" xfId="956"/>
    <cellStyle name="Eingabe 2 2 2 3 5 5 2" xfId="4372"/>
    <cellStyle name="Eingabe 2 2 2 3 5 6" xfId="4368"/>
    <cellStyle name="Eingabe 2 2 2 3 5_Grünland" xfId="3070"/>
    <cellStyle name="Eingabe 2 2 2 3 6" xfId="957"/>
    <cellStyle name="Eingabe 2 2 2 3 6 2" xfId="4373"/>
    <cellStyle name="Eingabe 2 2 2 3 7" xfId="958"/>
    <cellStyle name="Eingabe 2 2 2 3 7 2" xfId="4374"/>
    <cellStyle name="Eingabe 2 2 2 3 8" xfId="4337"/>
    <cellStyle name="Eingabe 2 2 2 3_Grünland" xfId="3064"/>
    <cellStyle name="Eingabe 2 2 2 4" xfId="959"/>
    <cellStyle name="Eingabe 2 2 2 4 2" xfId="960"/>
    <cellStyle name="Eingabe 2 2 2 4 2 2" xfId="961"/>
    <cellStyle name="Eingabe 2 2 2 4 2 2 2" xfId="4377"/>
    <cellStyle name="Eingabe 2 2 2 4 2 3" xfId="962"/>
    <cellStyle name="Eingabe 2 2 2 4 2 3 2" xfId="4378"/>
    <cellStyle name="Eingabe 2 2 2 4 2 4" xfId="963"/>
    <cellStyle name="Eingabe 2 2 2 4 2 4 2" xfId="4379"/>
    <cellStyle name="Eingabe 2 2 2 4 2 5" xfId="964"/>
    <cellStyle name="Eingabe 2 2 2 4 2 5 2" xfId="4380"/>
    <cellStyle name="Eingabe 2 2 2 4 2 6" xfId="965"/>
    <cellStyle name="Eingabe 2 2 2 4 2 6 2" xfId="4381"/>
    <cellStyle name="Eingabe 2 2 2 4 2 7" xfId="4376"/>
    <cellStyle name="Eingabe 2 2 2 4 2_Grünland" xfId="3072"/>
    <cellStyle name="Eingabe 2 2 2 4 3" xfId="966"/>
    <cellStyle name="Eingabe 2 2 2 4 3 2" xfId="967"/>
    <cellStyle name="Eingabe 2 2 2 4 3 2 2" xfId="4383"/>
    <cellStyle name="Eingabe 2 2 2 4 3 3" xfId="968"/>
    <cellStyle name="Eingabe 2 2 2 4 3 3 2" xfId="4384"/>
    <cellStyle name="Eingabe 2 2 2 4 3 4" xfId="969"/>
    <cellStyle name="Eingabe 2 2 2 4 3 4 2" xfId="4385"/>
    <cellStyle name="Eingabe 2 2 2 4 3 5" xfId="970"/>
    <cellStyle name="Eingabe 2 2 2 4 3 5 2" xfId="4386"/>
    <cellStyle name="Eingabe 2 2 2 4 3 6" xfId="971"/>
    <cellStyle name="Eingabe 2 2 2 4 3 6 2" xfId="4387"/>
    <cellStyle name="Eingabe 2 2 2 4 3 7" xfId="4382"/>
    <cellStyle name="Eingabe 2 2 2 4 3_Grünland" xfId="3073"/>
    <cellStyle name="Eingabe 2 2 2 4 4" xfId="972"/>
    <cellStyle name="Eingabe 2 2 2 4 4 2" xfId="4388"/>
    <cellStyle name="Eingabe 2 2 2 4 5" xfId="973"/>
    <cellStyle name="Eingabe 2 2 2 4 5 2" xfId="4389"/>
    <cellStyle name="Eingabe 2 2 2 4 6" xfId="974"/>
    <cellStyle name="Eingabe 2 2 2 4 6 2" xfId="4390"/>
    <cellStyle name="Eingabe 2 2 2 4 7" xfId="975"/>
    <cellStyle name="Eingabe 2 2 2 4 7 2" xfId="4391"/>
    <cellStyle name="Eingabe 2 2 2 4 8" xfId="976"/>
    <cellStyle name="Eingabe 2 2 2 4 8 2" xfId="4392"/>
    <cellStyle name="Eingabe 2 2 2 4 9" xfId="4375"/>
    <cellStyle name="Eingabe 2 2 2 4_Grünland" xfId="3071"/>
    <cellStyle name="Eingabe 2 2 2 5" xfId="977"/>
    <cellStyle name="Eingabe 2 2 2 5 2" xfId="978"/>
    <cellStyle name="Eingabe 2 2 2 5 2 2" xfId="4394"/>
    <cellStyle name="Eingabe 2 2 2 5 3" xfId="979"/>
    <cellStyle name="Eingabe 2 2 2 5 3 2" xfId="4395"/>
    <cellStyle name="Eingabe 2 2 2 5 4" xfId="980"/>
    <cellStyle name="Eingabe 2 2 2 5 4 2" xfId="4396"/>
    <cellStyle name="Eingabe 2 2 2 5 5" xfId="981"/>
    <cellStyle name="Eingabe 2 2 2 5 5 2" xfId="4397"/>
    <cellStyle name="Eingabe 2 2 2 5 6" xfId="982"/>
    <cellStyle name="Eingabe 2 2 2 5 6 2" xfId="4398"/>
    <cellStyle name="Eingabe 2 2 2 5 7" xfId="4393"/>
    <cellStyle name="Eingabe 2 2 2 5_Grünland" xfId="3074"/>
    <cellStyle name="Eingabe 2 2 2 6" xfId="983"/>
    <cellStyle name="Eingabe 2 2 2 6 2" xfId="984"/>
    <cellStyle name="Eingabe 2 2 2 6 2 2" xfId="4400"/>
    <cellStyle name="Eingabe 2 2 2 6 3" xfId="985"/>
    <cellStyle name="Eingabe 2 2 2 6 3 2" xfId="4401"/>
    <cellStyle name="Eingabe 2 2 2 6 4" xfId="986"/>
    <cellStyle name="Eingabe 2 2 2 6 4 2" xfId="4402"/>
    <cellStyle name="Eingabe 2 2 2 6 5" xfId="987"/>
    <cellStyle name="Eingabe 2 2 2 6 5 2" xfId="4403"/>
    <cellStyle name="Eingabe 2 2 2 6 6" xfId="988"/>
    <cellStyle name="Eingabe 2 2 2 6 6 2" xfId="4404"/>
    <cellStyle name="Eingabe 2 2 2 6 7" xfId="4399"/>
    <cellStyle name="Eingabe 2 2 2 6_Grünland" xfId="3075"/>
    <cellStyle name="Eingabe 2 2 2 7" xfId="989"/>
    <cellStyle name="Eingabe 2 2 2 7 2" xfId="4405"/>
    <cellStyle name="Eingabe 2 2 2 8" xfId="990"/>
    <cellStyle name="Eingabe 2 2 2 8 2" xfId="4406"/>
    <cellStyle name="Eingabe 2 2 2 9" xfId="4298"/>
    <cellStyle name="Eingabe 2 2 2_Grünland" xfId="3056"/>
    <cellStyle name="Eingabe 2 2 3" xfId="991"/>
    <cellStyle name="Eingabe 2 2 3 2" xfId="992"/>
    <cellStyle name="Eingabe 2 2 3 2 2" xfId="993"/>
    <cellStyle name="Eingabe 2 2 3 2 2 2" xfId="994"/>
    <cellStyle name="Eingabe 2 2 3 2 2 2 2" xfId="4410"/>
    <cellStyle name="Eingabe 2 2 3 2 2 3" xfId="995"/>
    <cellStyle name="Eingabe 2 2 3 2 2 3 2" xfId="4411"/>
    <cellStyle name="Eingabe 2 2 3 2 2 4" xfId="996"/>
    <cellStyle name="Eingabe 2 2 3 2 2 4 2" xfId="4412"/>
    <cellStyle name="Eingabe 2 2 3 2 2 5" xfId="997"/>
    <cellStyle name="Eingabe 2 2 3 2 2 5 2" xfId="4413"/>
    <cellStyle name="Eingabe 2 2 3 2 2 6" xfId="998"/>
    <cellStyle name="Eingabe 2 2 3 2 2 6 2" xfId="4414"/>
    <cellStyle name="Eingabe 2 2 3 2 2 7" xfId="4409"/>
    <cellStyle name="Eingabe 2 2 3 2 2_Grünland" xfId="3078"/>
    <cellStyle name="Eingabe 2 2 3 2 3" xfId="999"/>
    <cellStyle name="Eingabe 2 2 3 2 3 2" xfId="1000"/>
    <cellStyle name="Eingabe 2 2 3 2 3 2 2" xfId="4416"/>
    <cellStyle name="Eingabe 2 2 3 2 3 3" xfId="1001"/>
    <cellStyle name="Eingabe 2 2 3 2 3 3 2" xfId="4417"/>
    <cellStyle name="Eingabe 2 2 3 2 3 4" xfId="1002"/>
    <cellStyle name="Eingabe 2 2 3 2 3 4 2" xfId="4418"/>
    <cellStyle name="Eingabe 2 2 3 2 3 5" xfId="1003"/>
    <cellStyle name="Eingabe 2 2 3 2 3 5 2" xfId="4419"/>
    <cellStyle name="Eingabe 2 2 3 2 3 6" xfId="1004"/>
    <cellStyle name="Eingabe 2 2 3 2 3 6 2" xfId="4420"/>
    <cellStyle name="Eingabe 2 2 3 2 3 7" xfId="4415"/>
    <cellStyle name="Eingabe 2 2 3 2 3_Grünland" xfId="3079"/>
    <cellStyle name="Eingabe 2 2 3 2 4" xfId="1005"/>
    <cellStyle name="Eingabe 2 2 3 2 4 2" xfId="4421"/>
    <cellStyle name="Eingabe 2 2 3 2 5" xfId="1006"/>
    <cellStyle name="Eingabe 2 2 3 2 5 2" xfId="4422"/>
    <cellStyle name="Eingabe 2 2 3 2 6" xfId="1007"/>
    <cellStyle name="Eingabe 2 2 3 2 6 2" xfId="4423"/>
    <cellStyle name="Eingabe 2 2 3 2 7" xfId="1008"/>
    <cellStyle name="Eingabe 2 2 3 2 7 2" xfId="4424"/>
    <cellStyle name="Eingabe 2 2 3 2 8" xfId="1009"/>
    <cellStyle name="Eingabe 2 2 3 2 8 2" xfId="4425"/>
    <cellStyle name="Eingabe 2 2 3 2 9" xfId="4408"/>
    <cellStyle name="Eingabe 2 2 3 2_Grünland" xfId="3077"/>
    <cellStyle name="Eingabe 2 2 3 3" xfId="1010"/>
    <cellStyle name="Eingabe 2 2 3 3 2" xfId="1011"/>
    <cellStyle name="Eingabe 2 2 3 3 2 2" xfId="4427"/>
    <cellStyle name="Eingabe 2 2 3 3 3" xfId="1012"/>
    <cellStyle name="Eingabe 2 2 3 3 3 2" xfId="4428"/>
    <cellStyle name="Eingabe 2 2 3 3 4" xfId="1013"/>
    <cellStyle name="Eingabe 2 2 3 3 4 2" xfId="4429"/>
    <cellStyle name="Eingabe 2 2 3 3 5" xfId="1014"/>
    <cellStyle name="Eingabe 2 2 3 3 5 2" xfId="4430"/>
    <cellStyle name="Eingabe 2 2 3 3 6" xfId="1015"/>
    <cellStyle name="Eingabe 2 2 3 3 6 2" xfId="4431"/>
    <cellStyle name="Eingabe 2 2 3 3 7" xfId="4426"/>
    <cellStyle name="Eingabe 2 2 3 3_Grünland" xfId="3080"/>
    <cellStyle name="Eingabe 2 2 3 4" xfId="1016"/>
    <cellStyle name="Eingabe 2 2 3 4 2" xfId="1017"/>
    <cellStyle name="Eingabe 2 2 3 4 2 2" xfId="4433"/>
    <cellStyle name="Eingabe 2 2 3 4 3" xfId="1018"/>
    <cellStyle name="Eingabe 2 2 3 4 3 2" xfId="4434"/>
    <cellStyle name="Eingabe 2 2 3 4 4" xfId="1019"/>
    <cellStyle name="Eingabe 2 2 3 4 4 2" xfId="4435"/>
    <cellStyle name="Eingabe 2 2 3 4 5" xfId="1020"/>
    <cellStyle name="Eingabe 2 2 3 4 5 2" xfId="4436"/>
    <cellStyle name="Eingabe 2 2 3 4 6" xfId="1021"/>
    <cellStyle name="Eingabe 2 2 3 4 6 2" xfId="4437"/>
    <cellStyle name="Eingabe 2 2 3 4 7" xfId="4432"/>
    <cellStyle name="Eingabe 2 2 3 4_Grünland" xfId="3081"/>
    <cellStyle name="Eingabe 2 2 3 5" xfId="1022"/>
    <cellStyle name="Eingabe 2 2 3 5 2" xfId="1023"/>
    <cellStyle name="Eingabe 2 2 3 5 2 2" xfId="4439"/>
    <cellStyle name="Eingabe 2 2 3 5 3" xfId="1024"/>
    <cellStyle name="Eingabe 2 2 3 5 3 2" xfId="4440"/>
    <cellStyle name="Eingabe 2 2 3 5 4" xfId="1025"/>
    <cellStyle name="Eingabe 2 2 3 5 4 2" xfId="4441"/>
    <cellStyle name="Eingabe 2 2 3 5 5" xfId="1026"/>
    <cellStyle name="Eingabe 2 2 3 5 5 2" xfId="4442"/>
    <cellStyle name="Eingabe 2 2 3 5 6" xfId="4438"/>
    <cellStyle name="Eingabe 2 2 3 5_Grünland" xfId="3082"/>
    <cellStyle name="Eingabe 2 2 3 6" xfId="1027"/>
    <cellStyle name="Eingabe 2 2 3 6 2" xfId="4443"/>
    <cellStyle name="Eingabe 2 2 3 7" xfId="1028"/>
    <cellStyle name="Eingabe 2 2 3 7 2" xfId="4444"/>
    <cellStyle name="Eingabe 2 2 3 8" xfId="4407"/>
    <cellStyle name="Eingabe 2 2 3_Grünland" xfId="3076"/>
    <cellStyle name="Eingabe 2 2 4" xfId="1029"/>
    <cellStyle name="Eingabe 2 2 4 2" xfId="1030"/>
    <cellStyle name="Eingabe 2 2 4 2 2" xfId="1031"/>
    <cellStyle name="Eingabe 2 2 4 2 2 2" xfId="1032"/>
    <cellStyle name="Eingabe 2 2 4 2 2 2 2" xfId="4448"/>
    <cellStyle name="Eingabe 2 2 4 2 2 3" xfId="1033"/>
    <cellStyle name="Eingabe 2 2 4 2 2 3 2" xfId="4449"/>
    <cellStyle name="Eingabe 2 2 4 2 2 4" xfId="1034"/>
    <cellStyle name="Eingabe 2 2 4 2 2 4 2" xfId="4450"/>
    <cellStyle name="Eingabe 2 2 4 2 2 5" xfId="1035"/>
    <cellStyle name="Eingabe 2 2 4 2 2 5 2" xfId="4451"/>
    <cellStyle name="Eingabe 2 2 4 2 2 6" xfId="1036"/>
    <cellStyle name="Eingabe 2 2 4 2 2 6 2" xfId="4452"/>
    <cellStyle name="Eingabe 2 2 4 2 2 7" xfId="4447"/>
    <cellStyle name="Eingabe 2 2 4 2 2_Grünland" xfId="3085"/>
    <cellStyle name="Eingabe 2 2 4 2 3" xfId="1037"/>
    <cellStyle name="Eingabe 2 2 4 2 3 2" xfId="1038"/>
    <cellStyle name="Eingabe 2 2 4 2 3 2 2" xfId="4454"/>
    <cellStyle name="Eingabe 2 2 4 2 3 3" xfId="1039"/>
    <cellStyle name="Eingabe 2 2 4 2 3 3 2" xfId="4455"/>
    <cellStyle name="Eingabe 2 2 4 2 3 4" xfId="1040"/>
    <cellStyle name="Eingabe 2 2 4 2 3 4 2" xfId="4456"/>
    <cellStyle name="Eingabe 2 2 4 2 3 5" xfId="1041"/>
    <cellStyle name="Eingabe 2 2 4 2 3 5 2" xfId="4457"/>
    <cellStyle name="Eingabe 2 2 4 2 3 6" xfId="1042"/>
    <cellStyle name="Eingabe 2 2 4 2 3 6 2" xfId="4458"/>
    <cellStyle name="Eingabe 2 2 4 2 3 7" xfId="4453"/>
    <cellStyle name="Eingabe 2 2 4 2 3_Grünland" xfId="3086"/>
    <cellStyle name="Eingabe 2 2 4 2 4" xfId="1043"/>
    <cellStyle name="Eingabe 2 2 4 2 4 2" xfId="4459"/>
    <cellStyle name="Eingabe 2 2 4 2 5" xfId="1044"/>
    <cellStyle name="Eingabe 2 2 4 2 5 2" xfId="4460"/>
    <cellStyle name="Eingabe 2 2 4 2 6" xfId="1045"/>
    <cellStyle name="Eingabe 2 2 4 2 6 2" xfId="4461"/>
    <cellStyle name="Eingabe 2 2 4 2 7" xfId="1046"/>
    <cellStyle name="Eingabe 2 2 4 2 7 2" xfId="4462"/>
    <cellStyle name="Eingabe 2 2 4 2 8" xfId="1047"/>
    <cellStyle name="Eingabe 2 2 4 2 8 2" xfId="4463"/>
    <cellStyle name="Eingabe 2 2 4 2 9" xfId="4446"/>
    <cellStyle name="Eingabe 2 2 4 2_Grünland" xfId="3084"/>
    <cellStyle name="Eingabe 2 2 4 3" xfId="1048"/>
    <cellStyle name="Eingabe 2 2 4 3 2" xfId="1049"/>
    <cellStyle name="Eingabe 2 2 4 3 2 2" xfId="4465"/>
    <cellStyle name="Eingabe 2 2 4 3 3" xfId="1050"/>
    <cellStyle name="Eingabe 2 2 4 3 3 2" xfId="4466"/>
    <cellStyle name="Eingabe 2 2 4 3 4" xfId="1051"/>
    <cellStyle name="Eingabe 2 2 4 3 4 2" xfId="4467"/>
    <cellStyle name="Eingabe 2 2 4 3 5" xfId="1052"/>
    <cellStyle name="Eingabe 2 2 4 3 5 2" xfId="4468"/>
    <cellStyle name="Eingabe 2 2 4 3 6" xfId="1053"/>
    <cellStyle name="Eingabe 2 2 4 3 6 2" xfId="4469"/>
    <cellStyle name="Eingabe 2 2 4 3 7" xfId="4464"/>
    <cellStyle name="Eingabe 2 2 4 3_Grünland" xfId="3087"/>
    <cellStyle name="Eingabe 2 2 4 4" xfId="1054"/>
    <cellStyle name="Eingabe 2 2 4 4 2" xfId="1055"/>
    <cellStyle name="Eingabe 2 2 4 4 2 2" xfId="4471"/>
    <cellStyle name="Eingabe 2 2 4 4 3" xfId="1056"/>
    <cellStyle name="Eingabe 2 2 4 4 3 2" xfId="4472"/>
    <cellStyle name="Eingabe 2 2 4 4 4" xfId="1057"/>
    <cellStyle name="Eingabe 2 2 4 4 4 2" xfId="4473"/>
    <cellStyle name="Eingabe 2 2 4 4 5" xfId="1058"/>
    <cellStyle name="Eingabe 2 2 4 4 5 2" xfId="4474"/>
    <cellStyle name="Eingabe 2 2 4 4 6" xfId="1059"/>
    <cellStyle name="Eingabe 2 2 4 4 6 2" xfId="4475"/>
    <cellStyle name="Eingabe 2 2 4 4 7" xfId="4470"/>
    <cellStyle name="Eingabe 2 2 4 4_Grünland" xfId="3088"/>
    <cellStyle name="Eingabe 2 2 4 5" xfId="1060"/>
    <cellStyle name="Eingabe 2 2 4 5 2" xfId="1061"/>
    <cellStyle name="Eingabe 2 2 4 5 2 2" xfId="4477"/>
    <cellStyle name="Eingabe 2 2 4 5 3" xfId="1062"/>
    <cellStyle name="Eingabe 2 2 4 5 3 2" xfId="4478"/>
    <cellStyle name="Eingabe 2 2 4 5 4" xfId="1063"/>
    <cellStyle name="Eingabe 2 2 4 5 4 2" xfId="4479"/>
    <cellStyle name="Eingabe 2 2 4 5 5" xfId="1064"/>
    <cellStyle name="Eingabe 2 2 4 5 5 2" xfId="4480"/>
    <cellStyle name="Eingabe 2 2 4 5 6" xfId="4476"/>
    <cellStyle name="Eingabe 2 2 4 5_Grünland" xfId="3089"/>
    <cellStyle name="Eingabe 2 2 4 6" xfId="1065"/>
    <cellStyle name="Eingabe 2 2 4 6 2" xfId="4481"/>
    <cellStyle name="Eingabe 2 2 4 7" xfId="1066"/>
    <cellStyle name="Eingabe 2 2 4 7 2" xfId="4482"/>
    <cellStyle name="Eingabe 2 2 4 8" xfId="4445"/>
    <cellStyle name="Eingabe 2 2 4_Grünland" xfId="3083"/>
    <cellStyle name="Eingabe 2 2 5" xfId="1067"/>
    <cellStyle name="Eingabe 2 2 5 2" xfId="1068"/>
    <cellStyle name="Eingabe 2 2 5 2 2" xfId="1069"/>
    <cellStyle name="Eingabe 2 2 5 2 2 2" xfId="4485"/>
    <cellStyle name="Eingabe 2 2 5 2 3" xfId="1070"/>
    <cellStyle name="Eingabe 2 2 5 2 3 2" xfId="4486"/>
    <cellStyle name="Eingabe 2 2 5 2 4" xfId="1071"/>
    <cellStyle name="Eingabe 2 2 5 2 4 2" xfId="4487"/>
    <cellStyle name="Eingabe 2 2 5 2 5" xfId="1072"/>
    <cellStyle name="Eingabe 2 2 5 2 5 2" xfId="4488"/>
    <cellStyle name="Eingabe 2 2 5 2 6" xfId="1073"/>
    <cellStyle name="Eingabe 2 2 5 2 6 2" xfId="4489"/>
    <cellStyle name="Eingabe 2 2 5 2 7" xfId="4484"/>
    <cellStyle name="Eingabe 2 2 5 2_Grünland" xfId="3091"/>
    <cellStyle name="Eingabe 2 2 5 3" xfId="1074"/>
    <cellStyle name="Eingabe 2 2 5 3 2" xfId="1075"/>
    <cellStyle name="Eingabe 2 2 5 3 2 2" xfId="4491"/>
    <cellStyle name="Eingabe 2 2 5 3 3" xfId="1076"/>
    <cellStyle name="Eingabe 2 2 5 3 3 2" xfId="4492"/>
    <cellStyle name="Eingabe 2 2 5 3 4" xfId="1077"/>
    <cellStyle name="Eingabe 2 2 5 3 4 2" xfId="4493"/>
    <cellStyle name="Eingabe 2 2 5 3 5" xfId="1078"/>
    <cellStyle name="Eingabe 2 2 5 3 5 2" xfId="4494"/>
    <cellStyle name="Eingabe 2 2 5 3 6" xfId="1079"/>
    <cellStyle name="Eingabe 2 2 5 3 6 2" xfId="4495"/>
    <cellStyle name="Eingabe 2 2 5 3 7" xfId="4490"/>
    <cellStyle name="Eingabe 2 2 5 3_Grünland" xfId="3092"/>
    <cellStyle name="Eingabe 2 2 5 4" xfId="1080"/>
    <cellStyle name="Eingabe 2 2 5 4 2" xfId="4496"/>
    <cellStyle name="Eingabe 2 2 5 5" xfId="1081"/>
    <cellStyle name="Eingabe 2 2 5 5 2" xfId="4497"/>
    <cellStyle name="Eingabe 2 2 5 6" xfId="1082"/>
    <cellStyle name="Eingabe 2 2 5 6 2" xfId="4498"/>
    <cellStyle name="Eingabe 2 2 5 7" xfId="1083"/>
    <cellStyle name="Eingabe 2 2 5 7 2" xfId="4499"/>
    <cellStyle name="Eingabe 2 2 5 8" xfId="1084"/>
    <cellStyle name="Eingabe 2 2 5 8 2" xfId="4500"/>
    <cellStyle name="Eingabe 2 2 5 9" xfId="4483"/>
    <cellStyle name="Eingabe 2 2 5_Grünland" xfId="3090"/>
    <cellStyle name="Eingabe 2 2 6" xfId="1085"/>
    <cellStyle name="Eingabe 2 2 6 2" xfId="1086"/>
    <cellStyle name="Eingabe 2 2 6 2 2" xfId="4502"/>
    <cellStyle name="Eingabe 2 2 6 3" xfId="1087"/>
    <cellStyle name="Eingabe 2 2 6 3 2" xfId="4503"/>
    <cellStyle name="Eingabe 2 2 6 4" xfId="1088"/>
    <cellStyle name="Eingabe 2 2 6 4 2" xfId="4504"/>
    <cellStyle name="Eingabe 2 2 6 5" xfId="1089"/>
    <cellStyle name="Eingabe 2 2 6 5 2" xfId="4505"/>
    <cellStyle name="Eingabe 2 2 6 6" xfId="1090"/>
    <cellStyle name="Eingabe 2 2 6 6 2" xfId="4506"/>
    <cellStyle name="Eingabe 2 2 6 7" xfId="4501"/>
    <cellStyle name="Eingabe 2 2 6_Grünland" xfId="3093"/>
    <cellStyle name="Eingabe 2 2 7" xfId="1091"/>
    <cellStyle name="Eingabe 2 2 7 2" xfId="1092"/>
    <cellStyle name="Eingabe 2 2 7 2 2" xfId="4508"/>
    <cellStyle name="Eingabe 2 2 7 3" xfId="1093"/>
    <cellStyle name="Eingabe 2 2 7 3 2" xfId="4509"/>
    <cellStyle name="Eingabe 2 2 7 4" xfId="1094"/>
    <cellStyle name="Eingabe 2 2 7 4 2" xfId="4510"/>
    <cellStyle name="Eingabe 2 2 7 5" xfId="1095"/>
    <cellStyle name="Eingabe 2 2 7 5 2" xfId="4511"/>
    <cellStyle name="Eingabe 2 2 7 6" xfId="1096"/>
    <cellStyle name="Eingabe 2 2 7 6 2" xfId="4512"/>
    <cellStyle name="Eingabe 2 2 7 7" xfId="4507"/>
    <cellStyle name="Eingabe 2 2 7_Grünland" xfId="3094"/>
    <cellStyle name="Eingabe 2 2 8" xfId="1097"/>
    <cellStyle name="Eingabe 2 2 8 2" xfId="4513"/>
    <cellStyle name="Eingabe 2 2 9" xfId="1098"/>
    <cellStyle name="Eingabe 2 2 9 2" xfId="4514"/>
    <cellStyle name="Eingabe 2 2_Grünland" xfId="3055"/>
    <cellStyle name="Eingabe 2 3" xfId="1099"/>
    <cellStyle name="Eingabe 2 3 2" xfId="1100"/>
    <cellStyle name="Eingabe 2 3 2 2" xfId="1101"/>
    <cellStyle name="Eingabe 2 3 2 2 2" xfId="1102"/>
    <cellStyle name="Eingabe 2 3 2 2 2 2" xfId="1103"/>
    <cellStyle name="Eingabe 2 3 2 2 2 2 2" xfId="4519"/>
    <cellStyle name="Eingabe 2 3 2 2 2 3" xfId="1104"/>
    <cellStyle name="Eingabe 2 3 2 2 2 3 2" xfId="4520"/>
    <cellStyle name="Eingabe 2 3 2 2 2 4" xfId="1105"/>
    <cellStyle name="Eingabe 2 3 2 2 2 4 2" xfId="4521"/>
    <cellStyle name="Eingabe 2 3 2 2 2 5" xfId="1106"/>
    <cellStyle name="Eingabe 2 3 2 2 2 5 2" xfId="4522"/>
    <cellStyle name="Eingabe 2 3 2 2 2 6" xfId="1107"/>
    <cellStyle name="Eingabe 2 3 2 2 2 6 2" xfId="4523"/>
    <cellStyle name="Eingabe 2 3 2 2 2 7" xfId="4518"/>
    <cellStyle name="Eingabe 2 3 2 2 2_Grünland" xfId="3098"/>
    <cellStyle name="Eingabe 2 3 2 2 3" xfId="1108"/>
    <cellStyle name="Eingabe 2 3 2 2 3 2" xfId="1109"/>
    <cellStyle name="Eingabe 2 3 2 2 3 2 2" xfId="4525"/>
    <cellStyle name="Eingabe 2 3 2 2 3 3" xfId="1110"/>
    <cellStyle name="Eingabe 2 3 2 2 3 3 2" xfId="4526"/>
    <cellStyle name="Eingabe 2 3 2 2 3 4" xfId="1111"/>
    <cellStyle name="Eingabe 2 3 2 2 3 4 2" xfId="4527"/>
    <cellStyle name="Eingabe 2 3 2 2 3 5" xfId="1112"/>
    <cellStyle name="Eingabe 2 3 2 2 3 5 2" xfId="4528"/>
    <cellStyle name="Eingabe 2 3 2 2 3 6" xfId="1113"/>
    <cellStyle name="Eingabe 2 3 2 2 3 6 2" xfId="4529"/>
    <cellStyle name="Eingabe 2 3 2 2 3 7" xfId="4524"/>
    <cellStyle name="Eingabe 2 3 2 2 3_Grünland" xfId="3099"/>
    <cellStyle name="Eingabe 2 3 2 2 4" xfId="1114"/>
    <cellStyle name="Eingabe 2 3 2 2 4 2" xfId="4530"/>
    <cellStyle name="Eingabe 2 3 2 2 5" xfId="1115"/>
    <cellStyle name="Eingabe 2 3 2 2 5 2" xfId="4531"/>
    <cellStyle name="Eingabe 2 3 2 2 6" xfId="1116"/>
    <cellStyle name="Eingabe 2 3 2 2 6 2" xfId="4532"/>
    <cellStyle name="Eingabe 2 3 2 2 7" xfId="1117"/>
    <cellStyle name="Eingabe 2 3 2 2 7 2" xfId="4533"/>
    <cellStyle name="Eingabe 2 3 2 2 8" xfId="1118"/>
    <cellStyle name="Eingabe 2 3 2 2 8 2" xfId="4534"/>
    <cellStyle name="Eingabe 2 3 2 2 9" xfId="4517"/>
    <cellStyle name="Eingabe 2 3 2 2_Grünland" xfId="3097"/>
    <cellStyle name="Eingabe 2 3 2 3" xfId="1119"/>
    <cellStyle name="Eingabe 2 3 2 3 2" xfId="1120"/>
    <cellStyle name="Eingabe 2 3 2 3 2 2" xfId="4536"/>
    <cellStyle name="Eingabe 2 3 2 3 3" xfId="1121"/>
    <cellStyle name="Eingabe 2 3 2 3 3 2" xfId="4537"/>
    <cellStyle name="Eingabe 2 3 2 3 4" xfId="1122"/>
    <cellStyle name="Eingabe 2 3 2 3 4 2" xfId="4538"/>
    <cellStyle name="Eingabe 2 3 2 3 5" xfId="1123"/>
    <cellStyle name="Eingabe 2 3 2 3 5 2" xfId="4539"/>
    <cellStyle name="Eingabe 2 3 2 3 6" xfId="1124"/>
    <cellStyle name="Eingabe 2 3 2 3 6 2" xfId="4540"/>
    <cellStyle name="Eingabe 2 3 2 3 7" xfId="4535"/>
    <cellStyle name="Eingabe 2 3 2 3_Grünland" xfId="3100"/>
    <cellStyle name="Eingabe 2 3 2 4" xfId="1125"/>
    <cellStyle name="Eingabe 2 3 2 4 2" xfId="1126"/>
    <cellStyle name="Eingabe 2 3 2 4 2 2" xfId="4542"/>
    <cellStyle name="Eingabe 2 3 2 4 3" xfId="1127"/>
    <cellStyle name="Eingabe 2 3 2 4 3 2" xfId="4543"/>
    <cellStyle name="Eingabe 2 3 2 4 4" xfId="1128"/>
    <cellStyle name="Eingabe 2 3 2 4 4 2" xfId="4544"/>
    <cellStyle name="Eingabe 2 3 2 4 5" xfId="1129"/>
    <cellStyle name="Eingabe 2 3 2 4 5 2" xfId="4545"/>
    <cellStyle name="Eingabe 2 3 2 4 6" xfId="1130"/>
    <cellStyle name="Eingabe 2 3 2 4 6 2" xfId="4546"/>
    <cellStyle name="Eingabe 2 3 2 4 7" xfId="4541"/>
    <cellStyle name="Eingabe 2 3 2 4_Grünland" xfId="3101"/>
    <cellStyle name="Eingabe 2 3 2 5" xfId="1131"/>
    <cellStyle name="Eingabe 2 3 2 5 2" xfId="1132"/>
    <cellStyle name="Eingabe 2 3 2 5 2 2" xfId="4548"/>
    <cellStyle name="Eingabe 2 3 2 5 3" xfId="1133"/>
    <cellStyle name="Eingabe 2 3 2 5 3 2" xfId="4549"/>
    <cellStyle name="Eingabe 2 3 2 5 4" xfId="1134"/>
    <cellStyle name="Eingabe 2 3 2 5 4 2" xfId="4550"/>
    <cellStyle name="Eingabe 2 3 2 5 5" xfId="1135"/>
    <cellStyle name="Eingabe 2 3 2 5 5 2" xfId="4551"/>
    <cellStyle name="Eingabe 2 3 2 5 6" xfId="4547"/>
    <cellStyle name="Eingabe 2 3 2 5_Grünland" xfId="3102"/>
    <cellStyle name="Eingabe 2 3 2 6" xfId="1136"/>
    <cellStyle name="Eingabe 2 3 2 6 2" xfId="4552"/>
    <cellStyle name="Eingabe 2 3 2 7" xfId="1137"/>
    <cellStyle name="Eingabe 2 3 2 7 2" xfId="4553"/>
    <cellStyle name="Eingabe 2 3 2 8" xfId="4516"/>
    <cellStyle name="Eingabe 2 3 2_Grünland" xfId="3096"/>
    <cellStyle name="Eingabe 2 3 3" xfId="1138"/>
    <cellStyle name="Eingabe 2 3 3 2" xfId="1139"/>
    <cellStyle name="Eingabe 2 3 3 2 2" xfId="1140"/>
    <cellStyle name="Eingabe 2 3 3 2 2 2" xfId="1141"/>
    <cellStyle name="Eingabe 2 3 3 2 2 2 2" xfId="4557"/>
    <cellStyle name="Eingabe 2 3 3 2 2 3" xfId="1142"/>
    <cellStyle name="Eingabe 2 3 3 2 2 3 2" xfId="4558"/>
    <cellStyle name="Eingabe 2 3 3 2 2 4" xfId="1143"/>
    <cellStyle name="Eingabe 2 3 3 2 2 4 2" xfId="4559"/>
    <cellStyle name="Eingabe 2 3 3 2 2 5" xfId="1144"/>
    <cellStyle name="Eingabe 2 3 3 2 2 5 2" xfId="4560"/>
    <cellStyle name="Eingabe 2 3 3 2 2 6" xfId="1145"/>
    <cellStyle name="Eingabe 2 3 3 2 2 6 2" xfId="4561"/>
    <cellStyle name="Eingabe 2 3 3 2 2 7" xfId="4556"/>
    <cellStyle name="Eingabe 2 3 3 2 2_Grünland" xfId="3105"/>
    <cellStyle name="Eingabe 2 3 3 2 3" xfId="1146"/>
    <cellStyle name="Eingabe 2 3 3 2 3 2" xfId="1147"/>
    <cellStyle name="Eingabe 2 3 3 2 3 2 2" xfId="4563"/>
    <cellStyle name="Eingabe 2 3 3 2 3 3" xfId="1148"/>
    <cellStyle name="Eingabe 2 3 3 2 3 3 2" xfId="4564"/>
    <cellStyle name="Eingabe 2 3 3 2 3 4" xfId="1149"/>
    <cellStyle name="Eingabe 2 3 3 2 3 4 2" xfId="4565"/>
    <cellStyle name="Eingabe 2 3 3 2 3 5" xfId="1150"/>
    <cellStyle name="Eingabe 2 3 3 2 3 5 2" xfId="4566"/>
    <cellStyle name="Eingabe 2 3 3 2 3 6" xfId="1151"/>
    <cellStyle name="Eingabe 2 3 3 2 3 6 2" xfId="4567"/>
    <cellStyle name="Eingabe 2 3 3 2 3 7" xfId="4562"/>
    <cellStyle name="Eingabe 2 3 3 2 3_Grünland" xfId="3106"/>
    <cellStyle name="Eingabe 2 3 3 2 4" xfId="1152"/>
    <cellStyle name="Eingabe 2 3 3 2 4 2" xfId="4568"/>
    <cellStyle name="Eingabe 2 3 3 2 5" xfId="1153"/>
    <cellStyle name="Eingabe 2 3 3 2 5 2" xfId="4569"/>
    <cellStyle name="Eingabe 2 3 3 2 6" xfId="1154"/>
    <cellStyle name="Eingabe 2 3 3 2 6 2" xfId="4570"/>
    <cellStyle name="Eingabe 2 3 3 2 7" xfId="1155"/>
    <cellStyle name="Eingabe 2 3 3 2 7 2" xfId="4571"/>
    <cellStyle name="Eingabe 2 3 3 2 8" xfId="1156"/>
    <cellStyle name="Eingabe 2 3 3 2 8 2" xfId="4572"/>
    <cellStyle name="Eingabe 2 3 3 2 9" xfId="4555"/>
    <cellStyle name="Eingabe 2 3 3 2_Grünland" xfId="3104"/>
    <cellStyle name="Eingabe 2 3 3 3" xfId="1157"/>
    <cellStyle name="Eingabe 2 3 3 3 2" xfId="1158"/>
    <cellStyle name="Eingabe 2 3 3 3 2 2" xfId="4574"/>
    <cellStyle name="Eingabe 2 3 3 3 3" xfId="1159"/>
    <cellStyle name="Eingabe 2 3 3 3 3 2" xfId="4575"/>
    <cellStyle name="Eingabe 2 3 3 3 4" xfId="1160"/>
    <cellStyle name="Eingabe 2 3 3 3 4 2" xfId="4576"/>
    <cellStyle name="Eingabe 2 3 3 3 5" xfId="1161"/>
    <cellStyle name="Eingabe 2 3 3 3 5 2" xfId="4577"/>
    <cellStyle name="Eingabe 2 3 3 3 6" xfId="1162"/>
    <cellStyle name="Eingabe 2 3 3 3 6 2" xfId="4578"/>
    <cellStyle name="Eingabe 2 3 3 3 7" xfId="4573"/>
    <cellStyle name="Eingabe 2 3 3 3_Grünland" xfId="3107"/>
    <cellStyle name="Eingabe 2 3 3 4" xfId="1163"/>
    <cellStyle name="Eingabe 2 3 3 4 2" xfId="1164"/>
    <cellStyle name="Eingabe 2 3 3 4 2 2" xfId="4580"/>
    <cellStyle name="Eingabe 2 3 3 4 3" xfId="1165"/>
    <cellStyle name="Eingabe 2 3 3 4 3 2" xfId="4581"/>
    <cellStyle name="Eingabe 2 3 3 4 4" xfId="1166"/>
    <cellStyle name="Eingabe 2 3 3 4 4 2" xfId="4582"/>
    <cellStyle name="Eingabe 2 3 3 4 5" xfId="1167"/>
    <cellStyle name="Eingabe 2 3 3 4 5 2" xfId="4583"/>
    <cellStyle name="Eingabe 2 3 3 4 6" xfId="1168"/>
    <cellStyle name="Eingabe 2 3 3 4 6 2" xfId="4584"/>
    <cellStyle name="Eingabe 2 3 3 4 7" xfId="4579"/>
    <cellStyle name="Eingabe 2 3 3 4_Grünland" xfId="3108"/>
    <cellStyle name="Eingabe 2 3 3 5" xfId="1169"/>
    <cellStyle name="Eingabe 2 3 3 5 2" xfId="1170"/>
    <cellStyle name="Eingabe 2 3 3 5 2 2" xfId="4586"/>
    <cellStyle name="Eingabe 2 3 3 5 3" xfId="1171"/>
    <cellStyle name="Eingabe 2 3 3 5 3 2" xfId="4587"/>
    <cellStyle name="Eingabe 2 3 3 5 4" xfId="1172"/>
    <cellStyle name="Eingabe 2 3 3 5 4 2" xfId="4588"/>
    <cellStyle name="Eingabe 2 3 3 5 5" xfId="1173"/>
    <cellStyle name="Eingabe 2 3 3 5 5 2" xfId="4589"/>
    <cellStyle name="Eingabe 2 3 3 5 6" xfId="4585"/>
    <cellStyle name="Eingabe 2 3 3 5_Grünland" xfId="3109"/>
    <cellStyle name="Eingabe 2 3 3 6" xfId="1174"/>
    <cellStyle name="Eingabe 2 3 3 6 2" xfId="4590"/>
    <cellStyle name="Eingabe 2 3 3 7" xfId="1175"/>
    <cellStyle name="Eingabe 2 3 3 7 2" xfId="4591"/>
    <cellStyle name="Eingabe 2 3 3 8" xfId="4554"/>
    <cellStyle name="Eingabe 2 3 3_Grünland" xfId="3103"/>
    <cellStyle name="Eingabe 2 3 4" xfId="1176"/>
    <cellStyle name="Eingabe 2 3 4 2" xfId="1177"/>
    <cellStyle name="Eingabe 2 3 4 2 2" xfId="1178"/>
    <cellStyle name="Eingabe 2 3 4 2 2 2" xfId="4594"/>
    <cellStyle name="Eingabe 2 3 4 2 3" xfId="1179"/>
    <cellStyle name="Eingabe 2 3 4 2 3 2" xfId="4595"/>
    <cellStyle name="Eingabe 2 3 4 2 4" xfId="1180"/>
    <cellStyle name="Eingabe 2 3 4 2 4 2" xfId="4596"/>
    <cellStyle name="Eingabe 2 3 4 2 5" xfId="1181"/>
    <cellStyle name="Eingabe 2 3 4 2 5 2" xfId="4597"/>
    <cellStyle name="Eingabe 2 3 4 2 6" xfId="1182"/>
    <cellStyle name="Eingabe 2 3 4 2 6 2" xfId="4598"/>
    <cellStyle name="Eingabe 2 3 4 2 7" xfId="4593"/>
    <cellStyle name="Eingabe 2 3 4 2_Grünland" xfId="3111"/>
    <cellStyle name="Eingabe 2 3 4 3" xfId="1183"/>
    <cellStyle name="Eingabe 2 3 4 3 2" xfId="1184"/>
    <cellStyle name="Eingabe 2 3 4 3 2 2" xfId="4600"/>
    <cellStyle name="Eingabe 2 3 4 3 3" xfId="1185"/>
    <cellStyle name="Eingabe 2 3 4 3 3 2" xfId="4601"/>
    <cellStyle name="Eingabe 2 3 4 3 4" xfId="1186"/>
    <cellStyle name="Eingabe 2 3 4 3 4 2" xfId="4602"/>
    <cellStyle name="Eingabe 2 3 4 3 5" xfId="1187"/>
    <cellStyle name="Eingabe 2 3 4 3 5 2" xfId="4603"/>
    <cellStyle name="Eingabe 2 3 4 3 6" xfId="1188"/>
    <cellStyle name="Eingabe 2 3 4 3 6 2" xfId="4604"/>
    <cellStyle name="Eingabe 2 3 4 3 7" xfId="4599"/>
    <cellStyle name="Eingabe 2 3 4 3_Grünland" xfId="3112"/>
    <cellStyle name="Eingabe 2 3 4 4" xfId="1189"/>
    <cellStyle name="Eingabe 2 3 4 4 2" xfId="4605"/>
    <cellStyle name="Eingabe 2 3 4 5" xfId="1190"/>
    <cellStyle name="Eingabe 2 3 4 5 2" xfId="4606"/>
    <cellStyle name="Eingabe 2 3 4 6" xfId="1191"/>
    <cellStyle name="Eingabe 2 3 4 6 2" xfId="4607"/>
    <cellStyle name="Eingabe 2 3 4 7" xfId="1192"/>
    <cellStyle name="Eingabe 2 3 4 7 2" xfId="4608"/>
    <cellStyle name="Eingabe 2 3 4 8" xfId="1193"/>
    <cellStyle name="Eingabe 2 3 4 8 2" xfId="4609"/>
    <cellStyle name="Eingabe 2 3 4 9" xfId="4592"/>
    <cellStyle name="Eingabe 2 3 4_Grünland" xfId="3110"/>
    <cellStyle name="Eingabe 2 3 5" xfId="1194"/>
    <cellStyle name="Eingabe 2 3 5 2" xfId="1195"/>
    <cellStyle name="Eingabe 2 3 5 2 2" xfId="4611"/>
    <cellStyle name="Eingabe 2 3 5 3" xfId="1196"/>
    <cellStyle name="Eingabe 2 3 5 3 2" xfId="4612"/>
    <cellStyle name="Eingabe 2 3 5 4" xfId="1197"/>
    <cellStyle name="Eingabe 2 3 5 4 2" xfId="4613"/>
    <cellStyle name="Eingabe 2 3 5 5" xfId="1198"/>
    <cellStyle name="Eingabe 2 3 5 5 2" xfId="4614"/>
    <cellStyle name="Eingabe 2 3 5 6" xfId="1199"/>
    <cellStyle name="Eingabe 2 3 5 6 2" xfId="4615"/>
    <cellStyle name="Eingabe 2 3 5 7" xfId="4610"/>
    <cellStyle name="Eingabe 2 3 5_Grünland" xfId="3113"/>
    <cellStyle name="Eingabe 2 3 6" xfId="1200"/>
    <cellStyle name="Eingabe 2 3 6 2" xfId="1201"/>
    <cellStyle name="Eingabe 2 3 6 2 2" xfId="4617"/>
    <cellStyle name="Eingabe 2 3 6 3" xfId="1202"/>
    <cellStyle name="Eingabe 2 3 6 3 2" xfId="4618"/>
    <cellStyle name="Eingabe 2 3 6 4" xfId="1203"/>
    <cellStyle name="Eingabe 2 3 6 4 2" xfId="4619"/>
    <cellStyle name="Eingabe 2 3 6 5" xfId="1204"/>
    <cellStyle name="Eingabe 2 3 6 5 2" xfId="4620"/>
    <cellStyle name="Eingabe 2 3 6 6" xfId="1205"/>
    <cellStyle name="Eingabe 2 3 6 6 2" xfId="4621"/>
    <cellStyle name="Eingabe 2 3 6 7" xfId="4616"/>
    <cellStyle name="Eingabe 2 3 6_Grünland" xfId="3114"/>
    <cellStyle name="Eingabe 2 3 7" xfId="1206"/>
    <cellStyle name="Eingabe 2 3 7 2" xfId="4622"/>
    <cellStyle name="Eingabe 2 3 8" xfId="1207"/>
    <cellStyle name="Eingabe 2 3 8 2" xfId="4623"/>
    <cellStyle name="Eingabe 2 3 9" xfId="4515"/>
    <cellStyle name="Eingabe 2 3_Grünland" xfId="3095"/>
    <cellStyle name="Eingabe 2 4" xfId="1208"/>
    <cellStyle name="Eingabe 2 4 2" xfId="1209"/>
    <cellStyle name="Eingabe 2 4 2 2" xfId="1210"/>
    <cellStyle name="Eingabe 2 4 2 2 2" xfId="1211"/>
    <cellStyle name="Eingabe 2 4 2 2 2 2" xfId="4627"/>
    <cellStyle name="Eingabe 2 4 2 2 3" xfId="1212"/>
    <cellStyle name="Eingabe 2 4 2 2 3 2" xfId="4628"/>
    <cellStyle name="Eingabe 2 4 2 2 4" xfId="1213"/>
    <cellStyle name="Eingabe 2 4 2 2 4 2" xfId="4629"/>
    <cellStyle name="Eingabe 2 4 2 2 5" xfId="1214"/>
    <cellStyle name="Eingabe 2 4 2 2 5 2" xfId="4630"/>
    <cellStyle name="Eingabe 2 4 2 2 6" xfId="1215"/>
    <cellStyle name="Eingabe 2 4 2 2 6 2" xfId="4631"/>
    <cellStyle name="Eingabe 2 4 2 2 7" xfId="4626"/>
    <cellStyle name="Eingabe 2 4 2 2_Grünland" xfId="3117"/>
    <cellStyle name="Eingabe 2 4 2 3" xfId="1216"/>
    <cellStyle name="Eingabe 2 4 2 3 2" xfId="1217"/>
    <cellStyle name="Eingabe 2 4 2 3 2 2" xfId="4633"/>
    <cellStyle name="Eingabe 2 4 2 3 3" xfId="1218"/>
    <cellStyle name="Eingabe 2 4 2 3 3 2" xfId="4634"/>
    <cellStyle name="Eingabe 2 4 2 3 4" xfId="1219"/>
    <cellStyle name="Eingabe 2 4 2 3 4 2" xfId="4635"/>
    <cellStyle name="Eingabe 2 4 2 3 5" xfId="1220"/>
    <cellStyle name="Eingabe 2 4 2 3 5 2" xfId="4636"/>
    <cellStyle name="Eingabe 2 4 2 3 6" xfId="1221"/>
    <cellStyle name="Eingabe 2 4 2 3 6 2" xfId="4637"/>
    <cellStyle name="Eingabe 2 4 2 3 7" xfId="4632"/>
    <cellStyle name="Eingabe 2 4 2 3_Grünland" xfId="3118"/>
    <cellStyle name="Eingabe 2 4 2 4" xfId="1222"/>
    <cellStyle name="Eingabe 2 4 2 4 2" xfId="4638"/>
    <cellStyle name="Eingabe 2 4 2 5" xfId="1223"/>
    <cellStyle name="Eingabe 2 4 2 5 2" xfId="4639"/>
    <cellStyle name="Eingabe 2 4 2 6" xfId="1224"/>
    <cellStyle name="Eingabe 2 4 2 6 2" xfId="4640"/>
    <cellStyle name="Eingabe 2 4 2 7" xfId="1225"/>
    <cellStyle name="Eingabe 2 4 2 7 2" xfId="4641"/>
    <cellStyle name="Eingabe 2 4 2 8" xfId="1226"/>
    <cellStyle name="Eingabe 2 4 2 8 2" xfId="4642"/>
    <cellStyle name="Eingabe 2 4 2 9" xfId="4625"/>
    <cellStyle name="Eingabe 2 4 2_Grünland" xfId="3116"/>
    <cellStyle name="Eingabe 2 4 3" xfId="1227"/>
    <cellStyle name="Eingabe 2 4 3 2" xfId="1228"/>
    <cellStyle name="Eingabe 2 4 3 2 2" xfId="4644"/>
    <cellStyle name="Eingabe 2 4 3 3" xfId="1229"/>
    <cellStyle name="Eingabe 2 4 3 3 2" xfId="4645"/>
    <cellStyle name="Eingabe 2 4 3 4" xfId="1230"/>
    <cellStyle name="Eingabe 2 4 3 4 2" xfId="4646"/>
    <cellStyle name="Eingabe 2 4 3 5" xfId="1231"/>
    <cellStyle name="Eingabe 2 4 3 5 2" xfId="4647"/>
    <cellStyle name="Eingabe 2 4 3 6" xfId="1232"/>
    <cellStyle name="Eingabe 2 4 3 6 2" xfId="4648"/>
    <cellStyle name="Eingabe 2 4 3 7" xfId="4643"/>
    <cellStyle name="Eingabe 2 4 3_Grünland" xfId="3119"/>
    <cellStyle name="Eingabe 2 4 4" xfId="1233"/>
    <cellStyle name="Eingabe 2 4 4 2" xfId="1234"/>
    <cellStyle name="Eingabe 2 4 4 2 2" xfId="4650"/>
    <cellStyle name="Eingabe 2 4 4 3" xfId="1235"/>
    <cellStyle name="Eingabe 2 4 4 3 2" xfId="4651"/>
    <cellStyle name="Eingabe 2 4 4 4" xfId="1236"/>
    <cellStyle name="Eingabe 2 4 4 4 2" xfId="4652"/>
    <cellStyle name="Eingabe 2 4 4 5" xfId="1237"/>
    <cellStyle name="Eingabe 2 4 4 5 2" xfId="4653"/>
    <cellStyle name="Eingabe 2 4 4 6" xfId="1238"/>
    <cellStyle name="Eingabe 2 4 4 6 2" xfId="4654"/>
    <cellStyle name="Eingabe 2 4 4 7" xfId="4649"/>
    <cellStyle name="Eingabe 2 4 4_Grünland" xfId="3120"/>
    <cellStyle name="Eingabe 2 4 5" xfId="1239"/>
    <cellStyle name="Eingabe 2 4 5 2" xfId="1240"/>
    <cellStyle name="Eingabe 2 4 5 2 2" xfId="4656"/>
    <cellStyle name="Eingabe 2 4 5 3" xfId="1241"/>
    <cellStyle name="Eingabe 2 4 5 3 2" xfId="4657"/>
    <cellStyle name="Eingabe 2 4 5 4" xfId="1242"/>
    <cellStyle name="Eingabe 2 4 5 4 2" xfId="4658"/>
    <cellStyle name="Eingabe 2 4 5 5" xfId="1243"/>
    <cellStyle name="Eingabe 2 4 5 5 2" xfId="4659"/>
    <cellStyle name="Eingabe 2 4 5 6" xfId="4655"/>
    <cellStyle name="Eingabe 2 4 5_Grünland" xfId="3121"/>
    <cellStyle name="Eingabe 2 4 6" xfId="1244"/>
    <cellStyle name="Eingabe 2 4 6 2" xfId="4660"/>
    <cellStyle name="Eingabe 2 4 7" xfId="1245"/>
    <cellStyle name="Eingabe 2 4 7 2" xfId="4661"/>
    <cellStyle name="Eingabe 2 4 8" xfId="4624"/>
    <cellStyle name="Eingabe 2 4_Grünland" xfId="3115"/>
    <cellStyle name="Eingabe 2 5" xfId="1246"/>
    <cellStyle name="Eingabe 2 5 2" xfId="1247"/>
    <cellStyle name="Eingabe 2 5 2 2" xfId="1248"/>
    <cellStyle name="Eingabe 2 5 2 2 2" xfId="1249"/>
    <cellStyle name="Eingabe 2 5 2 2 2 2" xfId="4665"/>
    <cellStyle name="Eingabe 2 5 2 2 3" xfId="1250"/>
    <cellStyle name="Eingabe 2 5 2 2 3 2" xfId="4666"/>
    <cellStyle name="Eingabe 2 5 2 2 4" xfId="1251"/>
    <cellStyle name="Eingabe 2 5 2 2 4 2" xfId="4667"/>
    <cellStyle name="Eingabe 2 5 2 2 5" xfId="1252"/>
    <cellStyle name="Eingabe 2 5 2 2 5 2" xfId="4668"/>
    <cellStyle name="Eingabe 2 5 2 2 6" xfId="1253"/>
    <cellStyle name="Eingabe 2 5 2 2 6 2" xfId="4669"/>
    <cellStyle name="Eingabe 2 5 2 2 7" xfId="4664"/>
    <cellStyle name="Eingabe 2 5 2 2_Grünland" xfId="3124"/>
    <cellStyle name="Eingabe 2 5 2 3" xfId="1254"/>
    <cellStyle name="Eingabe 2 5 2 3 2" xfId="1255"/>
    <cellStyle name="Eingabe 2 5 2 3 2 2" xfId="4671"/>
    <cellStyle name="Eingabe 2 5 2 3 3" xfId="1256"/>
    <cellStyle name="Eingabe 2 5 2 3 3 2" xfId="4672"/>
    <cellStyle name="Eingabe 2 5 2 3 4" xfId="1257"/>
    <cellStyle name="Eingabe 2 5 2 3 4 2" xfId="4673"/>
    <cellStyle name="Eingabe 2 5 2 3 5" xfId="1258"/>
    <cellStyle name="Eingabe 2 5 2 3 5 2" xfId="4674"/>
    <cellStyle name="Eingabe 2 5 2 3 6" xfId="1259"/>
    <cellStyle name="Eingabe 2 5 2 3 6 2" xfId="4675"/>
    <cellStyle name="Eingabe 2 5 2 3 7" xfId="4670"/>
    <cellStyle name="Eingabe 2 5 2 3_Grünland" xfId="3125"/>
    <cellStyle name="Eingabe 2 5 2 4" xfId="1260"/>
    <cellStyle name="Eingabe 2 5 2 4 2" xfId="4676"/>
    <cellStyle name="Eingabe 2 5 2 5" xfId="1261"/>
    <cellStyle name="Eingabe 2 5 2 5 2" xfId="4677"/>
    <cellStyle name="Eingabe 2 5 2 6" xfId="1262"/>
    <cellStyle name="Eingabe 2 5 2 6 2" xfId="4678"/>
    <cellStyle name="Eingabe 2 5 2 7" xfId="1263"/>
    <cellStyle name="Eingabe 2 5 2 7 2" xfId="4679"/>
    <cellStyle name="Eingabe 2 5 2 8" xfId="1264"/>
    <cellStyle name="Eingabe 2 5 2 8 2" xfId="4680"/>
    <cellStyle name="Eingabe 2 5 2 9" xfId="4663"/>
    <cellStyle name="Eingabe 2 5 2_Grünland" xfId="3123"/>
    <cellStyle name="Eingabe 2 5 3" xfId="1265"/>
    <cellStyle name="Eingabe 2 5 3 2" xfId="1266"/>
    <cellStyle name="Eingabe 2 5 3 2 2" xfId="4682"/>
    <cellStyle name="Eingabe 2 5 3 3" xfId="1267"/>
    <cellStyle name="Eingabe 2 5 3 3 2" xfId="4683"/>
    <cellStyle name="Eingabe 2 5 3 4" xfId="1268"/>
    <cellStyle name="Eingabe 2 5 3 4 2" xfId="4684"/>
    <cellStyle name="Eingabe 2 5 3 5" xfId="1269"/>
    <cellStyle name="Eingabe 2 5 3 5 2" xfId="4685"/>
    <cellStyle name="Eingabe 2 5 3 6" xfId="1270"/>
    <cellStyle name="Eingabe 2 5 3 6 2" xfId="4686"/>
    <cellStyle name="Eingabe 2 5 3 7" xfId="4681"/>
    <cellStyle name="Eingabe 2 5 3_Grünland" xfId="3126"/>
    <cellStyle name="Eingabe 2 5 4" xfId="1271"/>
    <cellStyle name="Eingabe 2 5 4 2" xfId="1272"/>
    <cellStyle name="Eingabe 2 5 4 2 2" xfId="4688"/>
    <cellStyle name="Eingabe 2 5 4 3" xfId="1273"/>
    <cellStyle name="Eingabe 2 5 4 3 2" xfId="4689"/>
    <cellStyle name="Eingabe 2 5 4 4" xfId="1274"/>
    <cellStyle name="Eingabe 2 5 4 4 2" xfId="4690"/>
    <cellStyle name="Eingabe 2 5 4 5" xfId="1275"/>
    <cellStyle name="Eingabe 2 5 4 5 2" xfId="4691"/>
    <cellStyle name="Eingabe 2 5 4 6" xfId="1276"/>
    <cellStyle name="Eingabe 2 5 4 6 2" xfId="4692"/>
    <cellStyle name="Eingabe 2 5 4 7" xfId="4687"/>
    <cellStyle name="Eingabe 2 5 4_Grünland" xfId="3127"/>
    <cellStyle name="Eingabe 2 5 5" xfId="1277"/>
    <cellStyle name="Eingabe 2 5 5 2" xfId="1278"/>
    <cellStyle name="Eingabe 2 5 5 2 2" xfId="4694"/>
    <cellStyle name="Eingabe 2 5 5 3" xfId="1279"/>
    <cellStyle name="Eingabe 2 5 5 3 2" xfId="4695"/>
    <cellStyle name="Eingabe 2 5 5 4" xfId="1280"/>
    <cellStyle name="Eingabe 2 5 5 4 2" xfId="4696"/>
    <cellStyle name="Eingabe 2 5 5 5" xfId="1281"/>
    <cellStyle name="Eingabe 2 5 5 5 2" xfId="4697"/>
    <cellStyle name="Eingabe 2 5 5 6" xfId="4693"/>
    <cellStyle name="Eingabe 2 5 5_Grünland" xfId="3128"/>
    <cellStyle name="Eingabe 2 5 6" xfId="1282"/>
    <cellStyle name="Eingabe 2 5 6 2" xfId="4698"/>
    <cellStyle name="Eingabe 2 5 7" xfId="1283"/>
    <cellStyle name="Eingabe 2 5 7 2" xfId="4699"/>
    <cellStyle name="Eingabe 2 5 8" xfId="4662"/>
    <cellStyle name="Eingabe 2 5_Grünland" xfId="3122"/>
    <cellStyle name="Eingabe 2 6" xfId="1284"/>
    <cellStyle name="Eingabe 2 6 2" xfId="1285"/>
    <cellStyle name="Eingabe 2 6 2 2" xfId="1286"/>
    <cellStyle name="Eingabe 2 6 2 2 2" xfId="4702"/>
    <cellStyle name="Eingabe 2 6 2 3" xfId="1287"/>
    <cellStyle name="Eingabe 2 6 2 3 2" xfId="4703"/>
    <cellStyle name="Eingabe 2 6 2 4" xfId="1288"/>
    <cellStyle name="Eingabe 2 6 2 4 2" xfId="4704"/>
    <cellStyle name="Eingabe 2 6 2 5" xfId="1289"/>
    <cellStyle name="Eingabe 2 6 2 5 2" xfId="4705"/>
    <cellStyle name="Eingabe 2 6 2 6" xfId="1290"/>
    <cellStyle name="Eingabe 2 6 2 6 2" xfId="4706"/>
    <cellStyle name="Eingabe 2 6 2 7" xfId="4701"/>
    <cellStyle name="Eingabe 2 6 2_Grünland" xfId="3130"/>
    <cellStyle name="Eingabe 2 6 3" xfId="1291"/>
    <cellStyle name="Eingabe 2 6 3 2" xfId="1292"/>
    <cellStyle name="Eingabe 2 6 3 2 2" xfId="4708"/>
    <cellStyle name="Eingabe 2 6 3 3" xfId="1293"/>
    <cellStyle name="Eingabe 2 6 3 3 2" xfId="4709"/>
    <cellStyle name="Eingabe 2 6 3 4" xfId="1294"/>
    <cellStyle name="Eingabe 2 6 3 4 2" xfId="4710"/>
    <cellStyle name="Eingabe 2 6 3 5" xfId="1295"/>
    <cellStyle name="Eingabe 2 6 3 5 2" xfId="4711"/>
    <cellStyle name="Eingabe 2 6 3 6" xfId="1296"/>
    <cellStyle name="Eingabe 2 6 3 6 2" xfId="4712"/>
    <cellStyle name="Eingabe 2 6 3 7" xfId="4707"/>
    <cellStyle name="Eingabe 2 6 3_Grünland" xfId="3131"/>
    <cellStyle name="Eingabe 2 6 4" xfId="1297"/>
    <cellStyle name="Eingabe 2 6 4 2" xfId="4713"/>
    <cellStyle name="Eingabe 2 6 5" xfId="1298"/>
    <cellStyle name="Eingabe 2 6 5 2" xfId="4714"/>
    <cellStyle name="Eingabe 2 6 6" xfId="1299"/>
    <cellStyle name="Eingabe 2 6 6 2" xfId="4715"/>
    <cellStyle name="Eingabe 2 6 7" xfId="1300"/>
    <cellStyle name="Eingabe 2 6 7 2" xfId="4716"/>
    <cellStyle name="Eingabe 2 6 8" xfId="1301"/>
    <cellStyle name="Eingabe 2 6 8 2" xfId="4717"/>
    <cellStyle name="Eingabe 2 6 9" xfId="4700"/>
    <cellStyle name="Eingabe 2 6_Grünland" xfId="3129"/>
    <cellStyle name="Eingabe 2 7" xfId="1302"/>
    <cellStyle name="Eingabe 2 7 2" xfId="1303"/>
    <cellStyle name="Eingabe 2 7 2 2" xfId="4719"/>
    <cellStyle name="Eingabe 2 7 3" xfId="1304"/>
    <cellStyle name="Eingabe 2 7 3 2" xfId="4720"/>
    <cellStyle name="Eingabe 2 7 4" xfId="1305"/>
    <cellStyle name="Eingabe 2 7 4 2" xfId="4721"/>
    <cellStyle name="Eingabe 2 7 5" xfId="1306"/>
    <cellStyle name="Eingabe 2 7 5 2" xfId="4722"/>
    <cellStyle name="Eingabe 2 7 6" xfId="1307"/>
    <cellStyle name="Eingabe 2 7 6 2" xfId="4723"/>
    <cellStyle name="Eingabe 2 7 7" xfId="4718"/>
    <cellStyle name="Eingabe 2 7_Grünland" xfId="3132"/>
    <cellStyle name="Eingabe 2 8" xfId="1308"/>
    <cellStyle name="Eingabe 2 8 2" xfId="1309"/>
    <cellStyle name="Eingabe 2 8 2 2" xfId="4725"/>
    <cellStyle name="Eingabe 2 8 3" xfId="1310"/>
    <cellStyle name="Eingabe 2 8 3 2" xfId="4726"/>
    <cellStyle name="Eingabe 2 8 4" xfId="1311"/>
    <cellStyle name="Eingabe 2 8 4 2" xfId="4727"/>
    <cellStyle name="Eingabe 2 8 5" xfId="1312"/>
    <cellStyle name="Eingabe 2 8 5 2" xfId="4728"/>
    <cellStyle name="Eingabe 2 8 6" xfId="1313"/>
    <cellStyle name="Eingabe 2 8 6 2" xfId="4729"/>
    <cellStyle name="Eingabe 2 8 7" xfId="4724"/>
    <cellStyle name="Eingabe 2 8_Grünland" xfId="3133"/>
    <cellStyle name="Eingabe 2 9" xfId="1314"/>
    <cellStyle name="Eingabe 2 9 2" xfId="4730"/>
    <cellStyle name="Eingabe 2_Grünland" xfId="3054"/>
    <cellStyle name="Ergebnis 1" xfId="1315"/>
    <cellStyle name="Ergebnis 1 1" xfId="1316"/>
    <cellStyle name="Ergebnis 1 1 10" xfId="1317"/>
    <cellStyle name="Ergebnis 1 1 10 2" xfId="4733"/>
    <cellStyle name="Ergebnis 1 1 11" xfId="4732"/>
    <cellStyle name="Ergebnis 1 1 2" xfId="1318"/>
    <cellStyle name="Ergebnis 1 1 2 10" xfId="4734"/>
    <cellStyle name="Ergebnis 1 1 2 2" xfId="1319"/>
    <cellStyle name="Ergebnis 1 1 2 2 2" xfId="1320"/>
    <cellStyle name="Ergebnis 1 1 2 2 2 2" xfId="1321"/>
    <cellStyle name="Ergebnis 1 1 2 2 2 2 2" xfId="1322"/>
    <cellStyle name="Ergebnis 1 1 2 2 2 2 2 2" xfId="1323"/>
    <cellStyle name="Ergebnis 1 1 2 2 2 2 2 2 2" xfId="4739"/>
    <cellStyle name="Ergebnis 1 1 2 2 2 2 2 3" xfId="1324"/>
    <cellStyle name="Ergebnis 1 1 2 2 2 2 2 3 2" xfId="4740"/>
    <cellStyle name="Ergebnis 1 1 2 2 2 2 2 4" xfId="1325"/>
    <cellStyle name="Ergebnis 1 1 2 2 2 2 2 4 2" xfId="4741"/>
    <cellStyle name="Ergebnis 1 1 2 2 2 2 2 5" xfId="1326"/>
    <cellStyle name="Ergebnis 1 1 2 2 2 2 2 5 2" xfId="4742"/>
    <cellStyle name="Ergebnis 1 1 2 2 2 2 2 6" xfId="1327"/>
    <cellStyle name="Ergebnis 1 1 2 2 2 2 2 6 2" xfId="4743"/>
    <cellStyle name="Ergebnis 1 1 2 2 2 2 2 7" xfId="4738"/>
    <cellStyle name="Ergebnis 1 1 2 2 2 2 2_Grünland" xfId="3140"/>
    <cellStyle name="Ergebnis 1 1 2 2 2 2 3" xfId="1328"/>
    <cellStyle name="Ergebnis 1 1 2 2 2 2 3 2" xfId="1329"/>
    <cellStyle name="Ergebnis 1 1 2 2 2 2 3 2 2" xfId="4745"/>
    <cellStyle name="Ergebnis 1 1 2 2 2 2 3 3" xfId="1330"/>
    <cellStyle name="Ergebnis 1 1 2 2 2 2 3 3 2" xfId="4746"/>
    <cellStyle name="Ergebnis 1 1 2 2 2 2 3 4" xfId="1331"/>
    <cellStyle name="Ergebnis 1 1 2 2 2 2 3 4 2" xfId="4747"/>
    <cellStyle name="Ergebnis 1 1 2 2 2 2 3 5" xfId="1332"/>
    <cellStyle name="Ergebnis 1 1 2 2 2 2 3 5 2" xfId="4748"/>
    <cellStyle name="Ergebnis 1 1 2 2 2 2 3 6" xfId="1333"/>
    <cellStyle name="Ergebnis 1 1 2 2 2 2 3 6 2" xfId="4749"/>
    <cellStyle name="Ergebnis 1 1 2 2 2 2 3 7" xfId="4744"/>
    <cellStyle name="Ergebnis 1 1 2 2 2 2 3_Grünland" xfId="3141"/>
    <cellStyle name="Ergebnis 1 1 2 2 2 2 4" xfId="1334"/>
    <cellStyle name="Ergebnis 1 1 2 2 2 2 4 2" xfId="4750"/>
    <cellStyle name="Ergebnis 1 1 2 2 2 2 5" xfId="1335"/>
    <cellStyle name="Ergebnis 1 1 2 2 2 2 5 2" xfId="4751"/>
    <cellStyle name="Ergebnis 1 1 2 2 2 2 6" xfId="1336"/>
    <cellStyle name="Ergebnis 1 1 2 2 2 2 6 2" xfId="4752"/>
    <cellStyle name="Ergebnis 1 1 2 2 2 2 7" xfId="1337"/>
    <cellStyle name="Ergebnis 1 1 2 2 2 2 7 2" xfId="4753"/>
    <cellStyle name="Ergebnis 1 1 2 2 2 2 8" xfId="1338"/>
    <cellStyle name="Ergebnis 1 1 2 2 2 2 8 2" xfId="4754"/>
    <cellStyle name="Ergebnis 1 1 2 2 2 2 9" xfId="4737"/>
    <cellStyle name="Ergebnis 1 1 2 2 2 2_Grünland" xfId="3139"/>
    <cellStyle name="Ergebnis 1 1 2 2 2 3" xfId="1339"/>
    <cellStyle name="Ergebnis 1 1 2 2 2 3 2" xfId="1340"/>
    <cellStyle name="Ergebnis 1 1 2 2 2 3 2 2" xfId="4756"/>
    <cellStyle name="Ergebnis 1 1 2 2 2 3 3" xfId="1341"/>
    <cellStyle name="Ergebnis 1 1 2 2 2 3 3 2" xfId="4757"/>
    <cellStyle name="Ergebnis 1 1 2 2 2 3 4" xfId="1342"/>
    <cellStyle name="Ergebnis 1 1 2 2 2 3 4 2" xfId="4758"/>
    <cellStyle name="Ergebnis 1 1 2 2 2 3 5" xfId="1343"/>
    <cellStyle name="Ergebnis 1 1 2 2 2 3 5 2" xfId="4759"/>
    <cellStyle name="Ergebnis 1 1 2 2 2 3 6" xfId="1344"/>
    <cellStyle name="Ergebnis 1 1 2 2 2 3 6 2" xfId="4760"/>
    <cellStyle name="Ergebnis 1 1 2 2 2 3 7" xfId="4755"/>
    <cellStyle name="Ergebnis 1 1 2 2 2 3_Grünland" xfId="3142"/>
    <cellStyle name="Ergebnis 1 1 2 2 2 4" xfId="1345"/>
    <cellStyle name="Ergebnis 1 1 2 2 2 4 2" xfId="1346"/>
    <cellStyle name="Ergebnis 1 1 2 2 2 4 2 2" xfId="4762"/>
    <cellStyle name="Ergebnis 1 1 2 2 2 4 3" xfId="1347"/>
    <cellStyle name="Ergebnis 1 1 2 2 2 4 3 2" xfId="4763"/>
    <cellStyle name="Ergebnis 1 1 2 2 2 4 4" xfId="1348"/>
    <cellStyle name="Ergebnis 1 1 2 2 2 4 4 2" xfId="4764"/>
    <cellStyle name="Ergebnis 1 1 2 2 2 4 5" xfId="1349"/>
    <cellStyle name="Ergebnis 1 1 2 2 2 4 5 2" xfId="4765"/>
    <cellStyle name="Ergebnis 1 1 2 2 2 4 6" xfId="1350"/>
    <cellStyle name="Ergebnis 1 1 2 2 2 4 6 2" xfId="4766"/>
    <cellStyle name="Ergebnis 1 1 2 2 2 4 7" xfId="4761"/>
    <cellStyle name="Ergebnis 1 1 2 2 2 4_Grünland" xfId="3143"/>
    <cellStyle name="Ergebnis 1 1 2 2 2 5" xfId="1351"/>
    <cellStyle name="Ergebnis 1 1 2 2 2 5 2" xfId="1352"/>
    <cellStyle name="Ergebnis 1 1 2 2 2 5 2 2" xfId="4768"/>
    <cellStyle name="Ergebnis 1 1 2 2 2 5 3" xfId="1353"/>
    <cellStyle name="Ergebnis 1 1 2 2 2 5 3 2" xfId="4769"/>
    <cellStyle name="Ergebnis 1 1 2 2 2 5 4" xfId="1354"/>
    <cellStyle name="Ergebnis 1 1 2 2 2 5 4 2" xfId="4770"/>
    <cellStyle name="Ergebnis 1 1 2 2 2 5 5" xfId="1355"/>
    <cellStyle name="Ergebnis 1 1 2 2 2 5 5 2" xfId="4771"/>
    <cellStyle name="Ergebnis 1 1 2 2 2 5 6" xfId="4767"/>
    <cellStyle name="Ergebnis 1 1 2 2 2 5_Grünland" xfId="3144"/>
    <cellStyle name="Ergebnis 1 1 2 2 2 6" xfId="1356"/>
    <cellStyle name="Ergebnis 1 1 2 2 2 6 2" xfId="4772"/>
    <cellStyle name="Ergebnis 1 1 2 2 2 7" xfId="1357"/>
    <cellStyle name="Ergebnis 1 1 2 2 2 7 2" xfId="4773"/>
    <cellStyle name="Ergebnis 1 1 2 2 2 8" xfId="4736"/>
    <cellStyle name="Ergebnis 1 1 2 2 2_Grünland" xfId="3138"/>
    <cellStyle name="Ergebnis 1 1 2 2 3" xfId="1358"/>
    <cellStyle name="Ergebnis 1 1 2 2 3 2" xfId="1359"/>
    <cellStyle name="Ergebnis 1 1 2 2 3 2 2" xfId="1360"/>
    <cellStyle name="Ergebnis 1 1 2 2 3 2 2 2" xfId="1361"/>
    <cellStyle name="Ergebnis 1 1 2 2 3 2 2 2 2" xfId="4777"/>
    <cellStyle name="Ergebnis 1 1 2 2 3 2 2 3" xfId="1362"/>
    <cellStyle name="Ergebnis 1 1 2 2 3 2 2 3 2" xfId="4778"/>
    <cellStyle name="Ergebnis 1 1 2 2 3 2 2 4" xfId="1363"/>
    <cellStyle name="Ergebnis 1 1 2 2 3 2 2 4 2" xfId="4779"/>
    <cellStyle name="Ergebnis 1 1 2 2 3 2 2 5" xfId="1364"/>
    <cellStyle name="Ergebnis 1 1 2 2 3 2 2 5 2" xfId="4780"/>
    <cellStyle name="Ergebnis 1 1 2 2 3 2 2 6" xfId="1365"/>
    <cellStyle name="Ergebnis 1 1 2 2 3 2 2 6 2" xfId="4781"/>
    <cellStyle name="Ergebnis 1 1 2 2 3 2 2 7" xfId="4776"/>
    <cellStyle name="Ergebnis 1 1 2 2 3 2 2_Grünland" xfId="3147"/>
    <cellStyle name="Ergebnis 1 1 2 2 3 2 3" xfId="1366"/>
    <cellStyle name="Ergebnis 1 1 2 2 3 2 3 2" xfId="1367"/>
    <cellStyle name="Ergebnis 1 1 2 2 3 2 3 2 2" xfId="4783"/>
    <cellStyle name="Ergebnis 1 1 2 2 3 2 3 3" xfId="1368"/>
    <cellStyle name="Ergebnis 1 1 2 2 3 2 3 3 2" xfId="4784"/>
    <cellStyle name="Ergebnis 1 1 2 2 3 2 3 4" xfId="1369"/>
    <cellStyle name="Ergebnis 1 1 2 2 3 2 3 4 2" xfId="4785"/>
    <cellStyle name="Ergebnis 1 1 2 2 3 2 3 5" xfId="1370"/>
    <cellStyle name="Ergebnis 1 1 2 2 3 2 3 5 2" xfId="4786"/>
    <cellStyle name="Ergebnis 1 1 2 2 3 2 3 6" xfId="1371"/>
    <cellStyle name="Ergebnis 1 1 2 2 3 2 3 6 2" xfId="4787"/>
    <cellStyle name="Ergebnis 1 1 2 2 3 2 3 7" xfId="4782"/>
    <cellStyle name="Ergebnis 1 1 2 2 3 2 3_Grünland" xfId="3148"/>
    <cellStyle name="Ergebnis 1 1 2 2 3 2 4" xfId="1372"/>
    <cellStyle name="Ergebnis 1 1 2 2 3 2 4 2" xfId="4788"/>
    <cellStyle name="Ergebnis 1 1 2 2 3 2 5" xfId="1373"/>
    <cellStyle name="Ergebnis 1 1 2 2 3 2 5 2" xfId="4789"/>
    <cellStyle name="Ergebnis 1 1 2 2 3 2 6" xfId="1374"/>
    <cellStyle name="Ergebnis 1 1 2 2 3 2 6 2" xfId="4790"/>
    <cellStyle name="Ergebnis 1 1 2 2 3 2 7" xfId="1375"/>
    <cellStyle name="Ergebnis 1 1 2 2 3 2 7 2" xfId="4791"/>
    <cellStyle name="Ergebnis 1 1 2 2 3 2 8" xfId="1376"/>
    <cellStyle name="Ergebnis 1 1 2 2 3 2 8 2" xfId="4792"/>
    <cellStyle name="Ergebnis 1 1 2 2 3 2 9" xfId="4775"/>
    <cellStyle name="Ergebnis 1 1 2 2 3 2_Grünland" xfId="3146"/>
    <cellStyle name="Ergebnis 1 1 2 2 3 3" xfId="1377"/>
    <cellStyle name="Ergebnis 1 1 2 2 3 3 2" xfId="1378"/>
    <cellStyle name="Ergebnis 1 1 2 2 3 3 2 2" xfId="4794"/>
    <cellStyle name="Ergebnis 1 1 2 2 3 3 3" xfId="1379"/>
    <cellStyle name="Ergebnis 1 1 2 2 3 3 3 2" xfId="4795"/>
    <cellStyle name="Ergebnis 1 1 2 2 3 3 4" xfId="1380"/>
    <cellStyle name="Ergebnis 1 1 2 2 3 3 4 2" xfId="4796"/>
    <cellStyle name="Ergebnis 1 1 2 2 3 3 5" xfId="1381"/>
    <cellStyle name="Ergebnis 1 1 2 2 3 3 5 2" xfId="4797"/>
    <cellStyle name="Ergebnis 1 1 2 2 3 3 6" xfId="1382"/>
    <cellStyle name="Ergebnis 1 1 2 2 3 3 6 2" xfId="4798"/>
    <cellStyle name="Ergebnis 1 1 2 2 3 3 7" xfId="4793"/>
    <cellStyle name="Ergebnis 1 1 2 2 3 3_Grünland" xfId="3149"/>
    <cellStyle name="Ergebnis 1 1 2 2 3 4" xfId="1383"/>
    <cellStyle name="Ergebnis 1 1 2 2 3 4 2" xfId="1384"/>
    <cellStyle name="Ergebnis 1 1 2 2 3 4 2 2" xfId="4800"/>
    <cellStyle name="Ergebnis 1 1 2 2 3 4 3" xfId="1385"/>
    <cellStyle name="Ergebnis 1 1 2 2 3 4 3 2" xfId="4801"/>
    <cellStyle name="Ergebnis 1 1 2 2 3 4 4" xfId="1386"/>
    <cellStyle name="Ergebnis 1 1 2 2 3 4 4 2" xfId="4802"/>
    <cellStyle name="Ergebnis 1 1 2 2 3 4 5" xfId="1387"/>
    <cellStyle name="Ergebnis 1 1 2 2 3 4 5 2" xfId="4803"/>
    <cellStyle name="Ergebnis 1 1 2 2 3 4 6" xfId="1388"/>
    <cellStyle name="Ergebnis 1 1 2 2 3 4 6 2" xfId="4804"/>
    <cellStyle name="Ergebnis 1 1 2 2 3 4 7" xfId="4799"/>
    <cellStyle name="Ergebnis 1 1 2 2 3 4_Grünland" xfId="3150"/>
    <cellStyle name="Ergebnis 1 1 2 2 3 5" xfId="1389"/>
    <cellStyle name="Ergebnis 1 1 2 2 3 5 2" xfId="1390"/>
    <cellStyle name="Ergebnis 1 1 2 2 3 5 2 2" xfId="4806"/>
    <cellStyle name="Ergebnis 1 1 2 2 3 5 3" xfId="1391"/>
    <cellStyle name="Ergebnis 1 1 2 2 3 5 3 2" xfId="4807"/>
    <cellStyle name="Ergebnis 1 1 2 2 3 5 4" xfId="1392"/>
    <cellStyle name="Ergebnis 1 1 2 2 3 5 4 2" xfId="4808"/>
    <cellStyle name="Ergebnis 1 1 2 2 3 5 5" xfId="1393"/>
    <cellStyle name="Ergebnis 1 1 2 2 3 5 5 2" xfId="4809"/>
    <cellStyle name="Ergebnis 1 1 2 2 3 5 6" xfId="4805"/>
    <cellStyle name="Ergebnis 1 1 2 2 3 5_Grünland" xfId="3151"/>
    <cellStyle name="Ergebnis 1 1 2 2 3 6" xfId="1394"/>
    <cellStyle name="Ergebnis 1 1 2 2 3 6 2" xfId="4810"/>
    <cellStyle name="Ergebnis 1 1 2 2 3 7" xfId="1395"/>
    <cellStyle name="Ergebnis 1 1 2 2 3 7 2" xfId="4811"/>
    <cellStyle name="Ergebnis 1 1 2 2 3 8" xfId="4774"/>
    <cellStyle name="Ergebnis 1 1 2 2 3_Grünland" xfId="3145"/>
    <cellStyle name="Ergebnis 1 1 2 2 4" xfId="1396"/>
    <cellStyle name="Ergebnis 1 1 2 2 4 2" xfId="1397"/>
    <cellStyle name="Ergebnis 1 1 2 2 4 2 2" xfId="1398"/>
    <cellStyle name="Ergebnis 1 1 2 2 4 2 2 2" xfId="4814"/>
    <cellStyle name="Ergebnis 1 1 2 2 4 2 3" xfId="1399"/>
    <cellStyle name="Ergebnis 1 1 2 2 4 2 3 2" xfId="4815"/>
    <cellStyle name="Ergebnis 1 1 2 2 4 2 4" xfId="1400"/>
    <cellStyle name="Ergebnis 1 1 2 2 4 2 4 2" xfId="4816"/>
    <cellStyle name="Ergebnis 1 1 2 2 4 2 5" xfId="1401"/>
    <cellStyle name="Ergebnis 1 1 2 2 4 2 5 2" xfId="4817"/>
    <cellStyle name="Ergebnis 1 1 2 2 4 2 6" xfId="1402"/>
    <cellStyle name="Ergebnis 1 1 2 2 4 2 6 2" xfId="4818"/>
    <cellStyle name="Ergebnis 1 1 2 2 4 2 7" xfId="4813"/>
    <cellStyle name="Ergebnis 1 1 2 2 4 2_Grünland" xfId="3153"/>
    <cellStyle name="Ergebnis 1 1 2 2 4 3" xfId="1403"/>
    <cellStyle name="Ergebnis 1 1 2 2 4 3 2" xfId="1404"/>
    <cellStyle name="Ergebnis 1 1 2 2 4 3 2 2" xfId="4820"/>
    <cellStyle name="Ergebnis 1 1 2 2 4 3 3" xfId="1405"/>
    <cellStyle name="Ergebnis 1 1 2 2 4 3 3 2" xfId="4821"/>
    <cellStyle name="Ergebnis 1 1 2 2 4 3 4" xfId="1406"/>
    <cellStyle name="Ergebnis 1 1 2 2 4 3 4 2" xfId="4822"/>
    <cellStyle name="Ergebnis 1 1 2 2 4 3 5" xfId="1407"/>
    <cellStyle name="Ergebnis 1 1 2 2 4 3 5 2" xfId="4823"/>
    <cellStyle name="Ergebnis 1 1 2 2 4 3 6" xfId="1408"/>
    <cellStyle name="Ergebnis 1 1 2 2 4 3 6 2" xfId="4824"/>
    <cellStyle name="Ergebnis 1 1 2 2 4 3 7" xfId="4819"/>
    <cellStyle name="Ergebnis 1 1 2 2 4 3_Grünland" xfId="3154"/>
    <cellStyle name="Ergebnis 1 1 2 2 4 4" xfId="1409"/>
    <cellStyle name="Ergebnis 1 1 2 2 4 4 2" xfId="4825"/>
    <cellStyle name="Ergebnis 1 1 2 2 4 5" xfId="1410"/>
    <cellStyle name="Ergebnis 1 1 2 2 4 5 2" xfId="4826"/>
    <cellStyle name="Ergebnis 1 1 2 2 4 6" xfId="1411"/>
    <cellStyle name="Ergebnis 1 1 2 2 4 6 2" xfId="4827"/>
    <cellStyle name="Ergebnis 1 1 2 2 4 7" xfId="1412"/>
    <cellStyle name="Ergebnis 1 1 2 2 4 7 2" xfId="4828"/>
    <cellStyle name="Ergebnis 1 1 2 2 4 8" xfId="1413"/>
    <cellStyle name="Ergebnis 1 1 2 2 4 8 2" xfId="4829"/>
    <cellStyle name="Ergebnis 1 1 2 2 4 9" xfId="4812"/>
    <cellStyle name="Ergebnis 1 1 2 2 4_Grünland" xfId="3152"/>
    <cellStyle name="Ergebnis 1 1 2 2 5" xfId="1414"/>
    <cellStyle name="Ergebnis 1 1 2 2 5 2" xfId="1415"/>
    <cellStyle name="Ergebnis 1 1 2 2 5 2 2" xfId="4831"/>
    <cellStyle name="Ergebnis 1 1 2 2 5 3" xfId="1416"/>
    <cellStyle name="Ergebnis 1 1 2 2 5 3 2" xfId="4832"/>
    <cellStyle name="Ergebnis 1 1 2 2 5 4" xfId="1417"/>
    <cellStyle name="Ergebnis 1 1 2 2 5 4 2" xfId="4833"/>
    <cellStyle name="Ergebnis 1 1 2 2 5 5" xfId="1418"/>
    <cellStyle name="Ergebnis 1 1 2 2 5 5 2" xfId="4834"/>
    <cellStyle name="Ergebnis 1 1 2 2 5 6" xfId="1419"/>
    <cellStyle name="Ergebnis 1 1 2 2 5 6 2" xfId="4835"/>
    <cellStyle name="Ergebnis 1 1 2 2 5 7" xfId="4830"/>
    <cellStyle name="Ergebnis 1 1 2 2 5_Grünland" xfId="3155"/>
    <cellStyle name="Ergebnis 1 1 2 2 6" xfId="1420"/>
    <cellStyle name="Ergebnis 1 1 2 2 6 2" xfId="1421"/>
    <cellStyle name="Ergebnis 1 1 2 2 6 2 2" xfId="4837"/>
    <cellStyle name="Ergebnis 1 1 2 2 6 3" xfId="1422"/>
    <cellStyle name="Ergebnis 1 1 2 2 6 3 2" xfId="4838"/>
    <cellStyle name="Ergebnis 1 1 2 2 6 4" xfId="1423"/>
    <cellStyle name="Ergebnis 1 1 2 2 6 4 2" xfId="4839"/>
    <cellStyle name="Ergebnis 1 1 2 2 6 5" xfId="1424"/>
    <cellStyle name="Ergebnis 1 1 2 2 6 5 2" xfId="4840"/>
    <cellStyle name="Ergebnis 1 1 2 2 6 6" xfId="1425"/>
    <cellStyle name="Ergebnis 1 1 2 2 6 6 2" xfId="4841"/>
    <cellStyle name="Ergebnis 1 1 2 2 6 7" xfId="4836"/>
    <cellStyle name="Ergebnis 1 1 2 2 6_Grünland" xfId="3156"/>
    <cellStyle name="Ergebnis 1 1 2 2 7" xfId="1426"/>
    <cellStyle name="Ergebnis 1 1 2 2 7 2" xfId="4842"/>
    <cellStyle name="Ergebnis 1 1 2 2 8" xfId="1427"/>
    <cellStyle name="Ergebnis 1 1 2 2 8 2" xfId="4843"/>
    <cellStyle name="Ergebnis 1 1 2 2 9" xfId="4735"/>
    <cellStyle name="Ergebnis 1 1 2 2_Grünland" xfId="3137"/>
    <cellStyle name="Ergebnis 1 1 2 3" xfId="1428"/>
    <cellStyle name="Ergebnis 1 1 2 3 2" xfId="1429"/>
    <cellStyle name="Ergebnis 1 1 2 3 2 2" xfId="1430"/>
    <cellStyle name="Ergebnis 1 1 2 3 2 2 2" xfId="1431"/>
    <cellStyle name="Ergebnis 1 1 2 3 2 2 2 2" xfId="4847"/>
    <cellStyle name="Ergebnis 1 1 2 3 2 2 3" xfId="1432"/>
    <cellStyle name="Ergebnis 1 1 2 3 2 2 3 2" xfId="4848"/>
    <cellStyle name="Ergebnis 1 1 2 3 2 2 4" xfId="1433"/>
    <cellStyle name="Ergebnis 1 1 2 3 2 2 4 2" xfId="4849"/>
    <cellStyle name="Ergebnis 1 1 2 3 2 2 5" xfId="1434"/>
    <cellStyle name="Ergebnis 1 1 2 3 2 2 5 2" xfId="4850"/>
    <cellStyle name="Ergebnis 1 1 2 3 2 2 6" xfId="1435"/>
    <cellStyle name="Ergebnis 1 1 2 3 2 2 6 2" xfId="4851"/>
    <cellStyle name="Ergebnis 1 1 2 3 2 2 7" xfId="4846"/>
    <cellStyle name="Ergebnis 1 1 2 3 2 2_Grünland" xfId="3159"/>
    <cellStyle name="Ergebnis 1 1 2 3 2 3" xfId="1436"/>
    <cellStyle name="Ergebnis 1 1 2 3 2 3 2" xfId="1437"/>
    <cellStyle name="Ergebnis 1 1 2 3 2 3 2 2" xfId="4853"/>
    <cellStyle name="Ergebnis 1 1 2 3 2 3 3" xfId="1438"/>
    <cellStyle name="Ergebnis 1 1 2 3 2 3 3 2" xfId="4854"/>
    <cellStyle name="Ergebnis 1 1 2 3 2 3 4" xfId="1439"/>
    <cellStyle name="Ergebnis 1 1 2 3 2 3 4 2" xfId="4855"/>
    <cellStyle name="Ergebnis 1 1 2 3 2 3 5" xfId="1440"/>
    <cellStyle name="Ergebnis 1 1 2 3 2 3 5 2" xfId="4856"/>
    <cellStyle name="Ergebnis 1 1 2 3 2 3 6" xfId="1441"/>
    <cellStyle name="Ergebnis 1 1 2 3 2 3 6 2" xfId="4857"/>
    <cellStyle name="Ergebnis 1 1 2 3 2 3 7" xfId="4852"/>
    <cellStyle name="Ergebnis 1 1 2 3 2 3_Grünland" xfId="3160"/>
    <cellStyle name="Ergebnis 1 1 2 3 2 4" xfId="1442"/>
    <cellStyle name="Ergebnis 1 1 2 3 2 4 2" xfId="4858"/>
    <cellStyle name="Ergebnis 1 1 2 3 2 5" xfId="1443"/>
    <cellStyle name="Ergebnis 1 1 2 3 2 5 2" xfId="4859"/>
    <cellStyle name="Ergebnis 1 1 2 3 2 6" xfId="1444"/>
    <cellStyle name="Ergebnis 1 1 2 3 2 6 2" xfId="4860"/>
    <cellStyle name="Ergebnis 1 1 2 3 2 7" xfId="1445"/>
    <cellStyle name="Ergebnis 1 1 2 3 2 7 2" xfId="4861"/>
    <cellStyle name="Ergebnis 1 1 2 3 2 8" xfId="1446"/>
    <cellStyle name="Ergebnis 1 1 2 3 2 8 2" xfId="4862"/>
    <cellStyle name="Ergebnis 1 1 2 3 2 9" xfId="4845"/>
    <cellStyle name="Ergebnis 1 1 2 3 2_Grünland" xfId="3158"/>
    <cellStyle name="Ergebnis 1 1 2 3 3" xfId="1447"/>
    <cellStyle name="Ergebnis 1 1 2 3 3 2" xfId="1448"/>
    <cellStyle name="Ergebnis 1 1 2 3 3 2 2" xfId="4864"/>
    <cellStyle name="Ergebnis 1 1 2 3 3 3" xfId="1449"/>
    <cellStyle name="Ergebnis 1 1 2 3 3 3 2" xfId="4865"/>
    <cellStyle name="Ergebnis 1 1 2 3 3 4" xfId="1450"/>
    <cellStyle name="Ergebnis 1 1 2 3 3 4 2" xfId="4866"/>
    <cellStyle name="Ergebnis 1 1 2 3 3 5" xfId="1451"/>
    <cellStyle name="Ergebnis 1 1 2 3 3 5 2" xfId="4867"/>
    <cellStyle name="Ergebnis 1 1 2 3 3 6" xfId="1452"/>
    <cellStyle name="Ergebnis 1 1 2 3 3 6 2" xfId="4868"/>
    <cellStyle name="Ergebnis 1 1 2 3 3 7" xfId="4863"/>
    <cellStyle name="Ergebnis 1 1 2 3 3_Grünland" xfId="3161"/>
    <cellStyle name="Ergebnis 1 1 2 3 4" xfId="1453"/>
    <cellStyle name="Ergebnis 1 1 2 3 4 2" xfId="1454"/>
    <cellStyle name="Ergebnis 1 1 2 3 4 2 2" xfId="4870"/>
    <cellStyle name="Ergebnis 1 1 2 3 4 3" xfId="1455"/>
    <cellStyle name="Ergebnis 1 1 2 3 4 3 2" xfId="4871"/>
    <cellStyle name="Ergebnis 1 1 2 3 4 4" xfId="1456"/>
    <cellStyle name="Ergebnis 1 1 2 3 4 4 2" xfId="4872"/>
    <cellStyle name="Ergebnis 1 1 2 3 4 5" xfId="1457"/>
    <cellStyle name="Ergebnis 1 1 2 3 4 5 2" xfId="4873"/>
    <cellStyle name="Ergebnis 1 1 2 3 4 6" xfId="1458"/>
    <cellStyle name="Ergebnis 1 1 2 3 4 6 2" xfId="4874"/>
    <cellStyle name="Ergebnis 1 1 2 3 4 7" xfId="4869"/>
    <cellStyle name="Ergebnis 1 1 2 3 4_Grünland" xfId="3162"/>
    <cellStyle name="Ergebnis 1 1 2 3 5" xfId="1459"/>
    <cellStyle name="Ergebnis 1 1 2 3 5 2" xfId="1460"/>
    <cellStyle name="Ergebnis 1 1 2 3 5 2 2" xfId="4876"/>
    <cellStyle name="Ergebnis 1 1 2 3 5 3" xfId="1461"/>
    <cellStyle name="Ergebnis 1 1 2 3 5 3 2" xfId="4877"/>
    <cellStyle name="Ergebnis 1 1 2 3 5 4" xfId="1462"/>
    <cellStyle name="Ergebnis 1 1 2 3 5 4 2" xfId="4878"/>
    <cellStyle name="Ergebnis 1 1 2 3 5 5" xfId="1463"/>
    <cellStyle name="Ergebnis 1 1 2 3 5 5 2" xfId="4879"/>
    <cellStyle name="Ergebnis 1 1 2 3 5 6" xfId="4875"/>
    <cellStyle name="Ergebnis 1 1 2 3 5_Grünland" xfId="3163"/>
    <cellStyle name="Ergebnis 1 1 2 3 6" xfId="1464"/>
    <cellStyle name="Ergebnis 1 1 2 3 6 2" xfId="4880"/>
    <cellStyle name="Ergebnis 1 1 2 3 7" xfId="1465"/>
    <cellStyle name="Ergebnis 1 1 2 3 7 2" xfId="4881"/>
    <cellStyle name="Ergebnis 1 1 2 3 8" xfId="4844"/>
    <cellStyle name="Ergebnis 1 1 2 3_Grünland" xfId="3157"/>
    <cellStyle name="Ergebnis 1 1 2 4" xfId="1466"/>
    <cellStyle name="Ergebnis 1 1 2 4 2" xfId="1467"/>
    <cellStyle name="Ergebnis 1 1 2 4 2 2" xfId="1468"/>
    <cellStyle name="Ergebnis 1 1 2 4 2 2 2" xfId="1469"/>
    <cellStyle name="Ergebnis 1 1 2 4 2 2 2 2" xfId="4885"/>
    <cellStyle name="Ergebnis 1 1 2 4 2 2 3" xfId="1470"/>
    <cellStyle name="Ergebnis 1 1 2 4 2 2 3 2" xfId="4886"/>
    <cellStyle name="Ergebnis 1 1 2 4 2 2 4" xfId="1471"/>
    <cellStyle name="Ergebnis 1 1 2 4 2 2 4 2" xfId="4887"/>
    <cellStyle name="Ergebnis 1 1 2 4 2 2 5" xfId="1472"/>
    <cellStyle name="Ergebnis 1 1 2 4 2 2 5 2" xfId="4888"/>
    <cellStyle name="Ergebnis 1 1 2 4 2 2 6" xfId="1473"/>
    <cellStyle name="Ergebnis 1 1 2 4 2 2 6 2" xfId="4889"/>
    <cellStyle name="Ergebnis 1 1 2 4 2 2 7" xfId="4884"/>
    <cellStyle name="Ergebnis 1 1 2 4 2 2_Grünland" xfId="3166"/>
    <cellStyle name="Ergebnis 1 1 2 4 2 3" xfId="1474"/>
    <cellStyle name="Ergebnis 1 1 2 4 2 3 2" xfId="1475"/>
    <cellStyle name="Ergebnis 1 1 2 4 2 3 2 2" xfId="4891"/>
    <cellStyle name="Ergebnis 1 1 2 4 2 3 3" xfId="1476"/>
    <cellStyle name="Ergebnis 1 1 2 4 2 3 3 2" xfId="4892"/>
    <cellStyle name="Ergebnis 1 1 2 4 2 3 4" xfId="1477"/>
    <cellStyle name="Ergebnis 1 1 2 4 2 3 4 2" xfId="4893"/>
    <cellStyle name="Ergebnis 1 1 2 4 2 3 5" xfId="1478"/>
    <cellStyle name="Ergebnis 1 1 2 4 2 3 5 2" xfId="4894"/>
    <cellStyle name="Ergebnis 1 1 2 4 2 3 6" xfId="1479"/>
    <cellStyle name="Ergebnis 1 1 2 4 2 3 6 2" xfId="4895"/>
    <cellStyle name="Ergebnis 1 1 2 4 2 3 7" xfId="4890"/>
    <cellStyle name="Ergebnis 1 1 2 4 2 3_Grünland" xfId="3167"/>
    <cellStyle name="Ergebnis 1 1 2 4 2 4" xfId="1480"/>
    <cellStyle name="Ergebnis 1 1 2 4 2 4 2" xfId="4896"/>
    <cellStyle name="Ergebnis 1 1 2 4 2 5" xfId="1481"/>
    <cellStyle name="Ergebnis 1 1 2 4 2 5 2" xfId="4897"/>
    <cellStyle name="Ergebnis 1 1 2 4 2 6" xfId="1482"/>
    <cellStyle name="Ergebnis 1 1 2 4 2 6 2" xfId="4898"/>
    <cellStyle name="Ergebnis 1 1 2 4 2 7" xfId="1483"/>
    <cellStyle name="Ergebnis 1 1 2 4 2 7 2" xfId="4899"/>
    <cellStyle name="Ergebnis 1 1 2 4 2 8" xfId="1484"/>
    <cellStyle name="Ergebnis 1 1 2 4 2 8 2" xfId="4900"/>
    <cellStyle name="Ergebnis 1 1 2 4 2 9" xfId="4883"/>
    <cellStyle name="Ergebnis 1 1 2 4 2_Grünland" xfId="3165"/>
    <cellStyle name="Ergebnis 1 1 2 4 3" xfId="1485"/>
    <cellStyle name="Ergebnis 1 1 2 4 3 2" xfId="1486"/>
    <cellStyle name="Ergebnis 1 1 2 4 3 2 2" xfId="4902"/>
    <cellStyle name="Ergebnis 1 1 2 4 3 3" xfId="1487"/>
    <cellStyle name="Ergebnis 1 1 2 4 3 3 2" xfId="4903"/>
    <cellStyle name="Ergebnis 1 1 2 4 3 4" xfId="1488"/>
    <cellStyle name="Ergebnis 1 1 2 4 3 4 2" xfId="4904"/>
    <cellStyle name="Ergebnis 1 1 2 4 3 5" xfId="1489"/>
    <cellStyle name="Ergebnis 1 1 2 4 3 5 2" xfId="4905"/>
    <cellStyle name="Ergebnis 1 1 2 4 3 6" xfId="1490"/>
    <cellStyle name="Ergebnis 1 1 2 4 3 6 2" xfId="4906"/>
    <cellStyle name="Ergebnis 1 1 2 4 3 7" xfId="4901"/>
    <cellStyle name="Ergebnis 1 1 2 4 3_Grünland" xfId="3168"/>
    <cellStyle name="Ergebnis 1 1 2 4 4" xfId="1491"/>
    <cellStyle name="Ergebnis 1 1 2 4 4 2" xfId="1492"/>
    <cellStyle name="Ergebnis 1 1 2 4 4 2 2" xfId="4908"/>
    <cellStyle name="Ergebnis 1 1 2 4 4 3" xfId="1493"/>
    <cellStyle name="Ergebnis 1 1 2 4 4 3 2" xfId="4909"/>
    <cellStyle name="Ergebnis 1 1 2 4 4 4" xfId="1494"/>
    <cellStyle name="Ergebnis 1 1 2 4 4 4 2" xfId="4910"/>
    <cellStyle name="Ergebnis 1 1 2 4 4 5" xfId="1495"/>
    <cellStyle name="Ergebnis 1 1 2 4 4 5 2" xfId="4911"/>
    <cellStyle name="Ergebnis 1 1 2 4 4 6" xfId="1496"/>
    <cellStyle name="Ergebnis 1 1 2 4 4 6 2" xfId="4912"/>
    <cellStyle name="Ergebnis 1 1 2 4 4 7" xfId="4907"/>
    <cellStyle name="Ergebnis 1 1 2 4 4_Grünland" xfId="3169"/>
    <cellStyle name="Ergebnis 1 1 2 4 5" xfId="1497"/>
    <cellStyle name="Ergebnis 1 1 2 4 5 2" xfId="1498"/>
    <cellStyle name="Ergebnis 1 1 2 4 5 2 2" xfId="4914"/>
    <cellStyle name="Ergebnis 1 1 2 4 5 3" xfId="1499"/>
    <cellStyle name="Ergebnis 1 1 2 4 5 3 2" xfId="4915"/>
    <cellStyle name="Ergebnis 1 1 2 4 5 4" xfId="1500"/>
    <cellStyle name="Ergebnis 1 1 2 4 5 4 2" xfId="4916"/>
    <cellStyle name="Ergebnis 1 1 2 4 5 5" xfId="1501"/>
    <cellStyle name="Ergebnis 1 1 2 4 5 5 2" xfId="4917"/>
    <cellStyle name="Ergebnis 1 1 2 4 5 6" xfId="4913"/>
    <cellStyle name="Ergebnis 1 1 2 4 5_Grünland" xfId="3170"/>
    <cellStyle name="Ergebnis 1 1 2 4 6" xfId="1502"/>
    <cellStyle name="Ergebnis 1 1 2 4 6 2" xfId="4918"/>
    <cellStyle name="Ergebnis 1 1 2 4 7" xfId="1503"/>
    <cellStyle name="Ergebnis 1 1 2 4 7 2" xfId="4919"/>
    <cellStyle name="Ergebnis 1 1 2 4 8" xfId="4882"/>
    <cellStyle name="Ergebnis 1 1 2 4_Grünland" xfId="3164"/>
    <cellStyle name="Ergebnis 1 1 2 5" xfId="1504"/>
    <cellStyle name="Ergebnis 1 1 2 5 2" xfId="1505"/>
    <cellStyle name="Ergebnis 1 1 2 5 2 2" xfId="1506"/>
    <cellStyle name="Ergebnis 1 1 2 5 2 2 2" xfId="4922"/>
    <cellStyle name="Ergebnis 1 1 2 5 2 3" xfId="1507"/>
    <cellStyle name="Ergebnis 1 1 2 5 2 3 2" xfId="4923"/>
    <cellStyle name="Ergebnis 1 1 2 5 2 4" xfId="1508"/>
    <cellStyle name="Ergebnis 1 1 2 5 2 4 2" xfId="4924"/>
    <cellStyle name="Ergebnis 1 1 2 5 2 5" xfId="1509"/>
    <cellStyle name="Ergebnis 1 1 2 5 2 5 2" xfId="4925"/>
    <cellStyle name="Ergebnis 1 1 2 5 2 6" xfId="1510"/>
    <cellStyle name="Ergebnis 1 1 2 5 2 6 2" xfId="4926"/>
    <cellStyle name="Ergebnis 1 1 2 5 2 7" xfId="4921"/>
    <cellStyle name="Ergebnis 1 1 2 5 2_Grünland" xfId="3172"/>
    <cellStyle name="Ergebnis 1 1 2 5 3" xfId="1511"/>
    <cellStyle name="Ergebnis 1 1 2 5 3 2" xfId="1512"/>
    <cellStyle name="Ergebnis 1 1 2 5 3 2 2" xfId="4928"/>
    <cellStyle name="Ergebnis 1 1 2 5 3 3" xfId="1513"/>
    <cellStyle name="Ergebnis 1 1 2 5 3 3 2" xfId="4929"/>
    <cellStyle name="Ergebnis 1 1 2 5 3 4" xfId="1514"/>
    <cellStyle name="Ergebnis 1 1 2 5 3 4 2" xfId="4930"/>
    <cellStyle name="Ergebnis 1 1 2 5 3 5" xfId="1515"/>
    <cellStyle name="Ergebnis 1 1 2 5 3 5 2" xfId="4931"/>
    <cellStyle name="Ergebnis 1 1 2 5 3 6" xfId="1516"/>
    <cellStyle name="Ergebnis 1 1 2 5 3 6 2" xfId="4932"/>
    <cellStyle name="Ergebnis 1 1 2 5 3 7" xfId="4927"/>
    <cellStyle name="Ergebnis 1 1 2 5 3_Grünland" xfId="3173"/>
    <cellStyle name="Ergebnis 1 1 2 5 4" xfId="1517"/>
    <cellStyle name="Ergebnis 1 1 2 5 4 2" xfId="4933"/>
    <cellStyle name="Ergebnis 1 1 2 5 5" xfId="1518"/>
    <cellStyle name="Ergebnis 1 1 2 5 5 2" xfId="4934"/>
    <cellStyle name="Ergebnis 1 1 2 5 6" xfId="1519"/>
    <cellStyle name="Ergebnis 1 1 2 5 6 2" xfId="4935"/>
    <cellStyle name="Ergebnis 1 1 2 5 7" xfId="1520"/>
    <cellStyle name="Ergebnis 1 1 2 5 7 2" xfId="4936"/>
    <cellStyle name="Ergebnis 1 1 2 5 8" xfId="1521"/>
    <cellStyle name="Ergebnis 1 1 2 5 8 2" xfId="4937"/>
    <cellStyle name="Ergebnis 1 1 2 5 9" xfId="4920"/>
    <cellStyle name="Ergebnis 1 1 2 5_Grünland" xfId="3171"/>
    <cellStyle name="Ergebnis 1 1 2 6" xfId="1522"/>
    <cellStyle name="Ergebnis 1 1 2 6 2" xfId="1523"/>
    <cellStyle name="Ergebnis 1 1 2 6 2 2" xfId="4939"/>
    <cellStyle name="Ergebnis 1 1 2 6 3" xfId="1524"/>
    <cellStyle name="Ergebnis 1 1 2 6 3 2" xfId="4940"/>
    <cellStyle name="Ergebnis 1 1 2 6 4" xfId="1525"/>
    <cellStyle name="Ergebnis 1 1 2 6 4 2" xfId="4941"/>
    <cellStyle name="Ergebnis 1 1 2 6 5" xfId="1526"/>
    <cellStyle name="Ergebnis 1 1 2 6 5 2" xfId="4942"/>
    <cellStyle name="Ergebnis 1 1 2 6 6" xfId="1527"/>
    <cellStyle name="Ergebnis 1 1 2 6 6 2" xfId="4943"/>
    <cellStyle name="Ergebnis 1 1 2 6 7" xfId="4938"/>
    <cellStyle name="Ergebnis 1 1 2 6_Grünland" xfId="3174"/>
    <cellStyle name="Ergebnis 1 1 2 7" xfId="1528"/>
    <cellStyle name="Ergebnis 1 1 2 7 2" xfId="1529"/>
    <cellStyle name="Ergebnis 1 1 2 7 2 2" xfId="4945"/>
    <cellStyle name="Ergebnis 1 1 2 7 3" xfId="1530"/>
    <cellStyle name="Ergebnis 1 1 2 7 3 2" xfId="4946"/>
    <cellStyle name="Ergebnis 1 1 2 7 4" xfId="1531"/>
    <cellStyle name="Ergebnis 1 1 2 7 4 2" xfId="4947"/>
    <cellStyle name="Ergebnis 1 1 2 7 5" xfId="1532"/>
    <cellStyle name="Ergebnis 1 1 2 7 5 2" xfId="4948"/>
    <cellStyle name="Ergebnis 1 1 2 7 6" xfId="1533"/>
    <cellStyle name="Ergebnis 1 1 2 7 6 2" xfId="4949"/>
    <cellStyle name="Ergebnis 1 1 2 7 7" xfId="4944"/>
    <cellStyle name="Ergebnis 1 1 2 7_Grünland" xfId="3175"/>
    <cellStyle name="Ergebnis 1 1 2 8" xfId="1534"/>
    <cellStyle name="Ergebnis 1 1 2 8 2" xfId="4950"/>
    <cellStyle name="Ergebnis 1 1 2 9" xfId="1535"/>
    <cellStyle name="Ergebnis 1 1 2 9 2" xfId="4951"/>
    <cellStyle name="Ergebnis 1 1 2_Grünland" xfId="3136"/>
    <cellStyle name="Ergebnis 1 1 3" xfId="1536"/>
    <cellStyle name="Ergebnis 1 1 3 2" xfId="1537"/>
    <cellStyle name="Ergebnis 1 1 3 2 2" xfId="1538"/>
    <cellStyle name="Ergebnis 1 1 3 2 2 2" xfId="1539"/>
    <cellStyle name="Ergebnis 1 1 3 2 2 2 2" xfId="1540"/>
    <cellStyle name="Ergebnis 1 1 3 2 2 2 2 2" xfId="4956"/>
    <cellStyle name="Ergebnis 1 1 3 2 2 2 3" xfId="1541"/>
    <cellStyle name="Ergebnis 1 1 3 2 2 2 3 2" xfId="4957"/>
    <cellStyle name="Ergebnis 1 1 3 2 2 2 4" xfId="1542"/>
    <cellStyle name="Ergebnis 1 1 3 2 2 2 4 2" xfId="4958"/>
    <cellStyle name="Ergebnis 1 1 3 2 2 2 5" xfId="1543"/>
    <cellStyle name="Ergebnis 1 1 3 2 2 2 5 2" xfId="4959"/>
    <cellStyle name="Ergebnis 1 1 3 2 2 2 6" xfId="1544"/>
    <cellStyle name="Ergebnis 1 1 3 2 2 2 6 2" xfId="4960"/>
    <cellStyle name="Ergebnis 1 1 3 2 2 2 7" xfId="4955"/>
    <cellStyle name="Ergebnis 1 1 3 2 2 2_Grünland" xfId="3179"/>
    <cellStyle name="Ergebnis 1 1 3 2 2 3" xfId="1545"/>
    <cellStyle name="Ergebnis 1 1 3 2 2 3 2" xfId="1546"/>
    <cellStyle name="Ergebnis 1 1 3 2 2 3 2 2" xfId="4962"/>
    <cellStyle name="Ergebnis 1 1 3 2 2 3 3" xfId="1547"/>
    <cellStyle name="Ergebnis 1 1 3 2 2 3 3 2" xfId="4963"/>
    <cellStyle name="Ergebnis 1 1 3 2 2 3 4" xfId="1548"/>
    <cellStyle name="Ergebnis 1 1 3 2 2 3 4 2" xfId="4964"/>
    <cellStyle name="Ergebnis 1 1 3 2 2 3 5" xfId="1549"/>
    <cellStyle name="Ergebnis 1 1 3 2 2 3 5 2" xfId="4965"/>
    <cellStyle name="Ergebnis 1 1 3 2 2 3 6" xfId="1550"/>
    <cellStyle name="Ergebnis 1 1 3 2 2 3 6 2" xfId="4966"/>
    <cellStyle name="Ergebnis 1 1 3 2 2 3 7" xfId="4961"/>
    <cellStyle name="Ergebnis 1 1 3 2 2 3_Grünland" xfId="3180"/>
    <cellStyle name="Ergebnis 1 1 3 2 2 4" xfId="1551"/>
    <cellStyle name="Ergebnis 1 1 3 2 2 4 2" xfId="4967"/>
    <cellStyle name="Ergebnis 1 1 3 2 2 5" xfId="1552"/>
    <cellStyle name="Ergebnis 1 1 3 2 2 5 2" xfId="4968"/>
    <cellStyle name="Ergebnis 1 1 3 2 2 6" xfId="1553"/>
    <cellStyle name="Ergebnis 1 1 3 2 2 6 2" xfId="4969"/>
    <cellStyle name="Ergebnis 1 1 3 2 2 7" xfId="1554"/>
    <cellStyle name="Ergebnis 1 1 3 2 2 7 2" xfId="4970"/>
    <cellStyle name="Ergebnis 1 1 3 2 2 8" xfId="1555"/>
    <cellStyle name="Ergebnis 1 1 3 2 2 8 2" xfId="4971"/>
    <cellStyle name="Ergebnis 1 1 3 2 2 9" xfId="4954"/>
    <cellStyle name="Ergebnis 1 1 3 2 2_Grünland" xfId="3178"/>
    <cellStyle name="Ergebnis 1 1 3 2 3" xfId="1556"/>
    <cellStyle name="Ergebnis 1 1 3 2 3 2" xfId="1557"/>
    <cellStyle name="Ergebnis 1 1 3 2 3 2 2" xfId="4973"/>
    <cellStyle name="Ergebnis 1 1 3 2 3 3" xfId="1558"/>
    <cellStyle name="Ergebnis 1 1 3 2 3 3 2" xfId="4974"/>
    <cellStyle name="Ergebnis 1 1 3 2 3 4" xfId="1559"/>
    <cellStyle name="Ergebnis 1 1 3 2 3 4 2" xfId="4975"/>
    <cellStyle name="Ergebnis 1 1 3 2 3 5" xfId="1560"/>
    <cellStyle name="Ergebnis 1 1 3 2 3 5 2" xfId="4976"/>
    <cellStyle name="Ergebnis 1 1 3 2 3 6" xfId="1561"/>
    <cellStyle name="Ergebnis 1 1 3 2 3 6 2" xfId="4977"/>
    <cellStyle name="Ergebnis 1 1 3 2 3 7" xfId="4972"/>
    <cellStyle name="Ergebnis 1 1 3 2 3_Grünland" xfId="3181"/>
    <cellStyle name="Ergebnis 1 1 3 2 4" xfId="1562"/>
    <cellStyle name="Ergebnis 1 1 3 2 4 2" xfId="1563"/>
    <cellStyle name="Ergebnis 1 1 3 2 4 2 2" xfId="4979"/>
    <cellStyle name="Ergebnis 1 1 3 2 4 3" xfId="1564"/>
    <cellStyle name="Ergebnis 1 1 3 2 4 3 2" xfId="4980"/>
    <cellStyle name="Ergebnis 1 1 3 2 4 4" xfId="1565"/>
    <cellStyle name="Ergebnis 1 1 3 2 4 4 2" xfId="4981"/>
    <cellStyle name="Ergebnis 1 1 3 2 4 5" xfId="1566"/>
    <cellStyle name="Ergebnis 1 1 3 2 4 5 2" xfId="4982"/>
    <cellStyle name="Ergebnis 1 1 3 2 4 6" xfId="1567"/>
    <cellStyle name="Ergebnis 1 1 3 2 4 6 2" xfId="4983"/>
    <cellStyle name="Ergebnis 1 1 3 2 4 7" xfId="4978"/>
    <cellStyle name="Ergebnis 1 1 3 2 4_Grünland" xfId="3182"/>
    <cellStyle name="Ergebnis 1 1 3 2 5" xfId="1568"/>
    <cellStyle name="Ergebnis 1 1 3 2 5 2" xfId="1569"/>
    <cellStyle name="Ergebnis 1 1 3 2 5 2 2" xfId="4985"/>
    <cellStyle name="Ergebnis 1 1 3 2 5 3" xfId="1570"/>
    <cellStyle name="Ergebnis 1 1 3 2 5 3 2" xfId="4986"/>
    <cellStyle name="Ergebnis 1 1 3 2 5 4" xfId="1571"/>
    <cellStyle name="Ergebnis 1 1 3 2 5 4 2" xfId="4987"/>
    <cellStyle name="Ergebnis 1 1 3 2 5 5" xfId="1572"/>
    <cellStyle name="Ergebnis 1 1 3 2 5 5 2" xfId="4988"/>
    <cellStyle name="Ergebnis 1 1 3 2 5 6" xfId="4984"/>
    <cellStyle name="Ergebnis 1 1 3 2 5_Grünland" xfId="3183"/>
    <cellStyle name="Ergebnis 1 1 3 2 6" xfId="1573"/>
    <cellStyle name="Ergebnis 1 1 3 2 6 2" xfId="4989"/>
    <cellStyle name="Ergebnis 1 1 3 2 7" xfId="1574"/>
    <cellStyle name="Ergebnis 1 1 3 2 7 2" xfId="4990"/>
    <cellStyle name="Ergebnis 1 1 3 2 8" xfId="4953"/>
    <cellStyle name="Ergebnis 1 1 3 2_Grünland" xfId="3177"/>
    <cellStyle name="Ergebnis 1 1 3 3" xfId="1575"/>
    <cellStyle name="Ergebnis 1 1 3 3 2" xfId="1576"/>
    <cellStyle name="Ergebnis 1 1 3 3 2 2" xfId="1577"/>
    <cellStyle name="Ergebnis 1 1 3 3 2 2 2" xfId="1578"/>
    <cellStyle name="Ergebnis 1 1 3 3 2 2 2 2" xfId="4994"/>
    <cellStyle name="Ergebnis 1 1 3 3 2 2 3" xfId="1579"/>
    <cellStyle name="Ergebnis 1 1 3 3 2 2 3 2" xfId="4995"/>
    <cellStyle name="Ergebnis 1 1 3 3 2 2 4" xfId="1580"/>
    <cellStyle name="Ergebnis 1 1 3 3 2 2 4 2" xfId="4996"/>
    <cellStyle name="Ergebnis 1 1 3 3 2 2 5" xfId="1581"/>
    <cellStyle name="Ergebnis 1 1 3 3 2 2 5 2" xfId="4997"/>
    <cellStyle name="Ergebnis 1 1 3 3 2 2 6" xfId="1582"/>
    <cellStyle name="Ergebnis 1 1 3 3 2 2 6 2" xfId="4998"/>
    <cellStyle name="Ergebnis 1 1 3 3 2 2 7" xfId="4993"/>
    <cellStyle name="Ergebnis 1 1 3 3 2 2_Grünland" xfId="3186"/>
    <cellStyle name="Ergebnis 1 1 3 3 2 3" xfId="1583"/>
    <cellStyle name="Ergebnis 1 1 3 3 2 3 2" xfId="1584"/>
    <cellStyle name="Ergebnis 1 1 3 3 2 3 2 2" xfId="5000"/>
    <cellStyle name="Ergebnis 1 1 3 3 2 3 3" xfId="1585"/>
    <cellStyle name="Ergebnis 1 1 3 3 2 3 3 2" xfId="5001"/>
    <cellStyle name="Ergebnis 1 1 3 3 2 3 4" xfId="1586"/>
    <cellStyle name="Ergebnis 1 1 3 3 2 3 4 2" xfId="5002"/>
    <cellStyle name="Ergebnis 1 1 3 3 2 3 5" xfId="1587"/>
    <cellStyle name="Ergebnis 1 1 3 3 2 3 5 2" xfId="5003"/>
    <cellStyle name="Ergebnis 1 1 3 3 2 3 6" xfId="1588"/>
    <cellStyle name="Ergebnis 1 1 3 3 2 3 6 2" xfId="5004"/>
    <cellStyle name="Ergebnis 1 1 3 3 2 3 7" xfId="4999"/>
    <cellStyle name="Ergebnis 1 1 3 3 2 3_Grünland" xfId="3187"/>
    <cellStyle name="Ergebnis 1 1 3 3 2 4" xfId="1589"/>
    <cellStyle name="Ergebnis 1 1 3 3 2 4 2" xfId="5005"/>
    <cellStyle name="Ergebnis 1 1 3 3 2 5" xfId="1590"/>
    <cellStyle name="Ergebnis 1 1 3 3 2 5 2" xfId="5006"/>
    <cellStyle name="Ergebnis 1 1 3 3 2 6" xfId="1591"/>
    <cellStyle name="Ergebnis 1 1 3 3 2 6 2" xfId="5007"/>
    <cellStyle name="Ergebnis 1 1 3 3 2 7" xfId="1592"/>
    <cellStyle name="Ergebnis 1 1 3 3 2 7 2" xfId="5008"/>
    <cellStyle name="Ergebnis 1 1 3 3 2 8" xfId="1593"/>
    <cellStyle name="Ergebnis 1 1 3 3 2 8 2" xfId="5009"/>
    <cellStyle name="Ergebnis 1 1 3 3 2 9" xfId="4992"/>
    <cellStyle name="Ergebnis 1 1 3 3 2_Grünland" xfId="3185"/>
    <cellStyle name="Ergebnis 1 1 3 3 3" xfId="1594"/>
    <cellStyle name="Ergebnis 1 1 3 3 3 2" xfId="1595"/>
    <cellStyle name="Ergebnis 1 1 3 3 3 2 2" xfId="5011"/>
    <cellStyle name="Ergebnis 1 1 3 3 3 3" xfId="1596"/>
    <cellStyle name="Ergebnis 1 1 3 3 3 3 2" xfId="5012"/>
    <cellStyle name="Ergebnis 1 1 3 3 3 4" xfId="1597"/>
    <cellStyle name="Ergebnis 1 1 3 3 3 4 2" xfId="5013"/>
    <cellStyle name="Ergebnis 1 1 3 3 3 5" xfId="1598"/>
    <cellStyle name="Ergebnis 1 1 3 3 3 5 2" xfId="5014"/>
    <cellStyle name="Ergebnis 1 1 3 3 3 6" xfId="1599"/>
    <cellStyle name="Ergebnis 1 1 3 3 3 6 2" xfId="5015"/>
    <cellStyle name="Ergebnis 1 1 3 3 3 7" xfId="5010"/>
    <cellStyle name="Ergebnis 1 1 3 3 3_Grünland" xfId="3188"/>
    <cellStyle name="Ergebnis 1 1 3 3 4" xfId="1600"/>
    <cellStyle name="Ergebnis 1 1 3 3 4 2" xfId="1601"/>
    <cellStyle name="Ergebnis 1 1 3 3 4 2 2" xfId="5017"/>
    <cellStyle name="Ergebnis 1 1 3 3 4 3" xfId="1602"/>
    <cellStyle name="Ergebnis 1 1 3 3 4 3 2" xfId="5018"/>
    <cellStyle name="Ergebnis 1 1 3 3 4 4" xfId="1603"/>
    <cellStyle name="Ergebnis 1 1 3 3 4 4 2" xfId="5019"/>
    <cellStyle name="Ergebnis 1 1 3 3 4 5" xfId="1604"/>
    <cellStyle name="Ergebnis 1 1 3 3 4 5 2" xfId="5020"/>
    <cellStyle name="Ergebnis 1 1 3 3 4 6" xfId="1605"/>
    <cellStyle name="Ergebnis 1 1 3 3 4 6 2" xfId="5021"/>
    <cellStyle name="Ergebnis 1 1 3 3 4 7" xfId="5016"/>
    <cellStyle name="Ergebnis 1 1 3 3 4_Grünland" xfId="3189"/>
    <cellStyle name="Ergebnis 1 1 3 3 5" xfId="1606"/>
    <cellStyle name="Ergebnis 1 1 3 3 5 2" xfId="1607"/>
    <cellStyle name="Ergebnis 1 1 3 3 5 2 2" xfId="5023"/>
    <cellStyle name="Ergebnis 1 1 3 3 5 3" xfId="1608"/>
    <cellStyle name="Ergebnis 1 1 3 3 5 3 2" xfId="5024"/>
    <cellStyle name="Ergebnis 1 1 3 3 5 4" xfId="1609"/>
    <cellStyle name="Ergebnis 1 1 3 3 5 4 2" xfId="5025"/>
    <cellStyle name="Ergebnis 1 1 3 3 5 5" xfId="1610"/>
    <cellStyle name="Ergebnis 1 1 3 3 5 5 2" xfId="5026"/>
    <cellStyle name="Ergebnis 1 1 3 3 5 6" xfId="5022"/>
    <cellStyle name="Ergebnis 1 1 3 3 5_Grünland" xfId="3190"/>
    <cellStyle name="Ergebnis 1 1 3 3 6" xfId="1611"/>
    <cellStyle name="Ergebnis 1 1 3 3 6 2" xfId="5027"/>
    <cellStyle name="Ergebnis 1 1 3 3 7" xfId="1612"/>
    <cellStyle name="Ergebnis 1 1 3 3 7 2" xfId="5028"/>
    <cellStyle name="Ergebnis 1 1 3 3 8" xfId="4991"/>
    <cellStyle name="Ergebnis 1 1 3 3_Grünland" xfId="3184"/>
    <cellStyle name="Ergebnis 1 1 3 4" xfId="1613"/>
    <cellStyle name="Ergebnis 1 1 3 4 2" xfId="1614"/>
    <cellStyle name="Ergebnis 1 1 3 4 2 2" xfId="1615"/>
    <cellStyle name="Ergebnis 1 1 3 4 2 2 2" xfId="5031"/>
    <cellStyle name="Ergebnis 1 1 3 4 2 3" xfId="1616"/>
    <cellStyle name="Ergebnis 1 1 3 4 2 3 2" xfId="5032"/>
    <cellStyle name="Ergebnis 1 1 3 4 2 4" xfId="1617"/>
    <cellStyle name="Ergebnis 1 1 3 4 2 4 2" xfId="5033"/>
    <cellStyle name="Ergebnis 1 1 3 4 2 5" xfId="1618"/>
    <cellStyle name="Ergebnis 1 1 3 4 2 5 2" xfId="5034"/>
    <cellStyle name="Ergebnis 1 1 3 4 2 6" xfId="1619"/>
    <cellStyle name="Ergebnis 1 1 3 4 2 6 2" xfId="5035"/>
    <cellStyle name="Ergebnis 1 1 3 4 2 7" xfId="5030"/>
    <cellStyle name="Ergebnis 1 1 3 4 2_Grünland" xfId="3192"/>
    <cellStyle name="Ergebnis 1 1 3 4 3" xfId="1620"/>
    <cellStyle name="Ergebnis 1 1 3 4 3 2" xfId="1621"/>
    <cellStyle name="Ergebnis 1 1 3 4 3 2 2" xfId="5037"/>
    <cellStyle name="Ergebnis 1 1 3 4 3 3" xfId="1622"/>
    <cellStyle name="Ergebnis 1 1 3 4 3 3 2" xfId="5038"/>
    <cellStyle name="Ergebnis 1 1 3 4 3 4" xfId="1623"/>
    <cellStyle name="Ergebnis 1 1 3 4 3 4 2" xfId="5039"/>
    <cellStyle name="Ergebnis 1 1 3 4 3 5" xfId="1624"/>
    <cellStyle name="Ergebnis 1 1 3 4 3 5 2" xfId="5040"/>
    <cellStyle name="Ergebnis 1 1 3 4 3 6" xfId="1625"/>
    <cellStyle name="Ergebnis 1 1 3 4 3 6 2" xfId="5041"/>
    <cellStyle name="Ergebnis 1 1 3 4 3 7" xfId="5036"/>
    <cellStyle name="Ergebnis 1 1 3 4 3_Grünland" xfId="3193"/>
    <cellStyle name="Ergebnis 1 1 3 4 4" xfId="1626"/>
    <cellStyle name="Ergebnis 1 1 3 4 4 2" xfId="5042"/>
    <cellStyle name="Ergebnis 1 1 3 4 5" xfId="1627"/>
    <cellStyle name="Ergebnis 1 1 3 4 5 2" xfId="5043"/>
    <cellStyle name="Ergebnis 1 1 3 4 6" xfId="1628"/>
    <cellStyle name="Ergebnis 1 1 3 4 6 2" xfId="5044"/>
    <cellStyle name="Ergebnis 1 1 3 4 7" xfId="1629"/>
    <cellStyle name="Ergebnis 1 1 3 4 7 2" xfId="5045"/>
    <cellStyle name="Ergebnis 1 1 3 4 8" xfId="1630"/>
    <cellStyle name="Ergebnis 1 1 3 4 8 2" xfId="5046"/>
    <cellStyle name="Ergebnis 1 1 3 4 9" xfId="5029"/>
    <cellStyle name="Ergebnis 1 1 3 4_Grünland" xfId="3191"/>
    <cellStyle name="Ergebnis 1 1 3 5" xfId="1631"/>
    <cellStyle name="Ergebnis 1 1 3 5 2" xfId="1632"/>
    <cellStyle name="Ergebnis 1 1 3 5 2 2" xfId="5048"/>
    <cellStyle name="Ergebnis 1 1 3 5 3" xfId="1633"/>
    <cellStyle name="Ergebnis 1 1 3 5 3 2" xfId="5049"/>
    <cellStyle name="Ergebnis 1 1 3 5 4" xfId="1634"/>
    <cellStyle name="Ergebnis 1 1 3 5 4 2" xfId="5050"/>
    <cellStyle name="Ergebnis 1 1 3 5 5" xfId="1635"/>
    <cellStyle name="Ergebnis 1 1 3 5 5 2" xfId="5051"/>
    <cellStyle name="Ergebnis 1 1 3 5 6" xfId="1636"/>
    <cellStyle name="Ergebnis 1 1 3 5 6 2" xfId="5052"/>
    <cellStyle name="Ergebnis 1 1 3 5 7" xfId="5047"/>
    <cellStyle name="Ergebnis 1 1 3 5_Grünland" xfId="3194"/>
    <cellStyle name="Ergebnis 1 1 3 6" xfId="1637"/>
    <cellStyle name="Ergebnis 1 1 3 6 2" xfId="1638"/>
    <cellStyle name="Ergebnis 1 1 3 6 2 2" xfId="5054"/>
    <cellStyle name="Ergebnis 1 1 3 6 3" xfId="1639"/>
    <cellStyle name="Ergebnis 1 1 3 6 3 2" xfId="5055"/>
    <cellStyle name="Ergebnis 1 1 3 6 4" xfId="1640"/>
    <cellStyle name="Ergebnis 1 1 3 6 4 2" xfId="5056"/>
    <cellStyle name="Ergebnis 1 1 3 6 5" xfId="1641"/>
    <cellStyle name="Ergebnis 1 1 3 6 5 2" xfId="5057"/>
    <cellStyle name="Ergebnis 1 1 3 6 6" xfId="1642"/>
    <cellStyle name="Ergebnis 1 1 3 6 6 2" xfId="5058"/>
    <cellStyle name="Ergebnis 1 1 3 6 7" xfId="5053"/>
    <cellStyle name="Ergebnis 1 1 3 6_Grünland" xfId="3195"/>
    <cellStyle name="Ergebnis 1 1 3 7" xfId="1643"/>
    <cellStyle name="Ergebnis 1 1 3 7 2" xfId="5059"/>
    <cellStyle name="Ergebnis 1 1 3 8" xfId="1644"/>
    <cellStyle name="Ergebnis 1 1 3 8 2" xfId="5060"/>
    <cellStyle name="Ergebnis 1 1 3 9" xfId="4952"/>
    <cellStyle name="Ergebnis 1 1 3_Grünland" xfId="3176"/>
    <cellStyle name="Ergebnis 1 1 4" xfId="1645"/>
    <cellStyle name="Ergebnis 1 1 4 2" xfId="1646"/>
    <cellStyle name="Ergebnis 1 1 4 2 2" xfId="1647"/>
    <cellStyle name="Ergebnis 1 1 4 2 2 2" xfId="1648"/>
    <cellStyle name="Ergebnis 1 1 4 2 2 2 2" xfId="5064"/>
    <cellStyle name="Ergebnis 1 1 4 2 2 3" xfId="1649"/>
    <cellStyle name="Ergebnis 1 1 4 2 2 3 2" xfId="5065"/>
    <cellStyle name="Ergebnis 1 1 4 2 2 4" xfId="1650"/>
    <cellStyle name="Ergebnis 1 1 4 2 2 4 2" xfId="5066"/>
    <cellStyle name="Ergebnis 1 1 4 2 2 5" xfId="1651"/>
    <cellStyle name="Ergebnis 1 1 4 2 2 5 2" xfId="5067"/>
    <cellStyle name="Ergebnis 1 1 4 2 2 6" xfId="1652"/>
    <cellStyle name="Ergebnis 1 1 4 2 2 6 2" xfId="5068"/>
    <cellStyle name="Ergebnis 1 1 4 2 2 7" xfId="5063"/>
    <cellStyle name="Ergebnis 1 1 4 2 2_Grünland" xfId="3198"/>
    <cellStyle name="Ergebnis 1 1 4 2 3" xfId="1653"/>
    <cellStyle name="Ergebnis 1 1 4 2 3 2" xfId="1654"/>
    <cellStyle name="Ergebnis 1 1 4 2 3 2 2" xfId="5070"/>
    <cellStyle name="Ergebnis 1 1 4 2 3 3" xfId="1655"/>
    <cellStyle name="Ergebnis 1 1 4 2 3 3 2" xfId="5071"/>
    <cellStyle name="Ergebnis 1 1 4 2 3 4" xfId="1656"/>
    <cellStyle name="Ergebnis 1 1 4 2 3 4 2" xfId="5072"/>
    <cellStyle name="Ergebnis 1 1 4 2 3 5" xfId="1657"/>
    <cellStyle name="Ergebnis 1 1 4 2 3 5 2" xfId="5073"/>
    <cellStyle name="Ergebnis 1 1 4 2 3 6" xfId="1658"/>
    <cellStyle name="Ergebnis 1 1 4 2 3 6 2" xfId="5074"/>
    <cellStyle name="Ergebnis 1 1 4 2 3 7" xfId="5069"/>
    <cellStyle name="Ergebnis 1 1 4 2 3_Grünland" xfId="3199"/>
    <cellStyle name="Ergebnis 1 1 4 2 4" xfId="1659"/>
    <cellStyle name="Ergebnis 1 1 4 2 4 2" xfId="5075"/>
    <cellStyle name="Ergebnis 1 1 4 2 5" xfId="1660"/>
    <cellStyle name="Ergebnis 1 1 4 2 5 2" xfId="5076"/>
    <cellStyle name="Ergebnis 1 1 4 2 6" xfId="1661"/>
    <cellStyle name="Ergebnis 1 1 4 2 6 2" xfId="5077"/>
    <cellStyle name="Ergebnis 1 1 4 2 7" xfId="1662"/>
    <cellStyle name="Ergebnis 1 1 4 2 7 2" xfId="5078"/>
    <cellStyle name="Ergebnis 1 1 4 2 8" xfId="1663"/>
    <cellStyle name="Ergebnis 1 1 4 2 8 2" xfId="5079"/>
    <cellStyle name="Ergebnis 1 1 4 2 9" xfId="5062"/>
    <cellStyle name="Ergebnis 1 1 4 2_Grünland" xfId="3197"/>
    <cellStyle name="Ergebnis 1 1 4 3" xfId="1664"/>
    <cellStyle name="Ergebnis 1 1 4 3 2" xfId="1665"/>
    <cellStyle name="Ergebnis 1 1 4 3 2 2" xfId="5081"/>
    <cellStyle name="Ergebnis 1 1 4 3 3" xfId="1666"/>
    <cellStyle name="Ergebnis 1 1 4 3 3 2" xfId="5082"/>
    <cellStyle name="Ergebnis 1 1 4 3 4" xfId="1667"/>
    <cellStyle name="Ergebnis 1 1 4 3 4 2" xfId="5083"/>
    <cellStyle name="Ergebnis 1 1 4 3 5" xfId="1668"/>
    <cellStyle name="Ergebnis 1 1 4 3 5 2" xfId="5084"/>
    <cellStyle name="Ergebnis 1 1 4 3 6" xfId="1669"/>
    <cellStyle name="Ergebnis 1 1 4 3 6 2" xfId="5085"/>
    <cellStyle name="Ergebnis 1 1 4 3 7" xfId="5080"/>
    <cellStyle name="Ergebnis 1 1 4 3_Grünland" xfId="3200"/>
    <cellStyle name="Ergebnis 1 1 4 4" xfId="1670"/>
    <cellStyle name="Ergebnis 1 1 4 4 2" xfId="1671"/>
    <cellStyle name="Ergebnis 1 1 4 4 2 2" xfId="5087"/>
    <cellStyle name="Ergebnis 1 1 4 4 3" xfId="1672"/>
    <cellStyle name="Ergebnis 1 1 4 4 3 2" xfId="5088"/>
    <cellStyle name="Ergebnis 1 1 4 4 4" xfId="1673"/>
    <cellStyle name="Ergebnis 1 1 4 4 4 2" xfId="5089"/>
    <cellStyle name="Ergebnis 1 1 4 4 5" xfId="1674"/>
    <cellStyle name="Ergebnis 1 1 4 4 5 2" xfId="5090"/>
    <cellStyle name="Ergebnis 1 1 4 4 6" xfId="1675"/>
    <cellStyle name="Ergebnis 1 1 4 4 6 2" xfId="5091"/>
    <cellStyle name="Ergebnis 1 1 4 4 7" xfId="5086"/>
    <cellStyle name="Ergebnis 1 1 4 4_Grünland" xfId="3201"/>
    <cellStyle name="Ergebnis 1 1 4 5" xfId="1676"/>
    <cellStyle name="Ergebnis 1 1 4 5 2" xfId="1677"/>
    <cellStyle name="Ergebnis 1 1 4 5 2 2" xfId="5093"/>
    <cellStyle name="Ergebnis 1 1 4 5 3" xfId="1678"/>
    <cellStyle name="Ergebnis 1 1 4 5 3 2" xfId="5094"/>
    <cellStyle name="Ergebnis 1 1 4 5 4" xfId="1679"/>
    <cellStyle name="Ergebnis 1 1 4 5 4 2" xfId="5095"/>
    <cellStyle name="Ergebnis 1 1 4 5 5" xfId="1680"/>
    <cellStyle name="Ergebnis 1 1 4 5 5 2" xfId="5096"/>
    <cellStyle name="Ergebnis 1 1 4 5 6" xfId="5092"/>
    <cellStyle name="Ergebnis 1 1 4 5_Grünland" xfId="3202"/>
    <cellStyle name="Ergebnis 1 1 4 6" xfId="1681"/>
    <cellStyle name="Ergebnis 1 1 4 6 2" xfId="5097"/>
    <cellStyle name="Ergebnis 1 1 4 7" xfId="1682"/>
    <cellStyle name="Ergebnis 1 1 4 7 2" xfId="5098"/>
    <cellStyle name="Ergebnis 1 1 4 8" xfId="5061"/>
    <cellStyle name="Ergebnis 1 1 4_Grünland" xfId="3196"/>
    <cellStyle name="Ergebnis 1 1 5" xfId="1683"/>
    <cellStyle name="Ergebnis 1 1 5 2" xfId="1684"/>
    <cellStyle name="Ergebnis 1 1 5 2 2" xfId="1685"/>
    <cellStyle name="Ergebnis 1 1 5 2 2 2" xfId="1686"/>
    <cellStyle name="Ergebnis 1 1 5 2 2 2 2" xfId="5102"/>
    <cellStyle name="Ergebnis 1 1 5 2 2 3" xfId="1687"/>
    <cellStyle name="Ergebnis 1 1 5 2 2 3 2" xfId="5103"/>
    <cellStyle name="Ergebnis 1 1 5 2 2 4" xfId="1688"/>
    <cellStyle name="Ergebnis 1 1 5 2 2 4 2" xfId="5104"/>
    <cellStyle name="Ergebnis 1 1 5 2 2 5" xfId="1689"/>
    <cellStyle name="Ergebnis 1 1 5 2 2 5 2" xfId="5105"/>
    <cellStyle name="Ergebnis 1 1 5 2 2 6" xfId="1690"/>
    <cellStyle name="Ergebnis 1 1 5 2 2 6 2" xfId="5106"/>
    <cellStyle name="Ergebnis 1 1 5 2 2 7" xfId="5101"/>
    <cellStyle name="Ergebnis 1 1 5 2 2_Grünland" xfId="3205"/>
    <cellStyle name="Ergebnis 1 1 5 2 3" xfId="1691"/>
    <cellStyle name="Ergebnis 1 1 5 2 3 2" xfId="1692"/>
    <cellStyle name="Ergebnis 1 1 5 2 3 2 2" xfId="5108"/>
    <cellStyle name="Ergebnis 1 1 5 2 3 3" xfId="1693"/>
    <cellStyle name="Ergebnis 1 1 5 2 3 3 2" xfId="5109"/>
    <cellStyle name="Ergebnis 1 1 5 2 3 4" xfId="1694"/>
    <cellStyle name="Ergebnis 1 1 5 2 3 4 2" xfId="5110"/>
    <cellStyle name="Ergebnis 1 1 5 2 3 5" xfId="1695"/>
    <cellStyle name="Ergebnis 1 1 5 2 3 5 2" xfId="5111"/>
    <cellStyle name="Ergebnis 1 1 5 2 3 6" xfId="1696"/>
    <cellStyle name="Ergebnis 1 1 5 2 3 6 2" xfId="5112"/>
    <cellStyle name="Ergebnis 1 1 5 2 3 7" xfId="5107"/>
    <cellStyle name="Ergebnis 1 1 5 2 3_Grünland" xfId="3206"/>
    <cellStyle name="Ergebnis 1 1 5 2 4" xfId="1697"/>
    <cellStyle name="Ergebnis 1 1 5 2 4 2" xfId="5113"/>
    <cellStyle name="Ergebnis 1 1 5 2 5" xfId="1698"/>
    <cellStyle name="Ergebnis 1 1 5 2 5 2" xfId="5114"/>
    <cellStyle name="Ergebnis 1 1 5 2 6" xfId="1699"/>
    <cellStyle name="Ergebnis 1 1 5 2 6 2" xfId="5115"/>
    <cellStyle name="Ergebnis 1 1 5 2 7" xfId="1700"/>
    <cellStyle name="Ergebnis 1 1 5 2 7 2" xfId="5116"/>
    <cellStyle name="Ergebnis 1 1 5 2 8" xfId="1701"/>
    <cellStyle name="Ergebnis 1 1 5 2 8 2" xfId="5117"/>
    <cellStyle name="Ergebnis 1 1 5 2 9" xfId="5100"/>
    <cellStyle name="Ergebnis 1 1 5 2_Grünland" xfId="3204"/>
    <cellStyle name="Ergebnis 1 1 5 3" xfId="1702"/>
    <cellStyle name="Ergebnis 1 1 5 3 2" xfId="1703"/>
    <cellStyle name="Ergebnis 1 1 5 3 2 2" xfId="5119"/>
    <cellStyle name="Ergebnis 1 1 5 3 3" xfId="1704"/>
    <cellStyle name="Ergebnis 1 1 5 3 3 2" xfId="5120"/>
    <cellStyle name="Ergebnis 1 1 5 3 4" xfId="1705"/>
    <cellStyle name="Ergebnis 1 1 5 3 4 2" xfId="5121"/>
    <cellStyle name="Ergebnis 1 1 5 3 5" xfId="1706"/>
    <cellStyle name="Ergebnis 1 1 5 3 5 2" xfId="5122"/>
    <cellStyle name="Ergebnis 1 1 5 3 6" xfId="1707"/>
    <cellStyle name="Ergebnis 1 1 5 3 6 2" xfId="5123"/>
    <cellStyle name="Ergebnis 1 1 5 3 7" xfId="5118"/>
    <cellStyle name="Ergebnis 1 1 5 3_Grünland" xfId="3207"/>
    <cellStyle name="Ergebnis 1 1 5 4" xfId="1708"/>
    <cellStyle name="Ergebnis 1 1 5 4 2" xfId="1709"/>
    <cellStyle name="Ergebnis 1 1 5 4 2 2" xfId="5125"/>
    <cellStyle name="Ergebnis 1 1 5 4 3" xfId="1710"/>
    <cellStyle name="Ergebnis 1 1 5 4 3 2" xfId="5126"/>
    <cellStyle name="Ergebnis 1 1 5 4 4" xfId="1711"/>
    <cellStyle name="Ergebnis 1 1 5 4 4 2" xfId="5127"/>
    <cellStyle name="Ergebnis 1 1 5 4 5" xfId="1712"/>
    <cellStyle name="Ergebnis 1 1 5 4 5 2" xfId="5128"/>
    <cellStyle name="Ergebnis 1 1 5 4 6" xfId="1713"/>
    <cellStyle name="Ergebnis 1 1 5 4 6 2" xfId="5129"/>
    <cellStyle name="Ergebnis 1 1 5 4 7" xfId="5124"/>
    <cellStyle name="Ergebnis 1 1 5 4_Grünland" xfId="3208"/>
    <cellStyle name="Ergebnis 1 1 5 5" xfId="1714"/>
    <cellStyle name="Ergebnis 1 1 5 5 2" xfId="1715"/>
    <cellStyle name="Ergebnis 1 1 5 5 2 2" xfId="5131"/>
    <cellStyle name="Ergebnis 1 1 5 5 3" xfId="1716"/>
    <cellStyle name="Ergebnis 1 1 5 5 3 2" xfId="5132"/>
    <cellStyle name="Ergebnis 1 1 5 5 4" xfId="1717"/>
    <cellStyle name="Ergebnis 1 1 5 5 4 2" xfId="5133"/>
    <cellStyle name="Ergebnis 1 1 5 5 5" xfId="1718"/>
    <cellStyle name="Ergebnis 1 1 5 5 5 2" xfId="5134"/>
    <cellStyle name="Ergebnis 1 1 5 5 6" xfId="5130"/>
    <cellStyle name="Ergebnis 1 1 5 5_Grünland" xfId="3209"/>
    <cellStyle name="Ergebnis 1 1 5 6" xfId="1719"/>
    <cellStyle name="Ergebnis 1 1 5 6 2" xfId="5135"/>
    <cellStyle name="Ergebnis 1 1 5 7" xfId="1720"/>
    <cellStyle name="Ergebnis 1 1 5 7 2" xfId="5136"/>
    <cellStyle name="Ergebnis 1 1 5 8" xfId="5099"/>
    <cellStyle name="Ergebnis 1 1 5_Grünland" xfId="3203"/>
    <cellStyle name="Ergebnis 1 1 6" xfId="1721"/>
    <cellStyle name="Ergebnis 1 1 6 2" xfId="1722"/>
    <cellStyle name="Ergebnis 1 1 6 2 2" xfId="1723"/>
    <cellStyle name="Ergebnis 1 1 6 2 2 2" xfId="5139"/>
    <cellStyle name="Ergebnis 1 1 6 2 3" xfId="1724"/>
    <cellStyle name="Ergebnis 1 1 6 2 3 2" xfId="5140"/>
    <cellStyle name="Ergebnis 1 1 6 2 4" xfId="1725"/>
    <cellStyle name="Ergebnis 1 1 6 2 4 2" xfId="5141"/>
    <cellStyle name="Ergebnis 1 1 6 2 5" xfId="1726"/>
    <cellStyle name="Ergebnis 1 1 6 2 5 2" xfId="5142"/>
    <cellStyle name="Ergebnis 1 1 6 2 6" xfId="1727"/>
    <cellStyle name="Ergebnis 1 1 6 2 6 2" xfId="5143"/>
    <cellStyle name="Ergebnis 1 1 6 2 7" xfId="5138"/>
    <cellStyle name="Ergebnis 1 1 6 2_Grünland" xfId="3211"/>
    <cellStyle name="Ergebnis 1 1 6 3" xfId="1728"/>
    <cellStyle name="Ergebnis 1 1 6 3 2" xfId="1729"/>
    <cellStyle name="Ergebnis 1 1 6 3 2 2" xfId="5145"/>
    <cellStyle name="Ergebnis 1 1 6 3 3" xfId="1730"/>
    <cellStyle name="Ergebnis 1 1 6 3 3 2" xfId="5146"/>
    <cellStyle name="Ergebnis 1 1 6 3 4" xfId="1731"/>
    <cellStyle name="Ergebnis 1 1 6 3 4 2" xfId="5147"/>
    <cellStyle name="Ergebnis 1 1 6 3 5" xfId="1732"/>
    <cellStyle name="Ergebnis 1 1 6 3 5 2" xfId="5148"/>
    <cellStyle name="Ergebnis 1 1 6 3 6" xfId="1733"/>
    <cellStyle name="Ergebnis 1 1 6 3 6 2" xfId="5149"/>
    <cellStyle name="Ergebnis 1 1 6 3 7" xfId="5144"/>
    <cellStyle name="Ergebnis 1 1 6 3_Grünland" xfId="3212"/>
    <cellStyle name="Ergebnis 1 1 6 4" xfId="1734"/>
    <cellStyle name="Ergebnis 1 1 6 4 2" xfId="5150"/>
    <cellStyle name="Ergebnis 1 1 6 5" xfId="1735"/>
    <cellStyle name="Ergebnis 1 1 6 5 2" xfId="5151"/>
    <cellStyle name="Ergebnis 1 1 6 6" xfId="1736"/>
    <cellStyle name="Ergebnis 1 1 6 6 2" xfId="5152"/>
    <cellStyle name="Ergebnis 1 1 6 7" xfId="1737"/>
    <cellStyle name="Ergebnis 1 1 6 7 2" xfId="5153"/>
    <cellStyle name="Ergebnis 1 1 6 8" xfId="1738"/>
    <cellStyle name="Ergebnis 1 1 6 8 2" xfId="5154"/>
    <cellStyle name="Ergebnis 1 1 6 9" xfId="5137"/>
    <cellStyle name="Ergebnis 1 1 6_Grünland" xfId="3210"/>
    <cellStyle name="Ergebnis 1 1 7" xfId="1739"/>
    <cellStyle name="Ergebnis 1 1 7 2" xfId="1740"/>
    <cellStyle name="Ergebnis 1 1 7 2 2" xfId="5156"/>
    <cellStyle name="Ergebnis 1 1 7 3" xfId="1741"/>
    <cellStyle name="Ergebnis 1 1 7 3 2" xfId="5157"/>
    <cellStyle name="Ergebnis 1 1 7 4" xfId="1742"/>
    <cellStyle name="Ergebnis 1 1 7 4 2" xfId="5158"/>
    <cellStyle name="Ergebnis 1 1 7 5" xfId="1743"/>
    <cellStyle name="Ergebnis 1 1 7 5 2" xfId="5159"/>
    <cellStyle name="Ergebnis 1 1 7 6" xfId="1744"/>
    <cellStyle name="Ergebnis 1 1 7 6 2" xfId="5160"/>
    <cellStyle name="Ergebnis 1 1 7 7" xfId="5155"/>
    <cellStyle name="Ergebnis 1 1 7_Grünland" xfId="3213"/>
    <cellStyle name="Ergebnis 1 1 8" xfId="1745"/>
    <cellStyle name="Ergebnis 1 1 8 2" xfId="1746"/>
    <cellStyle name="Ergebnis 1 1 8 2 2" xfId="5162"/>
    <cellStyle name="Ergebnis 1 1 8 3" xfId="1747"/>
    <cellStyle name="Ergebnis 1 1 8 3 2" xfId="5163"/>
    <cellStyle name="Ergebnis 1 1 8 4" xfId="1748"/>
    <cellStyle name="Ergebnis 1 1 8 4 2" xfId="5164"/>
    <cellStyle name="Ergebnis 1 1 8 5" xfId="1749"/>
    <cellStyle name="Ergebnis 1 1 8 5 2" xfId="5165"/>
    <cellStyle name="Ergebnis 1 1 8 6" xfId="1750"/>
    <cellStyle name="Ergebnis 1 1 8 6 2" xfId="5166"/>
    <cellStyle name="Ergebnis 1 1 8 7" xfId="5161"/>
    <cellStyle name="Ergebnis 1 1 8_Grünland" xfId="3214"/>
    <cellStyle name="Ergebnis 1 1 9" xfId="1751"/>
    <cellStyle name="Ergebnis 1 1 9 2" xfId="5167"/>
    <cellStyle name="Ergebnis 1 1_Grünland" xfId="3135"/>
    <cellStyle name="Ergebnis 1 10" xfId="1752"/>
    <cellStyle name="Ergebnis 1 10 2" xfId="5168"/>
    <cellStyle name="Ergebnis 1 11" xfId="4731"/>
    <cellStyle name="Ergebnis 1 2" xfId="1753"/>
    <cellStyle name="Ergebnis 1 2 10" xfId="5169"/>
    <cellStyle name="Ergebnis 1 2 2" xfId="1754"/>
    <cellStyle name="Ergebnis 1 2 2 2" xfId="1755"/>
    <cellStyle name="Ergebnis 1 2 2 2 2" xfId="1756"/>
    <cellStyle name="Ergebnis 1 2 2 2 2 2" xfId="1757"/>
    <cellStyle name="Ergebnis 1 2 2 2 2 2 2" xfId="1758"/>
    <cellStyle name="Ergebnis 1 2 2 2 2 2 2 2" xfId="5174"/>
    <cellStyle name="Ergebnis 1 2 2 2 2 2 3" xfId="1759"/>
    <cellStyle name="Ergebnis 1 2 2 2 2 2 3 2" xfId="5175"/>
    <cellStyle name="Ergebnis 1 2 2 2 2 2 4" xfId="1760"/>
    <cellStyle name="Ergebnis 1 2 2 2 2 2 4 2" xfId="5176"/>
    <cellStyle name="Ergebnis 1 2 2 2 2 2 5" xfId="1761"/>
    <cellStyle name="Ergebnis 1 2 2 2 2 2 5 2" xfId="5177"/>
    <cellStyle name="Ergebnis 1 2 2 2 2 2 6" xfId="1762"/>
    <cellStyle name="Ergebnis 1 2 2 2 2 2 6 2" xfId="5178"/>
    <cellStyle name="Ergebnis 1 2 2 2 2 2 7" xfId="5173"/>
    <cellStyle name="Ergebnis 1 2 2 2 2 2_Grünland" xfId="3219"/>
    <cellStyle name="Ergebnis 1 2 2 2 2 3" xfId="1763"/>
    <cellStyle name="Ergebnis 1 2 2 2 2 3 2" xfId="1764"/>
    <cellStyle name="Ergebnis 1 2 2 2 2 3 2 2" xfId="5180"/>
    <cellStyle name="Ergebnis 1 2 2 2 2 3 3" xfId="1765"/>
    <cellStyle name="Ergebnis 1 2 2 2 2 3 3 2" xfId="5181"/>
    <cellStyle name="Ergebnis 1 2 2 2 2 3 4" xfId="1766"/>
    <cellStyle name="Ergebnis 1 2 2 2 2 3 4 2" xfId="5182"/>
    <cellStyle name="Ergebnis 1 2 2 2 2 3 5" xfId="1767"/>
    <cellStyle name="Ergebnis 1 2 2 2 2 3 5 2" xfId="5183"/>
    <cellStyle name="Ergebnis 1 2 2 2 2 3 6" xfId="1768"/>
    <cellStyle name="Ergebnis 1 2 2 2 2 3 6 2" xfId="5184"/>
    <cellStyle name="Ergebnis 1 2 2 2 2 3 7" xfId="5179"/>
    <cellStyle name="Ergebnis 1 2 2 2 2 3_Grünland" xfId="3220"/>
    <cellStyle name="Ergebnis 1 2 2 2 2 4" xfId="1769"/>
    <cellStyle name="Ergebnis 1 2 2 2 2 4 2" xfId="5185"/>
    <cellStyle name="Ergebnis 1 2 2 2 2 5" xfId="1770"/>
    <cellStyle name="Ergebnis 1 2 2 2 2 5 2" xfId="5186"/>
    <cellStyle name="Ergebnis 1 2 2 2 2 6" xfId="1771"/>
    <cellStyle name="Ergebnis 1 2 2 2 2 6 2" xfId="5187"/>
    <cellStyle name="Ergebnis 1 2 2 2 2 7" xfId="1772"/>
    <cellStyle name="Ergebnis 1 2 2 2 2 7 2" xfId="5188"/>
    <cellStyle name="Ergebnis 1 2 2 2 2 8" xfId="1773"/>
    <cellStyle name="Ergebnis 1 2 2 2 2 8 2" xfId="5189"/>
    <cellStyle name="Ergebnis 1 2 2 2 2 9" xfId="5172"/>
    <cellStyle name="Ergebnis 1 2 2 2 2_Grünland" xfId="3218"/>
    <cellStyle name="Ergebnis 1 2 2 2 3" xfId="1774"/>
    <cellStyle name="Ergebnis 1 2 2 2 3 2" xfId="1775"/>
    <cellStyle name="Ergebnis 1 2 2 2 3 2 2" xfId="5191"/>
    <cellStyle name="Ergebnis 1 2 2 2 3 3" xfId="1776"/>
    <cellStyle name="Ergebnis 1 2 2 2 3 3 2" xfId="5192"/>
    <cellStyle name="Ergebnis 1 2 2 2 3 4" xfId="1777"/>
    <cellStyle name="Ergebnis 1 2 2 2 3 4 2" xfId="5193"/>
    <cellStyle name="Ergebnis 1 2 2 2 3 5" xfId="1778"/>
    <cellStyle name="Ergebnis 1 2 2 2 3 5 2" xfId="5194"/>
    <cellStyle name="Ergebnis 1 2 2 2 3 6" xfId="1779"/>
    <cellStyle name="Ergebnis 1 2 2 2 3 6 2" xfId="5195"/>
    <cellStyle name="Ergebnis 1 2 2 2 3 7" xfId="5190"/>
    <cellStyle name="Ergebnis 1 2 2 2 3_Grünland" xfId="3221"/>
    <cellStyle name="Ergebnis 1 2 2 2 4" xfId="1780"/>
    <cellStyle name="Ergebnis 1 2 2 2 4 2" xfId="1781"/>
    <cellStyle name="Ergebnis 1 2 2 2 4 2 2" xfId="5197"/>
    <cellStyle name="Ergebnis 1 2 2 2 4 3" xfId="1782"/>
    <cellStyle name="Ergebnis 1 2 2 2 4 3 2" xfId="5198"/>
    <cellStyle name="Ergebnis 1 2 2 2 4 4" xfId="1783"/>
    <cellStyle name="Ergebnis 1 2 2 2 4 4 2" xfId="5199"/>
    <cellStyle name="Ergebnis 1 2 2 2 4 5" xfId="1784"/>
    <cellStyle name="Ergebnis 1 2 2 2 4 5 2" xfId="5200"/>
    <cellStyle name="Ergebnis 1 2 2 2 4 6" xfId="1785"/>
    <cellStyle name="Ergebnis 1 2 2 2 4 6 2" xfId="5201"/>
    <cellStyle name="Ergebnis 1 2 2 2 4 7" xfId="5196"/>
    <cellStyle name="Ergebnis 1 2 2 2 4_Grünland" xfId="3222"/>
    <cellStyle name="Ergebnis 1 2 2 2 5" xfId="1786"/>
    <cellStyle name="Ergebnis 1 2 2 2 5 2" xfId="1787"/>
    <cellStyle name="Ergebnis 1 2 2 2 5 2 2" xfId="5203"/>
    <cellStyle name="Ergebnis 1 2 2 2 5 3" xfId="1788"/>
    <cellStyle name="Ergebnis 1 2 2 2 5 3 2" xfId="5204"/>
    <cellStyle name="Ergebnis 1 2 2 2 5 4" xfId="1789"/>
    <cellStyle name="Ergebnis 1 2 2 2 5 4 2" xfId="5205"/>
    <cellStyle name="Ergebnis 1 2 2 2 5 5" xfId="1790"/>
    <cellStyle name="Ergebnis 1 2 2 2 5 5 2" xfId="5206"/>
    <cellStyle name="Ergebnis 1 2 2 2 5 6" xfId="5202"/>
    <cellStyle name="Ergebnis 1 2 2 2 5_Grünland" xfId="3223"/>
    <cellStyle name="Ergebnis 1 2 2 2 6" xfId="1791"/>
    <cellStyle name="Ergebnis 1 2 2 2 6 2" xfId="5207"/>
    <cellStyle name="Ergebnis 1 2 2 2 7" xfId="1792"/>
    <cellStyle name="Ergebnis 1 2 2 2 7 2" xfId="5208"/>
    <cellStyle name="Ergebnis 1 2 2 2 8" xfId="5171"/>
    <cellStyle name="Ergebnis 1 2 2 2_Grünland" xfId="3217"/>
    <cellStyle name="Ergebnis 1 2 2 3" xfId="1793"/>
    <cellStyle name="Ergebnis 1 2 2 3 2" xfId="1794"/>
    <cellStyle name="Ergebnis 1 2 2 3 2 2" xfId="1795"/>
    <cellStyle name="Ergebnis 1 2 2 3 2 2 2" xfId="1796"/>
    <cellStyle name="Ergebnis 1 2 2 3 2 2 2 2" xfId="5212"/>
    <cellStyle name="Ergebnis 1 2 2 3 2 2 3" xfId="1797"/>
    <cellStyle name="Ergebnis 1 2 2 3 2 2 3 2" xfId="5213"/>
    <cellStyle name="Ergebnis 1 2 2 3 2 2 4" xfId="1798"/>
    <cellStyle name="Ergebnis 1 2 2 3 2 2 4 2" xfId="5214"/>
    <cellStyle name="Ergebnis 1 2 2 3 2 2 5" xfId="1799"/>
    <cellStyle name="Ergebnis 1 2 2 3 2 2 5 2" xfId="5215"/>
    <cellStyle name="Ergebnis 1 2 2 3 2 2 6" xfId="1800"/>
    <cellStyle name="Ergebnis 1 2 2 3 2 2 6 2" xfId="5216"/>
    <cellStyle name="Ergebnis 1 2 2 3 2 2 7" xfId="5211"/>
    <cellStyle name="Ergebnis 1 2 2 3 2 2_Grünland" xfId="3226"/>
    <cellStyle name="Ergebnis 1 2 2 3 2 3" xfId="1801"/>
    <cellStyle name="Ergebnis 1 2 2 3 2 3 2" xfId="1802"/>
    <cellStyle name="Ergebnis 1 2 2 3 2 3 2 2" xfId="5218"/>
    <cellStyle name="Ergebnis 1 2 2 3 2 3 3" xfId="1803"/>
    <cellStyle name="Ergebnis 1 2 2 3 2 3 3 2" xfId="5219"/>
    <cellStyle name="Ergebnis 1 2 2 3 2 3 4" xfId="1804"/>
    <cellStyle name="Ergebnis 1 2 2 3 2 3 4 2" xfId="5220"/>
    <cellStyle name="Ergebnis 1 2 2 3 2 3 5" xfId="1805"/>
    <cellStyle name="Ergebnis 1 2 2 3 2 3 5 2" xfId="5221"/>
    <cellStyle name="Ergebnis 1 2 2 3 2 3 6" xfId="1806"/>
    <cellStyle name="Ergebnis 1 2 2 3 2 3 6 2" xfId="5222"/>
    <cellStyle name="Ergebnis 1 2 2 3 2 3 7" xfId="5217"/>
    <cellStyle name="Ergebnis 1 2 2 3 2 3_Grünland" xfId="3227"/>
    <cellStyle name="Ergebnis 1 2 2 3 2 4" xfId="1807"/>
    <cellStyle name="Ergebnis 1 2 2 3 2 4 2" xfId="5223"/>
    <cellStyle name="Ergebnis 1 2 2 3 2 5" xfId="1808"/>
    <cellStyle name="Ergebnis 1 2 2 3 2 5 2" xfId="5224"/>
    <cellStyle name="Ergebnis 1 2 2 3 2 6" xfId="1809"/>
    <cellStyle name="Ergebnis 1 2 2 3 2 6 2" xfId="5225"/>
    <cellStyle name="Ergebnis 1 2 2 3 2 7" xfId="1810"/>
    <cellStyle name="Ergebnis 1 2 2 3 2 7 2" xfId="5226"/>
    <cellStyle name="Ergebnis 1 2 2 3 2 8" xfId="1811"/>
    <cellStyle name="Ergebnis 1 2 2 3 2 8 2" xfId="5227"/>
    <cellStyle name="Ergebnis 1 2 2 3 2 9" xfId="5210"/>
    <cellStyle name="Ergebnis 1 2 2 3 2_Grünland" xfId="3225"/>
    <cellStyle name="Ergebnis 1 2 2 3 3" xfId="1812"/>
    <cellStyle name="Ergebnis 1 2 2 3 3 2" xfId="1813"/>
    <cellStyle name="Ergebnis 1 2 2 3 3 2 2" xfId="5229"/>
    <cellStyle name="Ergebnis 1 2 2 3 3 3" xfId="1814"/>
    <cellStyle name="Ergebnis 1 2 2 3 3 3 2" xfId="5230"/>
    <cellStyle name="Ergebnis 1 2 2 3 3 4" xfId="1815"/>
    <cellStyle name="Ergebnis 1 2 2 3 3 4 2" xfId="5231"/>
    <cellStyle name="Ergebnis 1 2 2 3 3 5" xfId="1816"/>
    <cellStyle name="Ergebnis 1 2 2 3 3 5 2" xfId="5232"/>
    <cellStyle name="Ergebnis 1 2 2 3 3 6" xfId="1817"/>
    <cellStyle name="Ergebnis 1 2 2 3 3 6 2" xfId="5233"/>
    <cellStyle name="Ergebnis 1 2 2 3 3 7" xfId="5228"/>
    <cellStyle name="Ergebnis 1 2 2 3 3_Grünland" xfId="3228"/>
    <cellStyle name="Ergebnis 1 2 2 3 4" xfId="1818"/>
    <cellStyle name="Ergebnis 1 2 2 3 4 2" xfId="1819"/>
    <cellStyle name="Ergebnis 1 2 2 3 4 2 2" xfId="5235"/>
    <cellStyle name="Ergebnis 1 2 2 3 4 3" xfId="1820"/>
    <cellStyle name="Ergebnis 1 2 2 3 4 3 2" xfId="5236"/>
    <cellStyle name="Ergebnis 1 2 2 3 4 4" xfId="1821"/>
    <cellStyle name="Ergebnis 1 2 2 3 4 4 2" xfId="5237"/>
    <cellStyle name="Ergebnis 1 2 2 3 4 5" xfId="1822"/>
    <cellStyle name="Ergebnis 1 2 2 3 4 5 2" xfId="5238"/>
    <cellStyle name="Ergebnis 1 2 2 3 4 6" xfId="1823"/>
    <cellStyle name="Ergebnis 1 2 2 3 4 6 2" xfId="5239"/>
    <cellStyle name="Ergebnis 1 2 2 3 4 7" xfId="5234"/>
    <cellStyle name="Ergebnis 1 2 2 3 4_Grünland" xfId="3229"/>
    <cellStyle name="Ergebnis 1 2 2 3 5" xfId="1824"/>
    <cellStyle name="Ergebnis 1 2 2 3 5 2" xfId="1825"/>
    <cellStyle name="Ergebnis 1 2 2 3 5 2 2" xfId="5241"/>
    <cellStyle name="Ergebnis 1 2 2 3 5 3" xfId="1826"/>
    <cellStyle name="Ergebnis 1 2 2 3 5 3 2" xfId="5242"/>
    <cellStyle name="Ergebnis 1 2 2 3 5 4" xfId="1827"/>
    <cellStyle name="Ergebnis 1 2 2 3 5 4 2" xfId="5243"/>
    <cellStyle name="Ergebnis 1 2 2 3 5 5" xfId="1828"/>
    <cellStyle name="Ergebnis 1 2 2 3 5 5 2" xfId="5244"/>
    <cellStyle name="Ergebnis 1 2 2 3 5 6" xfId="5240"/>
    <cellStyle name="Ergebnis 1 2 2 3 5_Grünland" xfId="3230"/>
    <cellStyle name="Ergebnis 1 2 2 3 6" xfId="1829"/>
    <cellStyle name="Ergebnis 1 2 2 3 6 2" xfId="5245"/>
    <cellStyle name="Ergebnis 1 2 2 3 7" xfId="1830"/>
    <cellStyle name="Ergebnis 1 2 2 3 7 2" xfId="5246"/>
    <cellStyle name="Ergebnis 1 2 2 3 8" xfId="5209"/>
    <cellStyle name="Ergebnis 1 2 2 3_Grünland" xfId="3224"/>
    <cellStyle name="Ergebnis 1 2 2 4" xfId="1831"/>
    <cellStyle name="Ergebnis 1 2 2 4 2" xfId="1832"/>
    <cellStyle name="Ergebnis 1 2 2 4 2 2" xfId="1833"/>
    <cellStyle name="Ergebnis 1 2 2 4 2 2 2" xfId="5249"/>
    <cellStyle name="Ergebnis 1 2 2 4 2 3" xfId="1834"/>
    <cellStyle name="Ergebnis 1 2 2 4 2 3 2" xfId="5250"/>
    <cellStyle name="Ergebnis 1 2 2 4 2 4" xfId="1835"/>
    <cellStyle name="Ergebnis 1 2 2 4 2 4 2" xfId="5251"/>
    <cellStyle name="Ergebnis 1 2 2 4 2 5" xfId="1836"/>
    <cellStyle name="Ergebnis 1 2 2 4 2 5 2" xfId="5252"/>
    <cellStyle name="Ergebnis 1 2 2 4 2 6" xfId="1837"/>
    <cellStyle name="Ergebnis 1 2 2 4 2 6 2" xfId="5253"/>
    <cellStyle name="Ergebnis 1 2 2 4 2 7" xfId="5248"/>
    <cellStyle name="Ergebnis 1 2 2 4 2_Grünland" xfId="3232"/>
    <cellStyle name="Ergebnis 1 2 2 4 3" xfId="1838"/>
    <cellStyle name="Ergebnis 1 2 2 4 3 2" xfId="1839"/>
    <cellStyle name="Ergebnis 1 2 2 4 3 2 2" xfId="5255"/>
    <cellStyle name="Ergebnis 1 2 2 4 3 3" xfId="1840"/>
    <cellStyle name="Ergebnis 1 2 2 4 3 3 2" xfId="5256"/>
    <cellStyle name="Ergebnis 1 2 2 4 3 4" xfId="1841"/>
    <cellStyle name="Ergebnis 1 2 2 4 3 4 2" xfId="5257"/>
    <cellStyle name="Ergebnis 1 2 2 4 3 5" xfId="1842"/>
    <cellStyle name="Ergebnis 1 2 2 4 3 5 2" xfId="5258"/>
    <cellStyle name="Ergebnis 1 2 2 4 3 6" xfId="1843"/>
    <cellStyle name="Ergebnis 1 2 2 4 3 6 2" xfId="5259"/>
    <cellStyle name="Ergebnis 1 2 2 4 3 7" xfId="5254"/>
    <cellStyle name="Ergebnis 1 2 2 4 3_Grünland" xfId="3233"/>
    <cellStyle name="Ergebnis 1 2 2 4 4" xfId="1844"/>
    <cellStyle name="Ergebnis 1 2 2 4 4 2" xfId="5260"/>
    <cellStyle name="Ergebnis 1 2 2 4 5" xfId="1845"/>
    <cellStyle name="Ergebnis 1 2 2 4 5 2" xfId="5261"/>
    <cellStyle name="Ergebnis 1 2 2 4 6" xfId="1846"/>
    <cellStyle name="Ergebnis 1 2 2 4 6 2" xfId="5262"/>
    <cellStyle name="Ergebnis 1 2 2 4 7" xfId="1847"/>
    <cellStyle name="Ergebnis 1 2 2 4 7 2" xfId="5263"/>
    <cellStyle name="Ergebnis 1 2 2 4 8" xfId="1848"/>
    <cellStyle name="Ergebnis 1 2 2 4 8 2" xfId="5264"/>
    <cellStyle name="Ergebnis 1 2 2 4 9" xfId="5247"/>
    <cellStyle name="Ergebnis 1 2 2 4_Grünland" xfId="3231"/>
    <cellStyle name="Ergebnis 1 2 2 5" xfId="1849"/>
    <cellStyle name="Ergebnis 1 2 2 5 2" xfId="1850"/>
    <cellStyle name="Ergebnis 1 2 2 5 2 2" xfId="5266"/>
    <cellStyle name="Ergebnis 1 2 2 5 3" xfId="1851"/>
    <cellStyle name="Ergebnis 1 2 2 5 3 2" xfId="5267"/>
    <cellStyle name="Ergebnis 1 2 2 5 4" xfId="1852"/>
    <cellStyle name="Ergebnis 1 2 2 5 4 2" xfId="5268"/>
    <cellStyle name="Ergebnis 1 2 2 5 5" xfId="1853"/>
    <cellStyle name="Ergebnis 1 2 2 5 5 2" xfId="5269"/>
    <cellStyle name="Ergebnis 1 2 2 5 6" xfId="1854"/>
    <cellStyle name="Ergebnis 1 2 2 5 6 2" xfId="5270"/>
    <cellStyle name="Ergebnis 1 2 2 5 7" xfId="5265"/>
    <cellStyle name="Ergebnis 1 2 2 5_Grünland" xfId="3234"/>
    <cellStyle name="Ergebnis 1 2 2 6" xfId="1855"/>
    <cellStyle name="Ergebnis 1 2 2 6 2" xfId="1856"/>
    <cellStyle name="Ergebnis 1 2 2 6 2 2" xfId="5272"/>
    <cellStyle name="Ergebnis 1 2 2 6 3" xfId="1857"/>
    <cellStyle name="Ergebnis 1 2 2 6 3 2" xfId="5273"/>
    <cellStyle name="Ergebnis 1 2 2 6 4" xfId="1858"/>
    <cellStyle name="Ergebnis 1 2 2 6 4 2" xfId="5274"/>
    <cellStyle name="Ergebnis 1 2 2 6 5" xfId="1859"/>
    <cellStyle name="Ergebnis 1 2 2 6 5 2" xfId="5275"/>
    <cellStyle name="Ergebnis 1 2 2 6 6" xfId="1860"/>
    <cellStyle name="Ergebnis 1 2 2 6 6 2" xfId="5276"/>
    <cellStyle name="Ergebnis 1 2 2 6 7" xfId="5271"/>
    <cellStyle name="Ergebnis 1 2 2 6_Grünland" xfId="3235"/>
    <cellStyle name="Ergebnis 1 2 2 7" xfId="1861"/>
    <cellStyle name="Ergebnis 1 2 2 7 2" xfId="5277"/>
    <cellStyle name="Ergebnis 1 2 2 8" xfId="1862"/>
    <cellStyle name="Ergebnis 1 2 2 8 2" xfId="5278"/>
    <cellStyle name="Ergebnis 1 2 2 9" xfId="5170"/>
    <cellStyle name="Ergebnis 1 2 2_Grünland" xfId="3216"/>
    <cellStyle name="Ergebnis 1 2 3" xfId="1863"/>
    <cellStyle name="Ergebnis 1 2 3 2" xfId="1864"/>
    <cellStyle name="Ergebnis 1 2 3 2 2" xfId="1865"/>
    <cellStyle name="Ergebnis 1 2 3 2 2 2" xfId="1866"/>
    <cellStyle name="Ergebnis 1 2 3 2 2 2 2" xfId="5282"/>
    <cellStyle name="Ergebnis 1 2 3 2 2 3" xfId="1867"/>
    <cellStyle name="Ergebnis 1 2 3 2 2 3 2" xfId="5283"/>
    <cellStyle name="Ergebnis 1 2 3 2 2 4" xfId="1868"/>
    <cellStyle name="Ergebnis 1 2 3 2 2 4 2" xfId="5284"/>
    <cellStyle name="Ergebnis 1 2 3 2 2 5" xfId="1869"/>
    <cellStyle name="Ergebnis 1 2 3 2 2 5 2" xfId="5285"/>
    <cellStyle name="Ergebnis 1 2 3 2 2 6" xfId="1870"/>
    <cellStyle name="Ergebnis 1 2 3 2 2 6 2" xfId="5286"/>
    <cellStyle name="Ergebnis 1 2 3 2 2 7" xfId="5281"/>
    <cellStyle name="Ergebnis 1 2 3 2 2_Grünland" xfId="3238"/>
    <cellStyle name="Ergebnis 1 2 3 2 3" xfId="1871"/>
    <cellStyle name="Ergebnis 1 2 3 2 3 2" xfId="1872"/>
    <cellStyle name="Ergebnis 1 2 3 2 3 2 2" xfId="5288"/>
    <cellStyle name="Ergebnis 1 2 3 2 3 3" xfId="1873"/>
    <cellStyle name="Ergebnis 1 2 3 2 3 3 2" xfId="5289"/>
    <cellStyle name="Ergebnis 1 2 3 2 3 4" xfId="1874"/>
    <cellStyle name="Ergebnis 1 2 3 2 3 4 2" xfId="5290"/>
    <cellStyle name="Ergebnis 1 2 3 2 3 5" xfId="1875"/>
    <cellStyle name="Ergebnis 1 2 3 2 3 5 2" xfId="5291"/>
    <cellStyle name="Ergebnis 1 2 3 2 3 6" xfId="1876"/>
    <cellStyle name="Ergebnis 1 2 3 2 3 6 2" xfId="5292"/>
    <cellStyle name="Ergebnis 1 2 3 2 3 7" xfId="5287"/>
    <cellStyle name="Ergebnis 1 2 3 2 3_Grünland" xfId="3239"/>
    <cellStyle name="Ergebnis 1 2 3 2 4" xfId="1877"/>
    <cellStyle name="Ergebnis 1 2 3 2 4 2" xfId="5293"/>
    <cellStyle name="Ergebnis 1 2 3 2 5" xfId="1878"/>
    <cellStyle name="Ergebnis 1 2 3 2 5 2" xfId="5294"/>
    <cellStyle name="Ergebnis 1 2 3 2 6" xfId="1879"/>
    <cellStyle name="Ergebnis 1 2 3 2 6 2" xfId="5295"/>
    <cellStyle name="Ergebnis 1 2 3 2 7" xfId="1880"/>
    <cellStyle name="Ergebnis 1 2 3 2 7 2" xfId="5296"/>
    <cellStyle name="Ergebnis 1 2 3 2 8" xfId="1881"/>
    <cellStyle name="Ergebnis 1 2 3 2 8 2" xfId="5297"/>
    <cellStyle name="Ergebnis 1 2 3 2 9" xfId="5280"/>
    <cellStyle name="Ergebnis 1 2 3 2_Grünland" xfId="3237"/>
    <cellStyle name="Ergebnis 1 2 3 3" xfId="1882"/>
    <cellStyle name="Ergebnis 1 2 3 3 2" xfId="1883"/>
    <cellStyle name="Ergebnis 1 2 3 3 2 2" xfId="5299"/>
    <cellStyle name="Ergebnis 1 2 3 3 3" xfId="1884"/>
    <cellStyle name="Ergebnis 1 2 3 3 3 2" xfId="5300"/>
    <cellStyle name="Ergebnis 1 2 3 3 4" xfId="1885"/>
    <cellStyle name="Ergebnis 1 2 3 3 4 2" xfId="5301"/>
    <cellStyle name="Ergebnis 1 2 3 3 5" xfId="1886"/>
    <cellStyle name="Ergebnis 1 2 3 3 5 2" xfId="5302"/>
    <cellStyle name="Ergebnis 1 2 3 3 6" xfId="1887"/>
    <cellStyle name="Ergebnis 1 2 3 3 6 2" xfId="5303"/>
    <cellStyle name="Ergebnis 1 2 3 3 7" xfId="5298"/>
    <cellStyle name="Ergebnis 1 2 3 3_Grünland" xfId="3240"/>
    <cellStyle name="Ergebnis 1 2 3 4" xfId="1888"/>
    <cellStyle name="Ergebnis 1 2 3 4 2" xfId="1889"/>
    <cellStyle name="Ergebnis 1 2 3 4 2 2" xfId="5305"/>
    <cellStyle name="Ergebnis 1 2 3 4 3" xfId="1890"/>
    <cellStyle name="Ergebnis 1 2 3 4 3 2" xfId="5306"/>
    <cellStyle name="Ergebnis 1 2 3 4 4" xfId="1891"/>
    <cellStyle name="Ergebnis 1 2 3 4 4 2" xfId="5307"/>
    <cellStyle name="Ergebnis 1 2 3 4 5" xfId="1892"/>
    <cellStyle name="Ergebnis 1 2 3 4 5 2" xfId="5308"/>
    <cellStyle name="Ergebnis 1 2 3 4 6" xfId="1893"/>
    <cellStyle name="Ergebnis 1 2 3 4 6 2" xfId="5309"/>
    <cellStyle name="Ergebnis 1 2 3 4 7" xfId="5304"/>
    <cellStyle name="Ergebnis 1 2 3 4_Grünland" xfId="3241"/>
    <cellStyle name="Ergebnis 1 2 3 5" xfId="1894"/>
    <cellStyle name="Ergebnis 1 2 3 5 2" xfId="1895"/>
    <cellStyle name="Ergebnis 1 2 3 5 2 2" xfId="5311"/>
    <cellStyle name="Ergebnis 1 2 3 5 3" xfId="1896"/>
    <cellStyle name="Ergebnis 1 2 3 5 3 2" xfId="5312"/>
    <cellStyle name="Ergebnis 1 2 3 5 4" xfId="1897"/>
    <cellStyle name="Ergebnis 1 2 3 5 4 2" xfId="5313"/>
    <cellStyle name="Ergebnis 1 2 3 5 5" xfId="1898"/>
    <cellStyle name="Ergebnis 1 2 3 5 5 2" xfId="5314"/>
    <cellStyle name="Ergebnis 1 2 3 5 6" xfId="5310"/>
    <cellStyle name="Ergebnis 1 2 3 5_Grünland" xfId="3242"/>
    <cellStyle name="Ergebnis 1 2 3 6" xfId="1899"/>
    <cellStyle name="Ergebnis 1 2 3 6 2" xfId="5315"/>
    <cellStyle name="Ergebnis 1 2 3 7" xfId="1900"/>
    <cellStyle name="Ergebnis 1 2 3 7 2" xfId="5316"/>
    <cellStyle name="Ergebnis 1 2 3 8" xfId="5279"/>
    <cellStyle name="Ergebnis 1 2 3_Grünland" xfId="3236"/>
    <cellStyle name="Ergebnis 1 2 4" xfId="1901"/>
    <cellStyle name="Ergebnis 1 2 4 2" xfId="1902"/>
    <cellStyle name="Ergebnis 1 2 4 2 2" xfId="1903"/>
    <cellStyle name="Ergebnis 1 2 4 2 2 2" xfId="1904"/>
    <cellStyle name="Ergebnis 1 2 4 2 2 2 2" xfId="5320"/>
    <cellStyle name="Ergebnis 1 2 4 2 2 3" xfId="1905"/>
    <cellStyle name="Ergebnis 1 2 4 2 2 3 2" xfId="5321"/>
    <cellStyle name="Ergebnis 1 2 4 2 2 4" xfId="1906"/>
    <cellStyle name="Ergebnis 1 2 4 2 2 4 2" xfId="5322"/>
    <cellStyle name="Ergebnis 1 2 4 2 2 5" xfId="1907"/>
    <cellStyle name="Ergebnis 1 2 4 2 2 5 2" xfId="5323"/>
    <cellStyle name="Ergebnis 1 2 4 2 2 6" xfId="1908"/>
    <cellStyle name="Ergebnis 1 2 4 2 2 6 2" xfId="5324"/>
    <cellStyle name="Ergebnis 1 2 4 2 2 7" xfId="5319"/>
    <cellStyle name="Ergebnis 1 2 4 2 2_Grünland" xfId="3245"/>
    <cellStyle name="Ergebnis 1 2 4 2 3" xfId="1909"/>
    <cellStyle name="Ergebnis 1 2 4 2 3 2" xfId="1910"/>
    <cellStyle name="Ergebnis 1 2 4 2 3 2 2" xfId="5326"/>
    <cellStyle name="Ergebnis 1 2 4 2 3 3" xfId="1911"/>
    <cellStyle name="Ergebnis 1 2 4 2 3 3 2" xfId="5327"/>
    <cellStyle name="Ergebnis 1 2 4 2 3 4" xfId="1912"/>
    <cellStyle name="Ergebnis 1 2 4 2 3 4 2" xfId="5328"/>
    <cellStyle name="Ergebnis 1 2 4 2 3 5" xfId="1913"/>
    <cellStyle name="Ergebnis 1 2 4 2 3 5 2" xfId="5329"/>
    <cellStyle name="Ergebnis 1 2 4 2 3 6" xfId="1914"/>
    <cellStyle name="Ergebnis 1 2 4 2 3 6 2" xfId="5330"/>
    <cellStyle name="Ergebnis 1 2 4 2 3 7" xfId="5325"/>
    <cellStyle name="Ergebnis 1 2 4 2 3_Grünland" xfId="3246"/>
    <cellStyle name="Ergebnis 1 2 4 2 4" xfId="1915"/>
    <cellStyle name="Ergebnis 1 2 4 2 4 2" xfId="5331"/>
    <cellStyle name="Ergebnis 1 2 4 2 5" xfId="1916"/>
    <cellStyle name="Ergebnis 1 2 4 2 5 2" xfId="5332"/>
    <cellStyle name="Ergebnis 1 2 4 2 6" xfId="1917"/>
    <cellStyle name="Ergebnis 1 2 4 2 6 2" xfId="5333"/>
    <cellStyle name="Ergebnis 1 2 4 2 7" xfId="1918"/>
    <cellStyle name="Ergebnis 1 2 4 2 7 2" xfId="5334"/>
    <cellStyle name="Ergebnis 1 2 4 2 8" xfId="1919"/>
    <cellStyle name="Ergebnis 1 2 4 2 8 2" xfId="5335"/>
    <cellStyle name="Ergebnis 1 2 4 2 9" xfId="5318"/>
    <cellStyle name="Ergebnis 1 2 4 2_Grünland" xfId="3244"/>
    <cellStyle name="Ergebnis 1 2 4 3" xfId="1920"/>
    <cellStyle name="Ergebnis 1 2 4 3 2" xfId="1921"/>
    <cellStyle name="Ergebnis 1 2 4 3 2 2" xfId="5337"/>
    <cellStyle name="Ergebnis 1 2 4 3 3" xfId="1922"/>
    <cellStyle name="Ergebnis 1 2 4 3 3 2" xfId="5338"/>
    <cellStyle name="Ergebnis 1 2 4 3 4" xfId="1923"/>
    <cellStyle name="Ergebnis 1 2 4 3 4 2" xfId="5339"/>
    <cellStyle name="Ergebnis 1 2 4 3 5" xfId="1924"/>
    <cellStyle name="Ergebnis 1 2 4 3 5 2" xfId="5340"/>
    <cellStyle name="Ergebnis 1 2 4 3 6" xfId="1925"/>
    <cellStyle name="Ergebnis 1 2 4 3 6 2" xfId="5341"/>
    <cellStyle name="Ergebnis 1 2 4 3 7" xfId="5336"/>
    <cellStyle name="Ergebnis 1 2 4 3_Grünland" xfId="3247"/>
    <cellStyle name="Ergebnis 1 2 4 4" xfId="1926"/>
    <cellStyle name="Ergebnis 1 2 4 4 2" xfId="1927"/>
    <cellStyle name="Ergebnis 1 2 4 4 2 2" xfId="5343"/>
    <cellStyle name="Ergebnis 1 2 4 4 3" xfId="1928"/>
    <cellStyle name="Ergebnis 1 2 4 4 3 2" xfId="5344"/>
    <cellStyle name="Ergebnis 1 2 4 4 4" xfId="1929"/>
    <cellStyle name="Ergebnis 1 2 4 4 4 2" xfId="5345"/>
    <cellStyle name="Ergebnis 1 2 4 4 5" xfId="1930"/>
    <cellStyle name="Ergebnis 1 2 4 4 5 2" xfId="5346"/>
    <cellStyle name="Ergebnis 1 2 4 4 6" xfId="1931"/>
    <cellStyle name="Ergebnis 1 2 4 4 6 2" xfId="5347"/>
    <cellStyle name="Ergebnis 1 2 4 4 7" xfId="5342"/>
    <cellStyle name="Ergebnis 1 2 4 4_Grünland" xfId="3248"/>
    <cellStyle name="Ergebnis 1 2 4 5" xfId="1932"/>
    <cellStyle name="Ergebnis 1 2 4 5 2" xfId="1933"/>
    <cellStyle name="Ergebnis 1 2 4 5 2 2" xfId="5349"/>
    <cellStyle name="Ergebnis 1 2 4 5 3" xfId="1934"/>
    <cellStyle name="Ergebnis 1 2 4 5 3 2" xfId="5350"/>
    <cellStyle name="Ergebnis 1 2 4 5 4" xfId="1935"/>
    <cellStyle name="Ergebnis 1 2 4 5 4 2" xfId="5351"/>
    <cellStyle name="Ergebnis 1 2 4 5 5" xfId="1936"/>
    <cellStyle name="Ergebnis 1 2 4 5 5 2" xfId="5352"/>
    <cellStyle name="Ergebnis 1 2 4 5 6" xfId="5348"/>
    <cellStyle name="Ergebnis 1 2 4 5_Grünland" xfId="3249"/>
    <cellStyle name="Ergebnis 1 2 4 6" xfId="1937"/>
    <cellStyle name="Ergebnis 1 2 4 6 2" xfId="5353"/>
    <cellStyle name="Ergebnis 1 2 4 7" xfId="1938"/>
    <cellStyle name="Ergebnis 1 2 4 7 2" xfId="5354"/>
    <cellStyle name="Ergebnis 1 2 4 8" xfId="5317"/>
    <cellStyle name="Ergebnis 1 2 4_Grünland" xfId="3243"/>
    <cellStyle name="Ergebnis 1 2 5" xfId="1939"/>
    <cellStyle name="Ergebnis 1 2 5 2" xfId="1940"/>
    <cellStyle name="Ergebnis 1 2 5 2 2" xfId="1941"/>
    <cellStyle name="Ergebnis 1 2 5 2 2 2" xfId="5357"/>
    <cellStyle name="Ergebnis 1 2 5 2 3" xfId="1942"/>
    <cellStyle name="Ergebnis 1 2 5 2 3 2" xfId="5358"/>
    <cellStyle name="Ergebnis 1 2 5 2 4" xfId="1943"/>
    <cellStyle name="Ergebnis 1 2 5 2 4 2" xfId="5359"/>
    <cellStyle name="Ergebnis 1 2 5 2 5" xfId="1944"/>
    <cellStyle name="Ergebnis 1 2 5 2 5 2" xfId="5360"/>
    <cellStyle name="Ergebnis 1 2 5 2 6" xfId="1945"/>
    <cellStyle name="Ergebnis 1 2 5 2 6 2" xfId="5361"/>
    <cellStyle name="Ergebnis 1 2 5 2 7" xfId="5356"/>
    <cellStyle name="Ergebnis 1 2 5 2_Grünland" xfId="3251"/>
    <cellStyle name="Ergebnis 1 2 5 3" xfId="1946"/>
    <cellStyle name="Ergebnis 1 2 5 3 2" xfId="1947"/>
    <cellStyle name="Ergebnis 1 2 5 3 2 2" xfId="5363"/>
    <cellStyle name="Ergebnis 1 2 5 3 3" xfId="1948"/>
    <cellStyle name="Ergebnis 1 2 5 3 3 2" xfId="5364"/>
    <cellStyle name="Ergebnis 1 2 5 3 4" xfId="1949"/>
    <cellStyle name="Ergebnis 1 2 5 3 4 2" xfId="5365"/>
    <cellStyle name="Ergebnis 1 2 5 3 5" xfId="1950"/>
    <cellStyle name="Ergebnis 1 2 5 3 5 2" xfId="5366"/>
    <cellStyle name="Ergebnis 1 2 5 3 6" xfId="1951"/>
    <cellStyle name="Ergebnis 1 2 5 3 6 2" xfId="5367"/>
    <cellStyle name="Ergebnis 1 2 5 3 7" xfId="5362"/>
    <cellStyle name="Ergebnis 1 2 5 3_Grünland" xfId="3252"/>
    <cellStyle name="Ergebnis 1 2 5 4" xfId="1952"/>
    <cellStyle name="Ergebnis 1 2 5 4 2" xfId="5368"/>
    <cellStyle name="Ergebnis 1 2 5 5" xfId="1953"/>
    <cellStyle name="Ergebnis 1 2 5 5 2" xfId="5369"/>
    <cellStyle name="Ergebnis 1 2 5 6" xfId="1954"/>
    <cellStyle name="Ergebnis 1 2 5 6 2" xfId="5370"/>
    <cellStyle name="Ergebnis 1 2 5 7" xfId="1955"/>
    <cellStyle name="Ergebnis 1 2 5 7 2" xfId="5371"/>
    <cellStyle name="Ergebnis 1 2 5 8" xfId="1956"/>
    <cellStyle name="Ergebnis 1 2 5 8 2" xfId="5372"/>
    <cellStyle name="Ergebnis 1 2 5 9" xfId="5355"/>
    <cellStyle name="Ergebnis 1 2 5_Grünland" xfId="3250"/>
    <cellStyle name="Ergebnis 1 2 6" xfId="1957"/>
    <cellStyle name="Ergebnis 1 2 6 2" xfId="1958"/>
    <cellStyle name="Ergebnis 1 2 6 2 2" xfId="5374"/>
    <cellStyle name="Ergebnis 1 2 6 3" xfId="1959"/>
    <cellStyle name="Ergebnis 1 2 6 3 2" xfId="5375"/>
    <cellStyle name="Ergebnis 1 2 6 4" xfId="1960"/>
    <cellStyle name="Ergebnis 1 2 6 4 2" xfId="5376"/>
    <cellStyle name="Ergebnis 1 2 6 5" xfId="1961"/>
    <cellStyle name="Ergebnis 1 2 6 5 2" xfId="5377"/>
    <cellStyle name="Ergebnis 1 2 6 6" xfId="1962"/>
    <cellStyle name="Ergebnis 1 2 6 6 2" xfId="5378"/>
    <cellStyle name="Ergebnis 1 2 6 7" xfId="5373"/>
    <cellStyle name="Ergebnis 1 2 6_Grünland" xfId="3253"/>
    <cellStyle name="Ergebnis 1 2 7" xfId="1963"/>
    <cellStyle name="Ergebnis 1 2 7 2" xfId="1964"/>
    <cellStyle name="Ergebnis 1 2 7 2 2" xfId="5380"/>
    <cellStyle name="Ergebnis 1 2 7 3" xfId="1965"/>
    <cellStyle name="Ergebnis 1 2 7 3 2" xfId="5381"/>
    <cellStyle name="Ergebnis 1 2 7 4" xfId="1966"/>
    <cellStyle name="Ergebnis 1 2 7 4 2" xfId="5382"/>
    <cellStyle name="Ergebnis 1 2 7 5" xfId="1967"/>
    <cellStyle name="Ergebnis 1 2 7 5 2" xfId="5383"/>
    <cellStyle name="Ergebnis 1 2 7 6" xfId="1968"/>
    <cellStyle name="Ergebnis 1 2 7 6 2" xfId="5384"/>
    <cellStyle name="Ergebnis 1 2 7 7" xfId="5379"/>
    <cellStyle name="Ergebnis 1 2 7_Grünland" xfId="3254"/>
    <cellStyle name="Ergebnis 1 2 8" xfId="1969"/>
    <cellStyle name="Ergebnis 1 2 8 2" xfId="5385"/>
    <cellStyle name="Ergebnis 1 2 9" xfId="1970"/>
    <cellStyle name="Ergebnis 1 2 9 2" xfId="5386"/>
    <cellStyle name="Ergebnis 1 2_Grünland" xfId="3215"/>
    <cellStyle name="Ergebnis 1 3" xfId="1971"/>
    <cellStyle name="Ergebnis 1 3 2" xfId="1972"/>
    <cellStyle name="Ergebnis 1 3 2 2" xfId="1973"/>
    <cellStyle name="Ergebnis 1 3 2 2 2" xfId="1974"/>
    <cellStyle name="Ergebnis 1 3 2 2 2 2" xfId="1975"/>
    <cellStyle name="Ergebnis 1 3 2 2 2 2 2" xfId="5391"/>
    <cellStyle name="Ergebnis 1 3 2 2 2 3" xfId="1976"/>
    <cellStyle name="Ergebnis 1 3 2 2 2 3 2" xfId="5392"/>
    <cellStyle name="Ergebnis 1 3 2 2 2 4" xfId="1977"/>
    <cellStyle name="Ergebnis 1 3 2 2 2 4 2" xfId="5393"/>
    <cellStyle name="Ergebnis 1 3 2 2 2 5" xfId="1978"/>
    <cellStyle name="Ergebnis 1 3 2 2 2 5 2" xfId="5394"/>
    <cellStyle name="Ergebnis 1 3 2 2 2 6" xfId="1979"/>
    <cellStyle name="Ergebnis 1 3 2 2 2 6 2" xfId="5395"/>
    <cellStyle name="Ergebnis 1 3 2 2 2 7" xfId="5390"/>
    <cellStyle name="Ergebnis 1 3 2 2 2_Grünland" xfId="3258"/>
    <cellStyle name="Ergebnis 1 3 2 2 3" xfId="1980"/>
    <cellStyle name="Ergebnis 1 3 2 2 3 2" xfId="1981"/>
    <cellStyle name="Ergebnis 1 3 2 2 3 2 2" xfId="5397"/>
    <cellStyle name="Ergebnis 1 3 2 2 3 3" xfId="1982"/>
    <cellStyle name="Ergebnis 1 3 2 2 3 3 2" xfId="5398"/>
    <cellStyle name="Ergebnis 1 3 2 2 3 4" xfId="1983"/>
    <cellStyle name="Ergebnis 1 3 2 2 3 4 2" xfId="5399"/>
    <cellStyle name="Ergebnis 1 3 2 2 3 5" xfId="1984"/>
    <cellStyle name="Ergebnis 1 3 2 2 3 5 2" xfId="5400"/>
    <cellStyle name="Ergebnis 1 3 2 2 3 6" xfId="1985"/>
    <cellStyle name="Ergebnis 1 3 2 2 3 6 2" xfId="5401"/>
    <cellStyle name="Ergebnis 1 3 2 2 3 7" xfId="5396"/>
    <cellStyle name="Ergebnis 1 3 2 2 3_Grünland" xfId="3259"/>
    <cellStyle name="Ergebnis 1 3 2 2 4" xfId="1986"/>
    <cellStyle name="Ergebnis 1 3 2 2 4 2" xfId="5402"/>
    <cellStyle name="Ergebnis 1 3 2 2 5" xfId="1987"/>
    <cellStyle name="Ergebnis 1 3 2 2 5 2" xfId="5403"/>
    <cellStyle name="Ergebnis 1 3 2 2 6" xfId="1988"/>
    <cellStyle name="Ergebnis 1 3 2 2 6 2" xfId="5404"/>
    <cellStyle name="Ergebnis 1 3 2 2 7" xfId="1989"/>
    <cellStyle name="Ergebnis 1 3 2 2 7 2" xfId="5405"/>
    <cellStyle name="Ergebnis 1 3 2 2 8" xfId="1990"/>
    <cellStyle name="Ergebnis 1 3 2 2 8 2" xfId="5406"/>
    <cellStyle name="Ergebnis 1 3 2 2 9" xfId="5389"/>
    <cellStyle name="Ergebnis 1 3 2 2_Grünland" xfId="3257"/>
    <cellStyle name="Ergebnis 1 3 2 3" xfId="1991"/>
    <cellStyle name="Ergebnis 1 3 2 3 2" xfId="1992"/>
    <cellStyle name="Ergebnis 1 3 2 3 2 2" xfId="5408"/>
    <cellStyle name="Ergebnis 1 3 2 3 3" xfId="1993"/>
    <cellStyle name="Ergebnis 1 3 2 3 3 2" xfId="5409"/>
    <cellStyle name="Ergebnis 1 3 2 3 4" xfId="1994"/>
    <cellStyle name="Ergebnis 1 3 2 3 4 2" xfId="5410"/>
    <cellStyle name="Ergebnis 1 3 2 3 5" xfId="1995"/>
    <cellStyle name="Ergebnis 1 3 2 3 5 2" xfId="5411"/>
    <cellStyle name="Ergebnis 1 3 2 3 6" xfId="1996"/>
    <cellStyle name="Ergebnis 1 3 2 3 6 2" xfId="5412"/>
    <cellStyle name="Ergebnis 1 3 2 3 7" xfId="5407"/>
    <cellStyle name="Ergebnis 1 3 2 3_Grünland" xfId="3260"/>
    <cellStyle name="Ergebnis 1 3 2 4" xfId="1997"/>
    <cellStyle name="Ergebnis 1 3 2 4 2" xfId="1998"/>
    <cellStyle name="Ergebnis 1 3 2 4 2 2" xfId="5414"/>
    <cellStyle name="Ergebnis 1 3 2 4 3" xfId="1999"/>
    <cellStyle name="Ergebnis 1 3 2 4 3 2" xfId="5415"/>
    <cellStyle name="Ergebnis 1 3 2 4 4" xfId="2000"/>
    <cellStyle name="Ergebnis 1 3 2 4 4 2" xfId="5416"/>
    <cellStyle name="Ergebnis 1 3 2 4 5" xfId="2001"/>
    <cellStyle name="Ergebnis 1 3 2 4 5 2" xfId="5417"/>
    <cellStyle name="Ergebnis 1 3 2 4 6" xfId="2002"/>
    <cellStyle name="Ergebnis 1 3 2 4 6 2" xfId="5418"/>
    <cellStyle name="Ergebnis 1 3 2 4 7" xfId="5413"/>
    <cellStyle name="Ergebnis 1 3 2 4_Grünland" xfId="3261"/>
    <cellStyle name="Ergebnis 1 3 2 5" xfId="2003"/>
    <cellStyle name="Ergebnis 1 3 2 5 2" xfId="2004"/>
    <cellStyle name="Ergebnis 1 3 2 5 2 2" xfId="5420"/>
    <cellStyle name="Ergebnis 1 3 2 5 3" xfId="2005"/>
    <cellStyle name="Ergebnis 1 3 2 5 3 2" xfId="5421"/>
    <cellStyle name="Ergebnis 1 3 2 5 4" xfId="2006"/>
    <cellStyle name="Ergebnis 1 3 2 5 4 2" xfId="5422"/>
    <cellStyle name="Ergebnis 1 3 2 5 5" xfId="2007"/>
    <cellStyle name="Ergebnis 1 3 2 5 5 2" xfId="5423"/>
    <cellStyle name="Ergebnis 1 3 2 5 6" xfId="5419"/>
    <cellStyle name="Ergebnis 1 3 2 5_Grünland" xfId="3262"/>
    <cellStyle name="Ergebnis 1 3 2 6" xfId="2008"/>
    <cellStyle name="Ergebnis 1 3 2 6 2" xfId="5424"/>
    <cellStyle name="Ergebnis 1 3 2 7" xfId="2009"/>
    <cellStyle name="Ergebnis 1 3 2 7 2" xfId="5425"/>
    <cellStyle name="Ergebnis 1 3 2 8" xfId="5388"/>
    <cellStyle name="Ergebnis 1 3 2_Grünland" xfId="3256"/>
    <cellStyle name="Ergebnis 1 3 3" xfId="2010"/>
    <cellStyle name="Ergebnis 1 3 3 2" xfId="2011"/>
    <cellStyle name="Ergebnis 1 3 3 2 2" xfId="2012"/>
    <cellStyle name="Ergebnis 1 3 3 2 2 2" xfId="2013"/>
    <cellStyle name="Ergebnis 1 3 3 2 2 2 2" xfId="5429"/>
    <cellStyle name="Ergebnis 1 3 3 2 2 3" xfId="2014"/>
    <cellStyle name="Ergebnis 1 3 3 2 2 3 2" xfId="5430"/>
    <cellStyle name="Ergebnis 1 3 3 2 2 4" xfId="2015"/>
    <cellStyle name="Ergebnis 1 3 3 2 2 4 2" xfId="5431"/>
    <cellStyle name="Ergebnis 1 3 3 2 2 5" xfId="2016"/>
    <cellStyle name="Ergebnis 1 3 3 2 2 5 2" xfId="5432"/>
    <cellStyle name="Ergebnis 1 3 3 2 2 6" xfId="2017"/>
    <cellStyle name="Ergebnis 1 3 3 2 2 6 2" xfId="5433"/>
    <cellStyle name="Ergebnis 1 3 3 2 2 7" xfId="5428"/>
    <cellStyle name="Ergebnis 1 3 3 2 2_Grünland" xfId="3265"/>
    <cellStyle name="Ergebnis 1 3 3 2 3" xfId="2018"/>
    <cellStyle name="Ergebnis 1 3 3 2 3 2" xfId="2019"/>
    <cellStyle name="Ergebnis 1 3 3 2 3 2 2" xfId="5435"/>
    <cellStyle name="Ergebnis 1 3 3 2 3 3" xfId="2020"/>
    <cellStyle name="Ergebnis 1 3 3 2 3 3 2" xfId="5436"/>
    <cellStyle name="Ergebnis 1 3 3 2 3 4" xfId="2021"/>
    <cellStyle name="Ergebnis 1 3 3 2 3 4 2" xfId="5437"/>
    <cellStyle name="Ergebnis 1 3 3 2 3 5" xfId="2022"/>
    <cellStyle name="Ergebnis 1 3 3 2 3 5 2" xfId="5438"/>
    <cellStyle name="Ergebnis 1 3 3 2 3 6" xfId="2023"/>
    <cellStyle name="Ergebnis 1 3 3 2 3 6 2" xfId="5439"/>
    <cellStyle name="Ergebnis 1 3 3 2 3 7" xfId="5434"/>
    <cellStyle name="Ergebnis 1 3 3 2 3_Grünland" xfId="3266"/>
    <cellStyle name="Ergebnis 1 3 3 2 4" xfId="2024"/>
    <cellStyle name="Ergebnis 1 3 3 2 4 2" xfId="5440"/>
    <cellStyle name="Ergebnis 1 3 3 2 5" xfId="2025"/>
    <cellStyle name="Ergebnis 1 3 3 2 5 2" xfId="5441"/>
    <cellStyle name="Ergebnis 1 3 3 2 6" xfId="2026"/>
    <cellStyle name="Ergebnis 1 3 3 2 6 2" xfId="5442"/>
    <cellStyle name="Ergebnis 1 3 3 2 7" xfId="2027"/>
    <cellStyle name="Ergebnis 1 3 3 2 7 2" xfId="5443"/>
    <cellStyle name="Ergebnis 1 3 3 2 8" xfId="2028"/>
    <cellStyle name="Ergebnis 1 3 3 2 8 2" xfId="5444"/>
    <cellStyle name="Ergebnis 1 3 3 2 9" xfId="5427"/>
    <cellStyle name="Ergebnis 1 3 3 2_Grünland" xfId="3264"/>
    <cellStyle name="Ergebnis 1 3 3 3" xfId="2029"/>
    <cellStyle name="Ergebnis 1 3 3 3 2" xfId="2030"/>
    <cellStyle name="Ergebnis 1 3 3 3 2 2" xfId="5446"/>
    <cellStyle name="Ergebnis 1 3 3 3 3" xfId="2031"/>
    <cellStyle name="Ergebnis 1 3 3 3 3 2" xfId="5447"/>
    <cellStyle name="Ergebnis 1 3 3 3 4" xfId="2032"/>
    <cellStyle name="Ergebnis 1 3 3 3 4 2" xfId="5448"/>
    <cellStyle name="Ergebnis 1 3 3 3 5" xfId="2033"/>
    <cellStyle name="Ergebnis 1 3 3 3 5 2" xfId="5449"/>
    <cellStyle name="Ergebnis 1 3 3 3 6" xfId="2034"/>
    <cellStyle name="Ergebnis 1 3 3 3 6 2" xfId="5450"/>
    <cellStyle name="Ergebnis 1 3 3 3 7" xfId="5445"/>
    <cellStyle name="Ergebnis 1 3 3 3_Grünland" xfId="3267"/>
    <cellStyle name="Ergebnis 1 3 3 4" xfId="2035"/>
    <cellStyle name="Ergebnis 1 3 3 4 2" xfId="2036"/>
    <cellStyle name="Ergebnis 1 3 3 4 2 2" xfId="5452"/>
    <cellStyle name="Ergebnis 1 3 3 4 3" xfId="2037"/>
    <cellStyle name="Ergebnis 1 3 3 4 3 2" xfId="5453"/>
    <cellStyle name="Ergebnis 1 3 3 4 4" xfId="2038"/>
    <cellStyle name="Ergebnis 1 3 3 4 4 2" xfId="5454"/>
    <cellStyle name="Ergebnis 1 3 3 4 5" xfId="2039"/>
    <cellStyle name="Ergebnis 1 3 3 4 5 2" xfId="5455"/>
    <cellStyle name="Ergebnis 1 3 3 4 6" xfId="2040"/>
    <cellStyle name="Ergebnis 1 3 3 4 6 2" xfId="5456"/>
    <cellStyle name="Ergebnis 1 3 3 4 7" xfId="5451"/>
    <cellStyle name="Ergebnis 1 3 3 4_Grünland" xfId="3268"/>
    <cellStyle name="Ergebnis 1 3 3 5" xfId="2041"/>
    <cellStyle name="Ergebnis 1 3 3 5 2" xfId="2042"/>
    <cellStyle name="Ergebnis 1 3 3 5 2 2" xfId="5458"/>
    <cellStyle name="Ergebnis 1 3 3 5 3" xfId="2043"/>
    <cellStyle name="Ergebnis 1 3 3 5 3 2" xfId="5459"/>
    <cellStyle name="Ergebnis 1 3 3 5 4" xfId="2044"/>
    <cellStyle name="Ergebnis 1 3 3 5 4 2" xfId="5460"/>
    <cellStyle name="Ergebnis 1 3 3 5 5" xfId="2045"/>
    <cellStyle name="Ergebnis 1 3 3 5 5 2" xfId="5461"/>
    <cellStyle name="Ergebnis 1 3 3 5 6" xfId="5457"/>
    <cellStyle name="Ergebnis 1 3 3 5_Grünland" xfId="3269"/>
    <cellStyle name="Ergebnis 1 3 3 6" xfId="2046"/>
    <cellStyle name="Ergebnis 1 3 3 6 2" xfId="5462"/>
    <cellStyle name="Ergebnis 1 3 3 7" xfId="2047"/>
    <cellStyle name="Ergebnis 1 3 3 7 2" xfId="5463"/>
    <cellStyle name="Ergebnis 1 3 3 8" xfId="5426"/>
    <cellStyle name="Ergebnis 1 3 3_Grünland" xfId="3263"/>
    <cellStyle name="Ergebnis 1 3 4" xfId="2048"/>
    <cellStyle name="Ergebnis 1 3 4 2" xfId="2049"/>
    <cellStyle name="Ergebnis 1 3 4 2 2" xfId="2050"/>
    <cellStyle name="Ergebnis 1 3 4 2 2 2" xfId="5466"/>
    <cellStyle name="Ergebnis 1 3 4 2 3" xfId="2051"/>
    <cellStyle name="Ergebnis 1 3 4 2 3 2" xfId="5467"/>
    <cellStyle name="Ergebnis 1 3 4 2 4" xfId="2052"/>
    <cellStyle name="Ergebnis 1 3 4 2 4 2" xfId="5468"/>
    <cellStyle name="Ergebnis 1 3 4 2 5" xfId="2053"/>
    <cellStyle name="Ergebnis 1 3 4 2 5 2" xfId="5469"/>
    <cellStyle name="Ergebnis 1 3 4 2 6" xfId="2054"/>
    <cellStyle name="Ergebnis 1 3 4 2 6 2" xfId="5470"/>
    <cellStyle name="Ergebnis 1 3 4 2 7" xfId="5465"/>
    <cellStyle name="Ergebnis 1 3 4 2_Grünland" xfId="3271"/>
    <cellStyle name="Ergebnis 1 3 4 3" xfId="2055"/>
    <cellStyle name="Ergebnis 1 3 4 3 2" xfId="2056"/>
    <cellStyle name="Ergebnis 1 3 4 3 2 2" xfId="5472"/>
    <cellStyle name="Ergebnis 1 3 4 3 3" xfId="2057"/>
    <cellStyle name="Ergebnis 1 3 4 3 3 2" xfId="5473"/>
    <cellStyle name="Ergebnis 1 3 4 3 4" xfId="2058"/>
    <cellStyle name="Ergebnis 1 3 4 3 4 2" xfId="5474"/>
    <cellStyle name="Ergebnis 1 3 4 3 5" xfId="2059"/>
    <cellStyle name="Ergebnis 1 3 4 3 5 2" xfId="5475"/>
    <cellStyle name="Ergebnis 1 3 4 3 6" xfId="2060"/>
    <cellStyle name="Ergebnis 1 3 4 3 6 2" xfId="5476"/>
    <cellStyle name="Ergebnis 1 3 4 3 7" xfId="5471"/>
    <cellStyle name="Ergebnis 1 3 4 3_Grünland" xfId="3272"/>
    <cellStyle name="Ergebnis 1 3 4 4" xfId="2061"/>
    <cellStyle name="Ergebnis 1 3 4 4 2" xfId="5477"/>
    <cellStyle name="Ergebnis 1 3 4 5" xfId="2062"/>
    <cellStyle name="Ergebnis 1 3 4 5 2" xfId="5478"/>
    <cellStyle name="Ergebnis 1 3 4 6" xfId="2063"/>
    <cellStyle name="Ergebnis 1 3 4 6 2" xfId="5479"/>
    <cellStyle name="Ergebnis 1 3 4 7" xfId="2064"/>
    <cellStyle name="Ergebnis 1 3 4 7 2" xfId="5480"/>
    <cellStyle name="Ergebnis 1 3 4 8" xfId="2065"/>
    <cellStyle name="Ergebnis 1 3 4 8 2" xfId="5481"/>
    <cellStyle name="Ergebnis 1 3 4 9" xfId="5464"/>
    <cellStyle name="Ergebnis 1 3 4_Grünland" xfId="3270"/>
    <cellStyle name="Ergebnis 1 3 5" xfId="2066"/>
    <cellStyle name="Ergebnis 1 3 5 2" xfId="2067"/>
    <cellStyle name="Ergebnis 1 3 5 2 2" xfId="5483"/>
    <cellStyle name="Ergebnis 1 3 5 3" xfId="2068"/>
    <cellStyle name="Ergebnis 1 3 5 3 2" xfId="5484"/>
    <cellStyle name="Ergebnis 1 3 5 4" xfId="2069"/>
    <cellStyle name="Ergebnis 1 3 5 4 2" xfId="5485"/>
    <cellStyle name="Ergebnis 1 3 5 5" xfId="2070"/>
    <cellStyle name="Ergebnis 1 3 5 5 2" xfId="5486"/>
    <cellStyle name="Ergebnis 1 3 5 6" xfId="2071"/>
    <cellStyle name="Ergebnis 1 3 5 6 2" xfId="5487"/>
    <cellStyle name="Ergebnis 1 3 5 7" xfId="5482"/>
    <cellStyle name="Ergebnis 1 3 5_Grünland" xfId="3273"/>
    <cellStyle name="Ergebnis 1 3 6" xfId="2072"/>
    <cellStyle name="Ergebnis 1 3 6 2" xfId="2073"/>
    <cellStyle name="Ergebnis 1 3 6 2 2" xfId="5489"/>
    <cellStyle name="Ergebnis 1 3 6 3" xfId="2074"/>
    <cellStyle name="Ergebnis 1 3 6 3 2" xfId="5490"/>
    <cellStyle name="Ergebnis 1 3 6 4" xfId="2075"/>
    <cellStyle name="Ergebnis 1 3 6 4 2" xfId="5491"/>
    <cellStyle name="Ergebnis 1 3 6 5" xfId="2076"/>
    <cellStyle name="Ergebnis 1 3 6 5 2" xfId="5492"/>
    <cellStyle name="Ergebnis 1 3 6 6" xfId="2077"/>
    <cellStyle name="Ergebnis 1 3 6 6 2" xfId="5493"/>
    <cellStyle name="Ergebnis 1 3 6 7" xfId="5488"/>
    <cellStyle name="Ergebnis 1 3 6_Grünland" xfId="3274"/>
    <cellStyle name="Ergebnis 1 3 7" xfId="2078"/>
    <cellStyle name="Ergebnis 1 3 7 2" xfId="5494"/>
    <cellStyle name="Ergebnis 1 3 8" xfId="2079"/>
    <cellStyle name="Ergebnis 1 3 8 2" xfId="5495"/>
    <cellStyle name="Ergebnis 1 3 9" xfId="5387"/>
    <cellStyle name="Ergebnis 1 3_Grünland" xfId="3255"/>
    <cellStyle name="Ergebnis 1 4" xfId="2080"/>
    <cellStyle name="Ergebnis 1 4 2" xfId="2081"/>
    <cellStyle name="Ergebnis 1 4 2 2" xfId="2082"/>
    <cellStyle name="Ergebnis 1 4 2 2 2" xfId="2083"/>
    <cellStyle name="Ergebnis 1 4 2 2 2 2" xfId="5499"/>
    <cellStyle name="Ergebnis 1 4 2 2 3" xfId="2084"/>
    <cellStyle name="Ergebnis 1 4 2 2 3 2" xfId="5500"/>
    <cellStyle name="Ergebnis 1 4 2 2 4" xfId="2085"/>
    <cellStyle name="Ergebnis 1 4 2 2 4 2" xfId="5501"/>
    <cellStyle name="Ergebnis 1 4 2 2 5" xfId="2086"/>
    <cellStyle name="Ergebnis 1 4 2 2 5 2" xfId="5502"/>
    <cellStyle name="Ergebnis 1 4 2 2 6" xfId="2087"/>
    <cellStyle name="Ergebnis 1 4 2 2 6 2" xfId="5503"/>
    <cellStyle name="Ergebnis 1 4 2 2 7" xfId="5498"/>
    <cellStyle name="Ergebnis 1 4 2 2_Grünland" xfId="3277"/>
    <cellStyle name="Ergebnis 1 4 2 3" xfId="2088"/>
    <cellStyle name="Ergebnis 1 4 2 3 2" xfId="2089"/>
    <cellStyle name="Ergebnis 1 4 2 3 2 2" xfId="5505"/>
    <cellStyle name="Ergebnis 1 4 2 3 3" xfId="2090"/>
    <cellStyle name="Ergebnis 1 4 2 3 3 2" xfId="5506"/>
    <cellStyle name="Ergebnis 1 4 2 3 4" xfId="2091"/>
    <cellStyle name="Ergebnis 1 4 2 3 4 2" xfId="5507"/>
    <cellStyle name="Ergebnis 1 4 2 3 5" xfId="2092"/>
    <cellStyle name="Ergebnis 1 4 2 3 5 2" xfId="5508"/>
    <cellStyle name="Ergebnis 1 4 2 3 6" xfId="2093"/>
    <cellStyle name="Ergebnis 1 4 2 3 6 2" xfId="5509"/>
    <cellStyle name="Ergebnis 1 4 2 3 7" xfId="5504"/>
    <cellStyle name="Ergebnis 1 4 2 3_Grünland" xfId="3278"/>
    <cellStyle name="Ergebnis 1 4 2 4" xfId="2094"/>
    <cellStyle name="Ergebnis 1 4 2 4 2" xfId="5510"/>
    <cellStyle name="Ergebnis 1 4 2 5" xfId="2095"/>
    <cellStyle name="Ergebnis 1 4 2 5 2" xfId="5511"/>
    <cellStyle name="Ergebnis 1 4 2 6" xfId="2096"/>
    <cellStyle name="Ergebnis 1 4 2 6 2" xfId="5512"/>
    <cellStyle name="Ergebnis 1 4 2 7" xfId="2097"/>
    <cellStyle name="Ergebnis 1 4 2 7 2" xfId="5513"/>
    <cellStyle name="Ergebnis 1 4 2 8" xfId="2098"/>
    <cellStyle name="Ergebnis 1 4 2 8 2" xfId="5514"/>
    <cellStyle name="Ergebnis 1 4 2 9" xfId="5497"/>
    <cellStyle name="Ergebnis 1 4 2_Grünland" xfId="3276"/>
    <cellStyle name="Ergebnis 1 4 3" xfId="2099"/>
    <cellStyle name="Ergebnis 1 4 3 2" xfId="2100"/>
    <cellStyle name="Ergebnis 1 4 3 2 2" xfId="5516"/>
    <cellStyle name="Ergebnis 1 4 3 3" xfId="2101"/>
    <cellStyle name="Ergebnis 1 4 3 3 2" xfId="5517"/>
    <cellStyle name="Ergebnis 1 4 3 4" xfId="2102"/>
    <cellStyle name="Ergebnis 1 4 3 4 2" xfId="5518"/>
    <cellStyle name="Ergebnis 1 4 3 5" xfId="2103"/>
    <cellStyle name="Ergebnis 1 4 3 5 2" xfId="5519"/>
    <cellStyle name="Ergebnis 1 4 3 6" xfId="2104"/>
    <cellStyle name="Ergebnis 1 4 3 6 2" xfId="5520"/>
    <cellStyle name="Ergebnis 1 4 3 7" xfId="5515"/>
    <cellStyle name="Ergebnis 1 4 3_Grünland" xfId="3279"/>
    <cellStyle name="Ergebnis 1 4 4" xfId="2105"/>
    <cellStyle name="Ergebnis 1 4 4 2" xfId="2106"/>
    <cellStyle name="Ergebnis 1 4 4 2 2" xfId="5522"/>
    <cellStyle name="Ergebnis 1 4 4 3" xfId="2107"/>
    <cellStyle name="Ergebnis 1 4 4 3 2" xfId="5523"/>
    <cellStyle name="Ergebnis 1 4 4 4" xfId="2108"/>
    <cellStyle name="Ergebnis 1 4 4 4 2" xfId="5524"/>
    <cellStyle name="Ergebnis 1 4 4 5" xfId="2109"/>
    <cellStyle name="Ergebnis 1 4 4 5 2" xfId="5525"/>
    <cellStyle name="Ergebnis 1 4 4 6" xfId="2110"/>
    <cellStyle name="Ergebnis 1 4 4 6 2" xfId="5526"/>
    <cellStyle name="Ergebnis 1 4 4 7" xfId="5521"/>
    <cellStyle name="Ergebnis 1 4 4_Grünland" xfId="3280"/>
    <cellStyle name="Ergebnis 1 4 5" xfId="2111"/>
    <cellStyle name="Ergebnis 1 4 5 2" xfId="2112"/>
    <cellStyle name="Ergebnis 1 4 5 2 2" xfId="5528"/>
    <cellStyle name="Ergebnis 1 4 5 3" xfId="2113"/>
    <cellStyle name="Ergebnis 1 4 5 3 2" xfId="5529"/>
    <cellStyle name="Ergebnis 1 4 5 4" xfId="2114"/>
    <cellStyle name="Ergebnis 1 4 5 4 2" xfId="5530"/>
    <cellStyle name="Ergebnis 1 4 5 5" xfId="2115"/>
    <cellStyle name="Ergebnis 1 4 5 5 2" xfId="5531"/>
    <cellStyle name="Ergebnis 1 4 5 6" xfId="5527"/>
    <cellStyle name="Ergebnis 1 4 5_Grünland" xfId="3281"/>
    <cellStyle name="Ergebnis 1 4 6" xfId="2116"/>
    <cellStyle name="Ergebnis 1 4 6 2" xfId="5532"/>
    <cellStyle name="Ergebnis 1 4 7" xfId="2117"/>
    <cellStyle name="Ergebnis 1 4 7 2" xfId="5533"/>
    <cellStyle name="Ergebnis 1 4 8" xfId="5496"/>
    <cellStyle name="Ergebnis 1 4_Grünland" xfId="3275"/>
    <cellStyle name="Ergebnis 1 5" xfId="2118"/>
    <cellStyle name="Ergebnis 1 5 2" xfId="2119"/>
    <cellStyle name="Ergebnis 1 5 2 2" xfId="2120"/>
    <cellStyle name="Ergebnis 1 5 2 2 2" xfId="2121"/>
    <cellStyle name="Ergebnis 1 5 2 2 2 2" xfId="5537"/>
    <cellStyle name="Ergebnis 1 5 2 2 3" xfId="2122"/>
    <cellStyle name="Ergebnis 1 5 2 2 3 2" xfId="5538"/>
    <cellStyle name="Ergebnis 1 5 2 2 4" xfId="2123"/>
    <cellStyle name="Ergebnis 1 5 2 2 4 2" xfId="5539"/>
    <cellStyle name="Ergebnis 1 5 2 2 5" xfId="2124"/>
    <cellStyle name="Ergebnis 1 5 2 2 5 2" xfId="5540"/>
    <cellStyle name="Ergebnis 1 5 2 2 6" xfId="2125"/>
    <cellStyle name="Ergebnis 1 5 2 2 6 2" xfId="5541"/>
    <cellStyle name="Ergebnis 1 5 2 2 7" xfId="5536"/>
    <cellStyle name="Ergebnis 1 5 2 2_Grünland" xfId="3284"/>
    <cellStyle name="Ergebnis 1 5 2 3" xfId="2126"/>
    <cellStyle name="Ergebnis 1 5 2 3 2" xfId="2127"/>
    <cellStyle name="Ergebnis 1 5 2 3 2 2" xfId="5543"/>
    <cellStyle name="Ergebnis 1 5 2 3 3" xfId="2128"/>
    <cellStyle name="Ergebnis 1 5 2 3 3 2" xfId="5544"/>
    <cellStyle name="Ergebnis 1 5 2 3 4" xfId="2129"/>
    <cellStyle name="Ergebnis 1 5 2 3 4 2" xfId="5545"/>
    <cellStyle name="Ergebnis 1 5 2 3 5" xfId="2130"/>
    <cellStyle name="Ergebnis 1 5 2 3 5 2" xfId="5546"/>
    <cellStyle name="Ergebnis 1 5 2 3 6" xfId="2131"/>
    <cellStyle name="Ergebnis 1 5 2 3 6 2" xfId="5547"/>
    <cellStyle name="Ergebnis 1 5 2 3 7" xfId="5542"/>
    <cellStyle name="Ergebnis 1 5 2 3_Grünland" xfId="3285"/>
    <cellStyle name="Ergebnis 1 5 2 4" xfId="2132"/>
    <cellStyle name="Ergebnis 1 5 2 4 2" xfId="5548"/>
    <cellStyle name="Ergebnis 1 5 2 5" xfId="2133"/>
    <cellStyle name="Ergebnis 1 5 2 5 2" xfId="5549"/>
    <cellStyle name="Ergebnis 1 5 2 6" xfId="2134"/>
    <cellStyle name="Ergebnis 1 5 2 6 2" xfId="5550"/>
    <cellStyle name="Ergebnis 1 5 2 7" xfId="2135"/>
    <cellStyle name="Ergebnis 1 5 2 7 2" xfId="5551"/>
    <cellStyle name="Ergebnis 1 5 2 8" xfId="2136"/>
    <cellStyle name="Ergebnis 1 5 2 8 2" xfId="5552"/>
    <cellStyle name="Ergebnis 1 5 2 9" xfId="5535"/>
    <cellStyle name="Ergebnis 1 5 2_Grünland" xfId="3283"/>
    <cellStyle name="Ergebnis 1 5 3" xfId="2137"/>
    <cellStyle name="Ergebnis 1 5 3 2" xfId="2138"/>
    <cellStyle name="Ergebnis 1 5 3 2 2" xfId="5554"/>
    <cellStyle name="Ergebnis 1 5 3 3" xfId="2139"/>
    <cellStyle name="Ergebnis 1 5 3 3 2" xfId="5555"/>
    <cellStyle name="Ergebnis 1 5 3 4" xfId="2140"/>
    <cellStyle name="Ergebnis 1 5 3 4 2" xfId="5556"/>
    <cellStyle name="Ergebnis 1 5 3 5" xfId="2141"/>
    <cellStyle name="Ergebnis 1 5 3 5 2" xfId="5557"/>
    <cellStyle name="Ergebnis 1 5 3 6" xfId="2142"/>
    <cellStyle name="Ergebnis 1 5 3 6 2" xfId="5558"/>
    <cellStyle name="Ergebnis 1 5 3 7" xfId="5553"/>
    <cellStyle name="Ergebnis 1 5 3_Grünland" xfId="3286"/>
    <cellStyle name="Ergebnis 1 5 4" xfId="2143"/>
    <cellStyle name="Ergebnis 1 5 4 2" xfId="2144"/>
    <cellStyle name="Ergebnis 1 5 4 2 2" xfId="5560"/>
    <cellStyle name="Ergebnis 1 5 4 3" xfId="2145"/>
    <cellStyle name="Ergebnis 1 5 4 3 2" xfId="5561"/>
    <cellStyle name="Ergebnis 1 5 4 4" xfId="2146"/>
    <cellStyle name="Ergebnis 1 5 4 4 2" xfId="5562"/>
    <cellStyle name="Ergebnis 1 5 4 5" xfId="2147"/>
    <cellStyle name="Ergebnis 1 5 4 5 2" xfId="5563"/>
    <cellStyle name="Ergebnis 1 5 4 6" xfId="2148"/>
    <cellStyle name="Ergebnis 1 5 4 6 2" xfId="5564"/>
    <cellStyle name="Ergebnis 1 5 4 7" xfId="5559"/>
    <cellStyle name="Ergebnis 1 5 4_Grünland" xfId="3287"/>
    <cellStyle name="Ergebnis 1 5 5" xfId="2149"/>
    <cellStyle name="Ergebnis 1 5 5 2" xfId="2150"/>
    <cellStyle name="Ergebnis 1 5 5 2 2" xfId="5566"/>
    <cellStyle name="Ergebnis 1 5 5 3" xfId="2151"/>
    <cellStyle name="Ergebnis 1 5 5 3 2" xfId="5567"/>
    <cellStyle name="Ergebnis 1 5 5 4" xfId="2152"/>
    <cellStyle name="Ergebnis 1 5 5 4 2" xfId="5568"/>
    <cellStyle name="Ergebnis 1 5 5 5" xfId="2153"/>
    <cellStyle name="Ergebnis 1 5 5 5 2" xfId="5569"/>
    <cellStyle name="Ergebnis 1 5 5 6" xfId="5565"/>
    <cellStyle name="Ergebnis 1 5 5_Grünland" xfId="3288"/>
    <cellStyle name="Ergebnis 1 5 6" xfId="2154"/>
    <cellStyle name="Ergebnis 1 5 6 2" xfId="5570"/>
    <cellStyle name="Ergebnis 1 5 7" xfId="2155"/>
    <cellStyle name="Ergebnis 1 5 7 2" xfId="5571"/>
    <cellStyle name="Ergebnis 1 5 8" xfId="5534"/>
    <cellStyle name="Ergebnis 1 5_Grünland" xfId="3282"/>
    <cellStyle name="Ergebnis 1 6" xfId="2156"/>
    <cellStyle name="Ergebnis 1 6 2" xfId="2157"/>
    <cellStyle name="Ergebnis 1 6 2 2" xfId="2158"/>
    <cellStyle name="Ergebnis 1 6 2 2 2" xfId="5574"/>
    <cellStyle name="Ergebnis 1 6 2 3" xfId="2159"/>
    <cellStyle name="Ergebnis 1 6 2 3 2" xfId="5575"/>
    <cellStyle name="Ergebnis 1 6 2 4" xfId="2160"/>
    <cellStyle name="Ergebnis 1 6 2 4 2" xfId="5576"/>
    <cellStyle name="Ergebnis 1 6 2 5" xfId="2161"/>
    <cellStyle name="Ergebnis 1 6 2 5 2" xfId="5577"/>
    <cellStyle name="Ergebnis 1 6 2 6" xfId="2162"/>
    <cellStyle name="Ergebnis 1 6 2 6 2" xfId="5578"/>
    <cellStyle name="Ergebnis 1 6 2 7" xfId="5573"/>
    <cellStyle name="Ergebnis 1 6 2_Grünland" xfId="3290"/>
    <cellStyle name="Ergebnis 1 6 3" xfId="2163"/>
    <cellStyle name="Ergebnis 1 6 3 2" xfId="2164"/>
    <cellStyle name="Ergebnis 1 6 3 2 2" xfId="5580"/>
    <cellStyle name="Ergebnis 1 6 3 3" xfId="2165"/>
    <cellStyle name="Ergebnis 1 6 3 3 2" xfId="5581"/>
    <cellStyle name="Ergebnis 1 6 3 4" xfId="2166"/>
    <cellStyle name="Ergebnis 1 6 3 4 2" xfId="5582"/>
    <cellStyle name="Ergebnis 1 6 3 5" xfId="2167"/>
    <cellStyle name="Ergebnis 1 6 3 5 2" xfId="5583"/>
    <cellStyle name="Ergebnis 1 6 3 6" xfId="2168"/>
    <cellStyle name="Ergebnis 1 6 3 6 2" xfId="5584"/>
    <cellStyle name="Ergebnis 1 6 3 7" xfId="5579"/>
    <cellStyle name="Ergebnis 1 6 3_Grünland" xfId="3291"/>
    <cellStyle name="Ergebnis 1 6 4" xfId="2169"/>
    <cellStyle name="Ergebnis 1 6 4 2" xfId="5585"/>
    <cellStyle name="Ergebnis 1 6 5" xfId="2170"/>
    <cellStyle name="Ergebnis 1 6 5 2" xfId="5586"/>
    <cellStyle name="Ergebnis 1 6 6" xfId="2171"/>
    <cellStyle name="Ergebnis 1 6 6 2" xfId="5587"/>
    <cellStyle name="Ergebnis 1 6 7" xfId="2172"/>
    <cellStyle name="Ergebnis 1 6 7 2" xfId="5588"/>
    <cellStyle name="Ergebnis 1 6 8" xfId="2173"/>
    <cellStyle name="Ergebnis 1 6 8 2" xfId="5589"/>
    <cellStyle name="Ergebnis 1 6 9" xfId="5572"/>
    <cellStyle name="Ergebnis 1 6_Grünland" xfId="3289"/>
    <cellStyle name="Ergebnis 1 7" xfId="2174"/>
    <cellStyle name="Ergebnis 1 7 2" xfId="2175"/>
    <cellStyle name="Ergebnis 1 7 2 2" xfId="5591"/>
    <cellStyle name="Ergebnis 1 7 3" xfId="2176"/>
    <cellStyle name="Ergebnis 1 7 3 2" xfId="5592"/>
    <cellStyle name="Ergebnis 1 7 4" xfId="2177"/>
    <cellStyle name="Ergebnis 1 7 4 2" xfId="5593"/>
    <cellStyle name="Ergebnis 1 7 5" xfId="2178"/>
    <cellStyle name="Ergebnis 1 7 5 2" xfId="5594"/>
    <cellStyle name="Ergebnis 1 7 6" xfId="2179"/>
    <cellStyle name="Ergebnis 1 7 6 2" xfId="5595"/>
    <cellStyle name="Ergebnis 1 7 7" xfId="5590"/>
    <cellStyle name="Ergebnis 1 7_Grünland" xfId="3292"/>
    <cellStyle name="Ergebnis 1 8" xfId="2180"/>
    <cellStyle name="Ergebnis 1 8 2" xfId="2181"/>
    <cellStyle name="Ergebnis 1 8 2 2" xfId="5597"/>
    <cellStyle name="Ergebnis 1 8 3" xfId="2182"/>
    <cellStyle name="Ergebnis 1 8 3 2" xfId="5598"/>
    <cellStyle name="Ergebnis 1 8 4" xfId="2183"/>
    <cellStyle name="Ergebnis 1 8 4 2" xfId="5599"/>
    <cellStyle name="Ergebnis 1 8 5" xfId="2184"/>
    <cellStyle name="Ergebnis 1 8 5 2" xfId="5600"/>
    <cellStyle name="Ergebnis 1 8 6" xfId="2185"/>
    <cellStyle name="Ergebnis 1 8 6 2" xfId="5601"/>
    <cellStyle name="Ergebnis 1 8 7" xfId="5596"/>
    <cellStyle name="Ergebnis 1 8_Grünland" xfId="3293"/>
    <cellStyle name="Ergebnis 1 9" xfId="2186"/>
    <cellStyle name="Ergebnis 1 9 2" xfId="5602"/>
    <cellStyle name="Ergebnis 1_Grünland" xfId="3134"/>
    <cellStyle name="Erklärender Text 2" xfId="2187"/>
    <cellStyle name="Erklärender Text 3" xfId="2188"/>
    <cellStyle name="Excel Built-in Input" xfId="2189"/>
    <cellStyle name="Gut 2" xfId="2190"/>
    <cellStyle name="Hyperlink 2" xfId="2191"/>
    <cellStyle name="Hyperlink 3" xfId="2192"/>
    <cellStyle name="Komma" xfId="2193" builtinId="3"/>
    <cellStyle name="Komma 10" xfId="2194"/>
    <cellStyle name="Komma 11" xfId="2195"/>
    <cellStyle name="Komma 11 2" xfId="5603"/>
    <cellStyle name="Komma 2" xfId="2196"/>
    <cellStyle name="Komma 2 2" xfId="2197"/>
    <cellStyle name="Komma 2 3" xfId="2198"/>
    <cellStyle name="Komma 3" xfId="2199"/>
    <cellStyle name="Komma 4" xfId="2200"/>
    <cellStyle name="Komma 5" xfId="2201"/>
    <cellStyle name="Komma 5 2" xfId="2202"/>
    <cellStyle name="Komma 5 2 2" xfId="2203"/>
    <cellStyle name="Komma 5 2 2 2" xfId="2204"/>
    <cellStyle name="Komma 5 2 2 2 2" xfId="2205"/>
    <cellStyle name="Komma 5 2 2 2 2 2" xfId="2206"/>
    <cellStyle name="Komma 5 2 2 2 2 2 2" xfId="5609"/>
    <cellStyle name="Komma 5 2 2 2 2 3" xfId="5608"/>
    <cellStyle name="Komma 5 2 2 2 3" xfId="2207"/>
    <cellStyle name="Komma 5 2 2 2 3 2" xfId="5610"/>
    <cellStyle name="Komma 5 2 2 2 4" xfId="2208"/>
    <cellStyle name="Komma 5 2 2 2 4 2" xfId="5611"/>
    <cellStyle name="Komma 5 2 2 2 5" xfId="5607"/>
    <cellStyle name="Komma 5 2 2 3" xfId="2209"/>
    <cellStyle name="Komma 5 2 2 3 2" xfId="2210"/>
    <cellStyle name="Komma 5 2 2 3 2 2" xfId="5613"/>
    <cellStyle name="Komma 5 2 2 3 3" xfId="5612"/>
    <cellStyle name="Komma 5 2 2 4" xfId="2211"/>
    <cellStyle name="Komma 5 2 2 4 2" xfId="5614"/>
    <cellStyle name="Komma 5 2 2 5" xfId="2212"/>
    <cellStyle name="Komma 5 2 2 5 2" xfId="5615"/>
    <cellStyle name="Komma 5 2 2 6" xfId="5606"/>
    <cellStyle name="Komma 5 2 3" xfId="2213"/>
    <cellStyle name="Komma 5 2 3 2" xfId="2214"/>
    <cellStyle name="Komma 5 2 3 2 2" xfId="2215"/>
    <cellStyle name="Komma 5 2 3 2 2 2" xfId="5618"/>
    <cellStyle name="Komma 5 2 3 2 3" xfId="5617"/>
    <cellStyle name="Komma 5 2 3 3" xfId="2216"/>
    <cellStyle name="Komma 5 2 3 3 2" xfId="5619"/>
    <cellStyle name="Komma 5 2 3 4" xfId="2217"/>
    <cellStyle name="Komma 5 2 3 4 2" xfId="5620"/>
    <cellStyle name="Komma 5 2 3 5" xfId="5616"/>
    <cellStyle name="Komma 5 2 4" xfId="2218"/>
    <cellStyle name="Komma 5 2 4 2" xfId="2219"/>
    <cellStyle name="Komma 5 2 4 2 2" xfId="5622"/>
    <cellStyle name="Komma 5 2 4 3" xfId="5621"/>
    <cellStyle name="Komma 5 2 5" xfId="2220"/>
    <cellStyle name="Komma 5 2 5 2" xfId="2221"/>
    <cellStyle name="Komma 5 2 5 2 2" xfId="5624"/>
    <cellStyle name="Komma 5 2 5 3" xfId="5623"/>
    <cellStyle name="Komma 5 2 6" xfId="2222"/>
    <cellStyle name="Komma 5 2 6 2" xfId="5625"/>
    <cellStyle name="Komma 5 2 7" xfId="5605"/>
    <cellStyle name="Komma 5 3" xfId="2223"/>
    <cellStyle name="Komma 5 3 2" xfId="2224"/>
    <cellStyle name="Komma 5 3 2 2" xfId="2225"/>
    <cellStyle name="Komma 5 3 2 2 2" xfId="2226"/>
    <cellStyle name="Komma 5 3 2 2 2 2" xfId="5629"/>
    <cellStyle name="Komma 5 3 2 2 3" xfId="5628"/>
    <cellStyle name="Komma 5 3 2 3" xfId="2227"/>
    <cellStyle name="Komma 5 3 2 3 2" xfId="5630"/>
    <cellStyle name="Komma 5 3 2 4" xfId="2228"/>
    <cellStyle name="Komma 5 3 2 4 2" xfId="5631"/>
    <cellStyle name="Komma 5 3 2 5" xfId="5627"/>
    <cellStyle name="Komma 5 3 3" xfId="2229"/>
    <cellStyle name="Komma 5 3 3 2" xfId="2230"/>
    <cellStyle name="Komma 5 3 3 2 2" xfId="5633"/>
    <cellStyle name="Komma 5 3 3 3" xfId="5632"/>
    <cellStyle name="Komma 5 3 4" xfId="2231"/>
    <cellStyle name="Komma 5 3 4 2" xfId="2232"/>
    <cellStyle name="Komma 5 3 4 2 2" xfId="5635"/>
    <cellStyle name="Komma 5 3 4 3" xfId="5634"/>
    <cellStyle name="Komma 5 3 5" xfId="2233"/>
    <cellStyle name="Komma 5 3 5 2" xfId="5636"/>
    <cellStyle name="Komma 5 3 6" xfId="5626"/>
    <cellStyle name="Komma 5 4" xfId="2234"/>
    <cellStyle name="Komma 5 4 2" xfId="2235"/>
    <cellStyle name="Komma 5 4 2 2" xfId="2236"/>
    <cellStyle name="Komma 5 4 2 2 2" xfId="5639"/>
    <cellStyle name="Komma 5 4 2 3" xfId="5638"/>
    <cellStyle name="Komma 5 4 3" xfId="2237"/>
    <cellStyle name="Komma 5 4 3 2" xfId="5640"/>
    <cellStyle name="Komma 5 4 4" xfId="2238"/>
    <cellStyle name="Komma 5 4 4 2" xfId="5641"/>
    <cellStyle name="Komma 5 4 5" xfId="5637"/>
    <cellStyle name="Komma 5 5" xfId="2239"/>
    <cellStyle name="Komma 5 5 2" xfId="2240"/>
    <cellStyle name="Komma 5 5 2 2" xfId="5643"/>
    <cellStyle name="Komma 5 5 3" xfId="5642"/>
    <cellStyle name="Komma 5 6" xfId="2241"/>
    <cellStyle name="Komma 5 6 2" xfId="2242"/>
    <cellStyle name="Komma 5 6 2 2" xfId="5645"/>
    <cellStyle name="Komma 5 6 3" xfId="5644"/>
    <cellStyle name="Komma 5 7" xfId="2243"/>
    <cellStyle name="Komma 5 7 2" xfId="5646"/>
    <cellStyle name="Komma 5 8" xfId="5604"/>
    <cellStyle name="Komma 6" xfId="2244"/>
    <cellStyle name="Komma 7" xfId="2245"/>
    <cellStyle name="Komma 7 2" xfId="2246"/>
    <cellStyle name="Komma 7 2 2" xfId="2247"/>
    <cellStyle name="Komma 7 2 2 2" xfId="2248"/>
    <cellStyle name="Komma 7 2 2 2 2" xfId="2249"/>
    <cellStyle name="Komma 7 2 2 2 2 2" xfId="5651"/>
    <cellStyle name="Komma 7 2 2 2 3" xfId="5650"/>
    <cellStyle name="Komma 7 2 2 3" xfId="2250"/>
    <cellStyle name="Komma 7 2 2 3 2" xfId="5652"/>
    <cellStyle name="Komma 7 2 2 4" xfId="2251"/>
    <cellStyle name="Komma 7 2 2 4 2" xfId="5653"/>
    <cellStyle name="Komma 7 2 2 5" xfId="5649"/>
    <cellStyle name="Komma 7 2 3" xfId="2252"/>
    <cellStyle name="Komma 7 2 3 2" xfId="2253"/>
    <cellStyle name="Komma 7 2 3 2 2" xfId="5655"/>
    <cellStyle name="Komma 7 2 3 3" xfId="5654"/>
    <cellStyle name="Komma 7 2 4" xfId="2254"/>
    <cellStyle name="Komma 7 2 4 2" xfId="5656"/>
    <cellStyle name="Komma 7 2 5" xfId="2255"/>
    <cellStyle name="Komma 7 2 5 2" xfId="5657"/>
    <cellStyle name="Komma 7 2 6" xfId="5648"/>
    <cellStyle name="Komma 7 3" xfId="2256"/>
    <cellStyle name="Komma 7 3 2" xfId="2257"/>
    <cellStyle name="Komma 7 3 2 2" xfId="2258"/>
    <cellStyle name="Komma 7 3 2 2 2" xfId="5660"/>
    <cellStyle name="Komma 7 3 2 3" xfId="5659"/>
    <cellStyle name="Komma 7 3 3" xfId="2259"/>
    <cellStyle name="Komma 7 3 3 2" xfId="5661"/>
    <cellStyle name="Komma 7 3 4" xfId="2260"/>
    <cellStyle name="Komma 7 3 4 2" xfId="5662"/>
    <cellStyle name="Komma 7 3 5" xfId="5658"/>
    <cellStyle name="Komma 7 4" xfId="2261"/>
    <cellStyle name="Komma 7 4 2" xfId="2262"/>
    <cellStyle name="Komma 7 4 2 2" xfId="5664"/>
    <cellStyle name="Komma 7 4 3" xfId="5663"/>
    <cellStyle name="Komma 7 5" xfId="2263"/>
    <cellStyle name="Komma 7 5 2" xfId="2264"/>
    <cellStyle name="Komma 7 5 2 2" xfId="5666"/>
    <cellStyle name="Komma 7 5 3" xfId="5665"/>
    <cellStyle name="Komma 7 6" xfId="2265"/>
    <cellStyle name="Komma 7 6 2" xfId="5667"/>
    <cellStyle name="Komma 7 7" xfId="5647"/>
    <cellStyle name="Komma 8" xfId="2266"/>
    <cellStyle name="Komma 8 2" xfId="2267"/>
    <cellStyle name="Komma 8 2 2" xfId="2268"/>
    <cellStyle name="Komma 8 2 2 2" xfId="2269"/>
    <cellStyle name="Komma 8 2 2 2 2" xfId="5671"/>
    <cellStyle name="Komma 8 2 2 3" xfId="5670"/>
    <cellStyle name="Komma 8 2 3" xfId="2270"/>
    <cellStyle name="Komma 8 2 3 2" xfId="5672"/>
    <cellStyle name="Komma 8 2 4" xfId="2271"/>
    <cellStyle name="Komma 8 2 4 2" xfId="5673"/>
    <cellStyle name="Komma 8 2 5" xfId="5669"/>
    <cellStyle name="Komma 8 3" xfId="2272"/>
    <cellStyle name="Komma 8 3 2" xfId="2273"/>
    <cellStyle name="Komma 8 3 2 2" xfId="5675"/>
    <cellStyle name="Komma 8 3 3" xfId="5674"/>
    <cellStyle name="Komma 8 4" xfId="2274"/>
    <cellStyle name="Komma 8 4 2" xfId="2275"/>
    <cellStyle name="Komma 8 4 2 2" xfId="5677"/>
    <cellStyle name="Komma 8 4 3" xfId="5676"/>
    <cellStyle name="Komma 8 5" xfId="2276"/>
    <cellStyle name="Komma 8 5 2" xfId="5678"/>
    <cellStyle name="Komma 8 6" xfId="5668"/>
    <cellStyle name="Komma 9" xfId="2277"/>
    <cellStyle name="Link" xfId="2278" builtinId="8"/>
    <cellStyle name="Neutral 2" xfId="2279"/>
    <cellStyle name="Notiz 2" xfId="2280"/>
    <cellStyle name="Notiz 2 10" xfId="2281"/>
    <cellStyle name="Notiz 2 10 2" xfId="2282"/>
    <cellStyle name="Notiz 2 10 2 2" xfId="5681"/>
    <cellStyle name="Notiz 2 10 3" xfId="2283"/>
    <cellStyle name="Notiz 2 10 3 2" xfId="5682"/>
    <cellStyle name="Notiz 2 10 4" xfId="2284"/>
    <cellStyle name="Notiz 2 10 4 2" xfId="5683"/>
    <cellStyle name="Notiz 2 10 5" xfId="2285"/>
    <cellStyle name="Notiz 2 10 5 2" xfId="5684"/>
    <cellStyle name="Notiz 2 10 6" xfId="2286"/>
    <cellStyle name="Notiz 2 10 6 2" xfId="5685"/>
    <cellStyle name="Notiz 2 10 7" xfId="5680"/>
    <cellStyle name="Notiz 2 10_Grünland" xfId="3295"/>
    <cellStyle name="Notiz 2 11" xfId="2287"/>
    <cellStyle name="Notiz 2 11 2" xfId="5686"/>
    <cellStyle name="Notiz 2 12" xfId="2288"/>
    <cellStyle name="Notiz 2 12 2" xfId="5687"/>
    <cellStyle name="Notiz 2 13" xfId="5679"/>
    <cellStyle name="Notiz 2 2" xfId="2289"/>
    <cellStyle name="Notiz 2 2 10" xfId="2290"/>
    <cellStyle name="Notiz 2 2 10 2" xfId="5689"/>
    <cellStyle name="Notiz 2 2 11" xfId="2291"/>
    <cellStyle name="Notiz 2 2 11 2" xfId="5690"/>
    <cellStyle name="Notiz 2 2 12" xfId="5688"/>
    <cellStyle name="Notiz 2 2 2" xfId="2292"/>
    <cellStyle name="Notiz 2 2 2 2" xfId="2293"/>
    <cellStyle name="Notiz 2 2 2 2 2" xfId="2294"/>
    <cellStyle name="Notiz 2 2 2 2 2 2" xfId="2295"/>
    <cellStyle name="Notiz 2 2 2 2 2 2 2" xfId="2296"/>
    <cellStyle name="Notiz 2 2 2 2 2 2 2 2" xfId="5695"/>
    <cellStyle name="Notiz 2 2 2 2 2 2 3" xfId="2297"/>
    <cellStyle name="Notiz 2 2 2 2 2 2 3 2" xfId="5696"/>
    <cellStyle name="Notiz 2 2 2 2 2 2 4" xfId="2298"/>
    <cellStyle name="Notiz 2 2 2 2 2 2 4 2" xfId="5697"/>
    <cellStyle name="Notiz 2 2 2 2 2 2 5" xfId="2299"/>
    <cellStyle name="Notiz 2 2 2 2 2 2 5 2" xfId="5698"/>
    <cellStyle name="Notiz 2 2 2 2 2 2 6" xfId="2300"/>
    <cellStyle name="Notiz 2 2 2 2 2 2 6 2" xfId="5699"/>
    <cellStyle name="Notiz 2 2 2 2 2 2 7" xfId="5694"/>
    <cellStyle name="Notiz 2 2 2 2 2 2_Grünland" xfId="3300"/>
    <cellStyle name="Notiz 2 2 2 2 2 3" xfId="2301"/>
    <cellStyle name="Notiz 2 2 2 2 2 3 2" xfId="2302"/>
    <cellStyle name="Notiz 2 2 2 2 2 3 2 2" xfId="5701"/>
    <cellStyle name="Notiz 2 2 2 2 2 3 3" xfId="2303"/>
    <cellStyle name="Notiz 2 2 2 2 2 3 3 2" xfId="5702"/>
    <cellStyle name="Notiz 2 2 2 2 2 3 4" xfId="2304"/>
    <cellStyle name="Notiz 2 2 2 2 2 3 4 2" xfId="5703"/>
    <cellStyle name="Notiz 2 2 2 2 2 3 5" xfId="2305"/>
    <cellStyle name="Notiz 2 2 2 2 2 3 5 2" xfId="5704"/>
    <cellStyle name="Notiz 2 2 2 2 2 3 6" xfId="2306"/>
    <cellStyle name="Notiz 2 2 2 2 2 3 6 2" xfId="5705"/>
    <cellStyle name="Notiz 2 2 2 2 2 3 7" xfId="5700"/>
    <cellStyle name="Notiz 2 2 2 2 2 3_Grünland" xfId="3301"/>
    <cellStyle name="Notiz 2 2 2 2 2 4" xfId="2307"/>
    <cellStyle name="Notiz 2 2 2 2 2 4 2" xfId="5706"/>
    <cellStyle name="Notiz 2 2 2 2 2 5" xfId="2308"/>
    <cellStyle name="Notiz 2 2 2 2 2 5 2" xfId="5707"/>
    <cellStyle name="Notiz 2 2 2 2 2 6" xfId="2309"/>
    <cellStyle name="Notiz 2 2 2 2 2 6 2" xfId="5708"/>
    <cellStyle name="Notiz 2 2 2 2 2 7" xfId="2310"/>
    <cellStyle name="Notiz 2 2 2 2 2 7 2" xfId="5709"/>
    <cellStyle name="Notiz 2 2 2 2 2 8" xfId="2311"/>
    <cellStyle name="Notiz 2 2 2 2 2 8 2" xfId="5710"/>
    <cellStyle name="Notiz 2 2 2 2 2 9" xfId="5693"/>
    <cellStyle name="Notiz 2 2 2 2 2_Grünland" xfId="3299"/>
    <cellStyle name="Notiz 2 2 2 2 3" xfId="2312"/>
    <cellStyle name="Notiz 2 2 2 2 3 2" xfId="2313"/>
    <cellStyle name="Notiz 2 2 2 2 3 2 2" xfId="5712"/>
    <cellStyle name="Notiz 2 2 2 2 3 3" xfId="2314"/>
    <cellStyle name="Notiz 2 2 2 2 3 3 2" xfId="5713"/>
    <cellStyle name="Notiz 2 2 2 2 3 4" xfId="2315"/>
    <cellStyle name="Notiz 2 2 2 2 3 4 2" xfId="5714"/>
    <cellStyle name="Notiz 2 2 2 2 3 5" xfId="2316"/>
    <cellStyle name="Notiz 2 2 2 2 3 5 2" xfId="5715"/>
    <cellStyle name="Notiz 2 2 2 2 3 6" xfId="2317"/>
    <cellStyle name="Notiz 2 2 2 2 3 6 2" xfId="5716"/>
    <cellStyle name="Notiz 2 2 2 2 3 7" xfId="5711"/>
    <cellStyle name="Notiz 2 2 2 2 3_Grünland" xfId="3302"/>
    <cellStyle name="Notiz 2 2 2 2 4" xfId="2318"/>
    <cellStyle name="Notiz 2 2 2 2 4 2" xfId="2319"/>
    <cellStyle name="Notiz 2 2 2 2 4 2 2" xfId="5718"/>
    <cellStyle name="Notiz 2 2 2 2 4 3" xfId="2320"/>
    <cellStyle name="Notiz 2 2 2 2 4 3 2" xfId="5719"/>
    <cellStyle name="Notiz 2 2 2 2 4 4" xfId="2321"/>
    <cellStyle name="Notiz 2 2 2 2 4 4 2" xfId="5720"/>
    <cellStyle name="Notiz 2 2 2 2 4 5" xfId="2322"/>
    <cellStyle name="Notiz 2 2 2 2 4 5 2" xfId="5721"/>
    <cellStyle name="Notiz 2 2 2 2 4 6" xfId="2323"/>
    <cellStyle name="Notiz 2 2 2 2 4 6 2" xfId="5722"/>
    <cellStyle name="Notiz 2 2 2 2 4 7" xfId="5717"/>
    <cellStyle name="Notiz 2 2 2 2 4_Grünland" xfId="3303"/>
    <cellStyle name="Notiz 2 2 2 2 5" xfId="2324"/>
    <cellStyle name="Notiz 2 2 2 2 5 2" xfId="2325"/>
    <cellStyle name="Notiz 2 2 2 2 5 2 2" xfId="5724"/>
    <cellStyle name="Notiz 2 2 2 2 5 3" xfId="2326"/>
    <cellStyle name="Notiz 2 2 2 2 5 3 2" xfId="5725"/>
    <cellStyle name="Notiz 2 2 2 2 5 4" xfId="2327"/>
    <cellStyle name="Notiz 2 2 2 2 5 4 2" xfId="5726"/>
    <cellStyle name="Notiz 2 2 2 2 5 5" xfId="2328"/>
    <cellStyle name="Notiz 2 2 2 2 5 5 2" xfId="5727"/>
    <cellStyle name="Notiz 2 2 2 2 5 6" xfId="5723"/>
    <cellStyle name="Notiz 2 2 2 2 5_Grünland" xfId="3304"/>
    <cellStyle name="Notiz 2 2 2 2 6" xfId="2329"/>
    <cellStyle name="Notiz 2 2 2 2 6 2" xfId="5728"/>
    <cellStyle name="Notiz 2 2 2 2 7" xfId="2330"/>
    <cellStyle name="Notiz 2 2 2 2 7 2" xfId="5729"/>
    <cellStyle name="Notiz 2 2 2 2 8" xfId="5692"/>
    <cellStyle name="Notiz 2 2 2 2_Grünland" xfId="3298"/>
    <cellStyle name="Notiz 2 2 2 3" xfId="2331"/>
    <cellStyle name="Notiz 2 2 2 3 2" xfId="2332"/>
    <cellStyle name="Notiz 2 2 2 3 2 2" xfId="2333"/>
    <cellStyle name="Notiz 2 2 2 3 2 2 2" xfId="2334"/>
    <cellStyle name="Notiz 2 2 2 3 2 2 2 2" xfId="5733"/>
    <cellStyle name="Notiz 2 2 2 3 2 2 3" xfId="2335"/>
    <cellStyle name="Notiz 2 2 2 3 2 2 3 2" xfId="5734"/>
    <cellStyle name="Notiz 2 2 2 3 2 2 4" xfId="2336"/>
    <cellStyle name="Notiz 2 2 2 3 2 2 4 2" xfId="5735"/>
    <cellStyle name="Notiz 2 2 2 3 2 2 5" xfId="2337"/>
    <cellStyle name="Notiz 2 2 2 3 2 2 5 2" xfId="5736"/>
    <cellStyle name="Notiz 2 2 2 3 2 2 6" xfId="2338"/>
    <cellStyle name="Notiz 2 2 2 3 2 2 6 2" xfId="5737"/>
    <cellStyle name="Notiz 2 2 2 3 2 2 7" xfId="5732"/>
    <cellStyle name="Notiz 2 2 2 3 2 2_Grünland" xfId="3307"/>
    <cellStyle name="Notiz 2 2 2 3 2 3" xfId="2339"/>
    <cellStyle name="Notiz 2 2 2 3 2 3 2" xfId="2340"/>
    <cellStyle name="Notiz 2 2 2 3 2 3 2 2" xfId="5739"/>
    <cellStyle name="Notiz 2 2 2 3 2 3 3" xfId="2341"/>
    <cellStyle name="Notiz 2 2 2 3 2 3 3 2" xfId="5740"/>
    <cellStyle name="Notiz 2 2 2 3 2 3 4" xfId="2342"/>
    <cellStyle name="Notiz 2 2 2 3 2 3 4 2" xfId="5741"/>
    <cellStyle name="Notiz 2 2 2 3 2 3 5" xfId="2343"/>
    <cellStyle name="Notiz 2 2 2 3 2 3 5 2" xfId="5742"/>
    <cellStyle name="Notiz 2 2 2 3 2 3 6" xfId="2344"/>
    <cellStyle name="Notiz 2 2 2 3 2 3 6 2" xfId="5743"/>
    <cellStyle name="Notiz 2 2 2 3 2 3 7" xfId="5738"/>
    <cellStyle name="Notiz 2 2 2 3 2 3_Grünland" xfId="3308"/>
    <cellStyle name="Notiz 2 2 2 3 2 4" xfId="2345"/>
    <cellStyle name="Notiz 2 2 2 3 2 4 2" xfId="5744"/>
    <cellStyle name="Notiz 2 2 2 3 2 5" xfId="2346"/>
    <cellStyle name="Notiz 2 2 2 3 2 5 2" xfId="5745"/>
    <cellStyle name="Notiz 2 2 2 3 2 6" xfId="2347"/>
    <cellStyle name="Notiz 2 2 2 3 2 6 2" xfId="5746"/>
    <cellStyle name="Notiz 2 2 2 3 2 7" xfId="2348"/>
    <cellStyle name="Notiz 2 2 2 3 2 7 2" xfId="5747"/>
    <cellStyle name="Notiz 2 2 2 3 2 8" xfId="2349"/>
    <cellStyle name="Notiz 2 2 2 3 2 8 2" xfId="5748"/>
    <cellStyle name="Notiz 2 2 2 3 2 9" xfId="5731"/>
    <cellStyle name="Notiz 2 2 2 3 2_Grünland" xfId="3306"/>
    <cellStyle name="Notiz 2 2 2 3 3" xfId="2350"/>
    <cellStyle name="Notiz 2 2 2 3 3 2" xfId="2351"/>
    <cellStyle name="Notiz 2 2 2 3 3 2 2" xfId="5750"/>
    <cellStyle name="Notiz 2 2 2 3 3 3" xfId="2352"/>
    <cellStyle name="Notiz 2 2 2 3 3 3 2" xfId="5751"/>
    <cellStyle name="Notiz 2 2 2 3 3 4" xfId="2353"/>
    <cellStyle name="Notiz 2 2 2 3 3 4 2" xfId="5752"/>
    <cellStyle name="Notiz 2 2 2 3 3 5" xfId="2354"/>
    <cellStyle name="Notiz 2 2 2 3 3 5 2" xfId="5753"/>
    <cellStyle name="Notiz 2 2 2 3 3 6" xfId="2355"/>
    <cellStyle name="Notiz 2 2 2 3 3 6 2" xfId="5754"/>
    <cellStyle name="Notiz 2 2 2 3 3 7" xfId="5749"/>
    <cellStyle name="Notiz 2 2 2 3 3_Grünland" xfId="3309"/>
    <cellStyle name="Notiz 2 2 2 3 4" xfId="2356"/>
    <cellStyle name="Notiz 2 2 2 3 4 2" xfId="2357"/>
    <cellStyle name="Notiz 2 2 2 3 4 2 2" xfId="5756"/>
    <cellStyle name="Notiz 2 2 2 3 4 3" xfId="2358"/>
    <cellStyle name="Notiz 2 2 2 3 4 3 2" xfId="5757"/>
    <cellStyle name="Notiz 2 2 2 3 4 4" xfId="2359"/>
    <cellStyle name="Notiz 2 2 2 3 4 4 2" xfId="5758"/>
    <cellStyle name="Notiz 2 2 2 3 4 5" xfId="2360"/>
    <cellStyle name="Notiz 2 2 2 3 4 5 2" xfId="5759"/>
    <cellStyle name="Notiz 2 2 2 3 4 6" xfId="2361"/>
    <cellStyle name="Notiz 2 2 2 3 4 6 2" xfId="5760"/>
    <cellStyle name="Notiz 2 2 2 3 4 7" xfId="5755"/>
    <cellStyle name="Notiz 2 2 2 3 4_Grünland" xfId="3310"/>
    <cellStyle name="Notiz 2 2 2 3 5" xfId="2362"/>
    <cellStyle name="Notiz 2 2 2 3 5 2" xfId="2363"/>
    <cellStyle name="Notiz 2 2 2 3 5 2 2" xfId="5762"/>
    <cellStyle name="Notiz 2 2 2 3 5 3" xfId="2364"/>
    <cellStyle name="Notiz 2 2 2 3 5 3 2" xfId="5763"/>
    <cellStyle name="Notiz 2 2 2 3 5 4" xfId="2365"/>
    <cellStyle name="Notiz 2 2 2 3 5 4 2" xfId="5764"/>
    <cellStyle name="Notiz 2 2 2 3 5 5" xfId="2366"/>
    <cellStyle name="Notiz 2 2 2 3 5 5 2" xfId="5765"/>
    <cellStyle name="Notiz 2 2 2 3 5 6" xfId="5761"/>
    <cellStyle name="Notiz 2 2 2 3 5_Grünland" xfId="3311"/>
    <cellStyle name="Notiz 2 2 2 3 6" xfId="2367"/>
    <cellStyle name="Notiz 2 2 2 3 6 2" xfId="5766"/>
    <cellStyle name="Notiz 2 2 2 3 7" xfId="2368"/>
    <cellStyle name="Notiz 2 2 2 3 7 2" xfId="5767"/>
    <cellStyle name="Notiz 2 2 2 3 8" xfId="5730"/>
    <cellStyle name="Notiz 2 2 2 3_Grünland" xfId="3305"/>
    <cellStyle name="Notiz 2 2 2 4" xfId="2369"/>
    <cellStyle name="Notiz 2 2 2 4 2" xfId="2370"/>
    <cellStyle name="Notiz 2 2 2 4 2 2" xfId="2371"/>
    <cellStyle name="Notiz 2 2 2 4 2 2 2" xfId="5770"/>
    <cellStyle name="Notiz 2 2 2 4 2 3" xfId="2372"/>
    <cellStyle name="Notiz 2 2 2 4 2 3 2" xfId="5771"/>
    <cellStyle name="Notiz 2 2 2 4 2 4" xfId="2373"/>
    <cellStyle name="Notiz 2 2 2 4 2 4 2" xfId="5772"/>
    <cellStyle name="Notiz 2 2 2 4 2 5" xfId="2374"/>
    <cellStyle name="Notiz 2 2 2 4 2 5 2" xfId="5773"/>
    <cellStyle name="Notiz 2 2 2 4 2 6" xfId="2375"/>
    <cellStyle name="Notiz 2 2 2 4 2 6 2" xfId="5774"/>
    <cellStyle name="Notiz 2 2 2 4 2 7" xfId="5769"/>
    <cellStyle name="Notiz 2 2 2 4 2_Grünland" xfId="3313"/>
    <cellStyle name="Notiz 2 2 2 4 3" xfId="2376"/>
    <cellStyle name="Notiz 2 2 2 4 3 2" xfId="2377"/>
    <cellStyle name="Notiz 2 2 2 4 3 2 2" xfId="5776"/>
    <cellStyle name="Notiz 2 2 2 4 3 3" xfId="2378"/>
    <cellStyle name="Notiz 2 2 2 4 3 3 2" xfId="5777"/>
    <cellStyle name="Notiz 2 2 2 4 3 4" xfId="2379"/>
    <cellStyle name="Notiz 2 2 2 4 3 4 2" xfId="5778"/>
    <cellStyle name="Notiz 2 2 2 4 3 5" xfId="2380"/>
    <cellStyle name="Notiz 2 2 2 4 3 5 2" xfId="5779"/>
    <cellStyle name="Notiz 2 2 2 4 3 6" xfId="2381"/>
    <cellStyle name="Notiz 2 2 2 4 3 6 2" xfId="5780"/>
    <cellStyle name="Notiz 2 2 2 4 3 7" xfId="5775"/>
    <cellStyle name="Notiz 2 2 2 4 3_Grünland" xfId="3314"/>
    <cellStyle name="Notiz 2 2 2 4 4" xfId="2382"/>
    <cellStyle name="Notiz 2 2 2 4 4 2" xfId="5781"/>
    <cellStyle name="Notiz 2 2 2 4 5" xfId="2383"/>
    <cellStyle name="Notiz 2 2 2 4 5 2" xfId="5782"/>
    <cellStyle name="Notiz 2 2 2 4 6" xfId="2384"/>
    <cellStyle name="Notiz 2 2 2 4 6 2" xfId="5783"/>
    <cellStyle name="Notiz 2 2 2 4 7" xfId="2385"/>
    <cellStyle name="Notiz 2 2 2 4 7 2" xfId="5784"/>
    <cellStyle name="Notiz 2 2 2 4 8" xfId="2386"/>
    <cellStyle name="Notiz 2 2 2 4 8 2" xfId="5785"/>
    <cellStyle name="Notiz 2 2 2 4 9" xfId="5768"/>
    <cellStyle name="Notiz 2 2 2 4_Grünland" xfId="3312"/>
    <cellStyle name="Notiz 2 2 2 5" xfId="2387"/>
    <cellStyle name="Notiz 2 2 2 5 2" xfId="2388"/>
    <cellStyle name="Notiz 2 2 2 5 2 2" xfId="5787"/>
    <cellStyle name="Notiz 2 2 2 5 3" xfId="2389"/>
    <cellStyle name="Notiz 2 2 2 5 3 2" xfId="5788"/>
    <cellStyle name="Notiz 2 2 2 5 4" xfId="2390"/>
    <cellStyle name="Notiz 2 2 2 5 4 2" xfId="5789"/>
    <cellStyle name="Notiz 2 2 2 5 5" xfId="2391"/>
    <cellStyle name="Notiz 2 2 2 5 5 2" xfId="5790"/>
    <cellStyle name="Notiz 2 2 2 5 6" xfId="2392"/>
    <cellStyle name="Notiz 2 2 2 5 6 2" xfId="5791"/>
    <cellStyle name="Notiz 2 2 2 5 7" xfId="5786"/>
    <cellStyle name="Notiz 2 2 2 5_Grünland" xfId="3315"/>
    <cellStyle name="Notiz 2 2 2 6" xfId="2393"/>
    <cellStyle name="Notiz 2 2 2 6 2" xfId="2394"/>
    <cellStyle name="Notiz 2 2 2 6 2 2" xfId="5793"/>
    <cellStyle name="Notiz 2 2 2 6 3" xfId="2395"/>
    <cellStyle name="Notiz 2 2 2 6 3 2" xfId="5794"/>
    <cellStyle name="Notiz 2 2 2 6 4" xfId="2396"/>
    <cellStyle name="Notiz 2 2 2 6 4 2" xfId="5795"/>
    <cellStyle name="Notiz 2 2 2 6 5" xfId="2397"/>
    <cellStyle name="Notiz 2 2 2 6 5 2" xfId="5796"/>
    <cellStyle name="Notiz 2 2 2 6 6" xfId="2398"/>
    <cellStyle name="Notiz 2 2 2 6 6 2" xfId="5797"/>
    <cellStyle name="Notiz 2 2 2 6 7" xfId="5792"/>
    <cellStyle name="Notiz 2 2 2 6_Grünland" xfId="3316"/>
    <cellStyle name="Notiz 2 2 2 7" xfId="2399"/>
    <cellStyle name="Notiz 2 2 2 7 2" xfId="5798"/>
    <cellStyle name="Notiz 2 2 2 8" xfId="2400"/>
    <cellStyle name="Notiz 2 2 2 8 2" xfId="5799"/>
    <cellStyle name="Notiz 2 2 2 9" xfId="5691"/>
    <cellStyle name="Notiz 2 2 2_Grünland" xfId="3297"/>
    <cellStyle name="Notiz 2 2 3" xfId="2401"/>
    <cellStyle name="Notiz 2 2 3 2" xfId="2402"/>
    <cellStyle name="Notiz 2 2 3 2 2" xfId="2403"/>
    <cellStyle name="Notiz 2 2 3 2 2 2" xfId="2404"/>
    <cellStyle name="Notiz 2 2 3 2 2 2 2" xfId="5803"/>
    <cellStyle name="Notiz 2 2 3 2 2 3" xfId="2405"/>
    <cellStyle name="Notiz 2 2 3 2 2 3 2" xfId="5804"/>
    <cellStyle name="Notiz 2 2 3 2 2 4" xfId="2406"/>
    <cellStyle name="Notiz 2 2 3 2 2 4 2" xfId="5805"/>
    <cellStyle name="Notiz 2 2 3 2 2 5" xfId="2407"/>
    <cellStyle name="Notiz 2 2 3 2 2 5 2" xfId="5806"/>
    <cellStyle name="Notiz 2 2 3 2 2 6" xfId="2408"/>
    <cellStyle name="Notiz 2 2 3 2 2 6 2" xfId="5807"/>
    <cellStyle name="Notiz 2 2 3 2 2 7" xfId="5802"/>
    <cellStyle name="Notiz 2 2 3 2 2_Grünland" xfId="3319"/>
    <cellStyle name="Notiz 2 2 3 2 3" xfId="2409"/>
    <cellStyle name="Notiz 2 2 3 2 3 2" xfId="2410"/>
    <cellStyle name="Notiz 2 2 3 2 3 2 2" xfId="5809"/>
    <cellStyle name="Notiz 2 2 3 2 3 3" xfId="2411"/>
    <cellStyle name="Notiz 2 2 3 2 3 3 2" xfId="5810"/>
    <cellStyle name="Notiz 2 2 3 2 3 4" xfId="2412"/>
    <cellStyle name="Notiz 2 2 3 2 3 4 2" xfId="5811"/>
    <cellStyle name="Notiz 2 2 3 2 3 5" xfId="2413"/>
    <cellStyle name="Notiz 2 2 3 2 3 5 2" xfId="5812"/>
    <cellStyle name="Notiz 2 2 3 2 3 6" xfId="2414"/>
    <cellStyle name="Notiz 2 2 3 2 3 6 2" xfId="5813"/>
    <cellStyle name="Notiz 2 2 3 2 3 7" xfId="5808"/>
    <cellStyle name="Notiz 2 2 3 2 3_Grünland" xfId="3320"/>
    <cellStyle name="Notiz 2 2 3 2 4" xfId="2415"/>
    <cellStyle name="Notiz 2 2 3 2 4 2" xfId="5814"/>
    <cellStyle name="Notiz 2 2 3 2 5" xfId="2416"/>
    <cellStyle name="Notiz 2 2 3 2 5 2" xfId="5815"/>
    <cellStyle name="Notiz 2 2 3 2 6" xfId="2417"/>
    <cellStyle name="Notiz 2 2 3 2 6 2" xfId="5816"/>
    <cellStyle name="Notiz 2 2 3 2 7" xfId="2418"/>
    <cellStyle name="Notiz 2 2 3 2 7 2" xfId="5817"/>
    <cellStyle name="Notiz 2 2 3 2 8" xfId="2419"/>
    <cellStyle name="Notiz 2 2 3 2 8 2" xfId="5818"/>
    <cellStyle name="Notiz 2 2 3 2 9" xfId="5801"/>
    <cellStyle name="Notiz 2 2 3 2_Grünland" xfId="3318"/>
    <cellStyle name="Notiz 2 2 3 3" xfId="2420"/>
    <cellStyle name="Notiz 2 2 3 3 2" xfId="2421"/>
    <cellStyle name="Notiz 2 2 3 3 2 2" xfId="5820"/>
    <cellStyle name="Notiz 2 2 3 3 3" xfId="2422"/>
    <cellStyle name="Notiz 2 2 3 3 3 2" xfId="5821"/>
    <cellStyle name="Notiz 2 2 3 3 4" xfId="2423"/>
    <cellStyle name="Notiz 2 2 3 3 4 2" xfId="5822"/>
    <cellStyle name="Notiz 2 2 3 3 5" xfId="2424"/>
    <cellStyle name="Notiz 2 2 3 3 5 2" xfId="5823"/>
    <cellStyle name="Notiz 2 2 3 3 6" xfId="2425"/>
    <cellStyle name="Notiz 2 2 3 3 6 2" xfId="5824"/>
    <cellStyle name="Notiz 2 2 3 3 7" xfId="5819"/>
    <cellStyle name="Notiz 2 2 3 3_Grünland" xfId="3321"/>
    <cellStyle name="Notiz 2 2 3 4" xfId="2426"/>
    <cellStyle name="Notiz 2 2 3 4 2" xfId="2427"/>
    <cellStyle name="Notiz 2 2 3 4 2 2" xfId="5826"/>
    <cellStyle name="Notiz 2 2 3 4 3" xfId="2428"/>
    <cellStyle name="Notiz 2 2 3 4 3 2" xfId="5827"/>
    <cellStyle name="Notiz 2 2 3 4 4" xfId="2429"/>
    <cellStyle name="Notiz 2 2 3 4 4 2" xfId="5828"/>
    <cellStyle name="Notiz 2 2 3 4 5" xfId="2430"/>
    <cellStyle name="Notiz 2 2 3 4 5 2" xfId="5829"/>
    <cellStyle name="Notiz 2 2 3 4 6" xfId="2431"/>
    <cellStyle name="Notiz 2 2 3 4 6 2" xfId="5830"/>
    <cellStyle name="Notiz 2 2 3 4 7" xfId="5825"/>
    <cellStyle name="Notiz 2 2 3 4_Grünland" xfId="3322"/>
    <cellStyle name="Notiz 2 2 3 5" xfId="2432"/>
    <cellStyle name="Notiz 2 2 3 5 2" xfId="2433"/>
    <cellStyle name="Notiz 2 2 3 5 2 2" xfId="5832"/>
    <cellStyle name="Notiz 2 2 3 5 3" xfId="2434"/>
    <cellStyle name="Notiz 2 2 3 5 3 2" xfId="5833"/>
    <cellStyle name="Notiz 2 2 3 5 4" xfId="2435"/>
    <cellStyle name="Notiz 2 2 3 5 4 2" xfId="5834"/>
    <cellStyle name="Notiz 2 2 3 5 5" xfId="2436"/>
    <cellStyle name="Notiz 2 2 3 5 5 2" xfId="5835"/>
    <cellStyle name="Notiz 2 2 3 5 6" xfId="5831"/>
    <cellStyle name="Notiz 2 2 3 5_Grünland" xfId="3323"/>
    <cellStyle name="Notiz 2 2 3 6" xfId="2437"/>
    <cellStyle name="Notiz 2 2 3 6 2" xfId="5836"/>
    <cellStyle name="Notiz 2 2 3 7" xfId="2438"/>
    <cellStyle name="Notiz 2 2 3 7 2" xfId="5837"/>
    <cellStyle name="Notiz 2 2 3 8" xfId="5800"/>
    <cellStyle name="Notiz 2 2 3_Grünland" xfId="3317"/>
    <cellStyle name="Notiz 2 2 4" xfId="2439"/>
    <cellStyle name="Notiz 2 2 4 2" xfId="2440"/>
    <cellStyle name="Notiz 2 2 4 2 2" xfId="2441"/>
    <cellStyle name="Notiz 2 2 4 2 2 2" xfId="2442"/>
    <cellStyle name="Notiz 2 2 4 2 2 2 2" xfId="5841"/>
    <cellStyle name="Notiz 2 2 4 2 2 3" xfId="2443"/>
    <cellStyle name="Notiz 2 2 4 2 2 3 2" xfId="5842"/>
    <cellStyle name="Notiz 2 2 4 2 2 4" xfId="2444"/>
    <cellStyle name="Notiz 2 2 4 2 2 4 2" xfId="5843"/>
    <cellStyle name="Notiz 2 2 4 2 2 5" xfId="2445"/>
    <cellStyle name="Notiz 2 2 4 2 2 5 2" xfId="5844"/>
    <cellStyle name="Notiz 2 2 4 2 2 6" xfId="2446"/>
    <cellStyle name="Notiz 2 2 4 2 2 6 2" xfId="5845"/>
    <cellStyle name="Notiz 2 2 4 2 2 7" xfId="5840"/>
    <cellStyle name="Notiz 2 2 4 2 2_Grünland" xfId="3326"/>
    <cellStyle name="Notiz 2 2 4 2 3" xfId="2447"/>
    <cellStyle name="Notiz 2 2 4 2 3 2" xfId="2448"/>
    <cellStyle name="Notiz 2 2 4 2 3 2 2" xfId="5847"/>
    <cellStyle name="Notiz 2 2 4 2 3 3" xfId="2449"/>
    <cellStyle name="Notiz 2 2 4 2 3 3 2" xfId="5848"/>
    <cellStyle name="Notiz 2 2 4 2 3 4" xfId="2450"/>
    <cellStyle name="Notiz 2 2 4 2 3 4 2" xfId="5849"/>
    <cellStyle name="Notiz 2 2 4 2 3 5" xfId="2451"/>
    <cellStyle name="Notiz 2 2 4 2 3 5 2" xfId="5850"/>
    <cellStyle name="Notiz 2 2 4 2 3 6" xfId="2452"/>
    <cellStyle name="Notiz 2 2 4 2 3 6 2" xfId="5851"/>
    <cellStyle name="Notiz 2 2 4 2 3 7" xfId="5846"/>
    <cellStyle name="Notiz 2 2 4 2 3_Grünland" xfId="3327"/>
    <cellStyle name="Notiz 2 2 4 2 4" xfId="2453"/>
    <cellStyle name="Notiz 2 2 4 2 4 2" xfId="5852"/>
    <cellStyle name="Notiz 2 2 4 2 5" xfId="2454"/>
    <cellStyle name="Notiz 2 2 4 2 5 2" xfId="5853"/>
    <cellStyle name="Notiz 2 2 4 2 6" xfId="2455"/>
    <cellStyle name="Notiz 2 2 4 2 6 2" xfId="5854"/>
    <cellStyle name="Notiz 2 2 4 2 7" xfId="2456"/>
    <cellStyle name="Notiz 2 2 4 2 7 2" xfId="5855"/>
    <cellStyle name="Notiz 2 2 4 2 8" xfId="2457"/>
    <cellStyle name="Notiz 2 2 4 2 8 2" xfId="5856"/>
    <cellStyle name="Notiz 2 2 4 2 9" xfId="5839"/>
    <cellStyle name="Notiz 2 2 4 2_Grünland" xfId="3325"/>
    <cellStyle name="Notiz 2 2 4 3" xfId="2458"/>
    <cellStyle name="Notiz 2 2 4 3 2" xfId="2459"/>
    <cellStyle name="Notiz 2 2 4 3 2 2" xfId="5858"/>
    <cellStyle name="Notiz 2 2 4 3 3" xfId="2460"/>
    <cellStyle name="Notiz 2 2 4 3 3 2" xfId="5859"/>
    <cellStyle name="Notiz 2 2 4 3 4" xfId="2461"/>
    <cellStyle name="Notiz 2 2 4 3 4 2" xfId="5860"/>
    <cellStyle name="Notiz 2 2 4 3 5" xfId="2462"/>
    <cellStyle name="Notiz 2 2 4 3 5 2" xfId="5861"/>
    <cellStyle name="Notiz 2 2 4 3 6" xfId="2463"/>
    <cellStyle name="Notiz 2 2 4 3 6 2" xfId="5862"/>
    <cellStyle name="Notiz 2 2 4 3 7" xfId="5857"/>
    <cellStyle name="Notiz 2 2 4 3_Grünland" xfId="3328"/>
    <cellStyle name="Notiz 2 2 4 4" xfId="2464"/>
    <cellStyle name="Notiz 2 2 4 4 2" xfId="2465"/>
    <cellStyle name="Notiz 2 2 4 4 2 2" xfId="5864"/>
    <cellStyle name="Notiz 2 2 4 4 3" xfId="2466"/>
    <cellStyle name="Notiz 2 2 4 4 3 2" xfId="5865"/>
    <cellStyle name="Notiz 2 2 4 4 4" xfId="2467"/>
    <cellStyle name="Notiz 2 2 4 4 4 2" xfId="5866"/>
    <cellStyle name="Notiz 2 2 4 4 5" xfId="2468"/>
    <cellStyle name="Notiz 2 2 4 4 5 2" xfId="5867"/>
    <cellStyle name="Notiz 2 2 4 4 6" xfId="2469"/>
    <cellStyle name="Notiz 2 2 4 4 6 2" xfId="5868"/>
    <cellStyle name="Notiz 2 2 4 4 7" xfId="5863"/>
    <cellStyle name="Notiz 2 2 4 4_Grünland" xfId="3329"/>
    <cellStyle name="Notiz 2 2 4 5" xfId="2470"/>
    <cellStyle name="Notiz 2 2 4 5 2" xfId="2471"/>
    <cellStyle name="Notiz 2 2 4 5 2 2" xfId="5870"/>
    <cellStyle name="Notiz 2 2 4 5 3" xfId="2472"/>
    <cellStyle name="Notiz 2 2 4 5 3 2" xfId="5871"/>
    <cellStyle name="Notiz 2 2 4 5 4" xfId="2473"/>
    <cellStyle name="Notiz 2 2 4 5 4 2" xfId="5872"/>
    <cellStyle name="Notiz 2 2 4 5 5" xfId="2474"/>
    <cellStyle name="Notiz 2 2 4 5 5 2" xfId="5873"/>
    <cellStyle name="Notiz 2 2 4 5 6" xfId="5869"/>
    <cellStyle name="Notiz 2 2 4 5_Grünland" xfId="3330"/>
    <cellStyle name="Notiz 2 2 4 6" xfId="2475"/>
    <cellStyle name="Notiz 2 2 4 6 2" xfId="5874"/>
    <cellStyle name="Notiz 2 2 4 7" xfId="2476"/>
    <cellStyle name="Notiz 2 2 4 7 2" xfId="5875"/>
    <cellStyle name="Notiz 2 2 4 8" xfId="5838"/>
    <cellStyle name="Notiz 2 2 4_Grünland" xfId="3324"/>
    <cellStyle name="Notiz 2 2 5" xfId="2477"/>
    <cellStyle name="Notiz 2 2 5 2" xfId="2478"/>
    <cellStyle name="Notiz 2 2 5 2 2" xfId="2479"/>
    <cellStyle name="Notiz 2 2 5 2 2 2" xfId="5878"/>
    <cellStyle name="Notiz 2 2 5 2 3" xfId="2480"/>
    <cellStyle name="Notiz 2 2 5 2 3 2" xfId="5879"/>
    <cellStyle name="Notiz 2 2 5 2 4" xfId="2481"/>
    <cellStyle name="Notiz 2 2 5 2 4 2" xfId="5880"/>
    <cellStyle name="Notiz 2 2 5 2 5" xfId="2482"/>
    <cellStyle name="Notiz 2 2 5 2 5 2" xfId="5881"/>
    <cellStyle name="Notiz 2 2 5 2 6" xfId="2483"/>
    <cellStyle name="Notiz 2 2 5 2 6 2" xfId="5882"/>
    <cellStyle name="Notiz 2 2 5 2 7" xfId="5877"/>
    <cellStyle name="Notiz 2 2 5 2_Grünland" xfId="3332"/>
    <cellStyle name="Notiz 2 2 5 3" xfId="2484"/>
    <cellStyle name="Notiz 2 2 5 3 2" xfId="2485"/>
    <cellStyle name="Notiz 2 2 5 3 2 2" xfId="5884"/>
    <cellStyle name="Notiz 2 2 5 3 3" xfId="2486"/>
    <cellStyle name="Notiz 2 2 5 3 3 2" xfId="5885"/>
    <cellStyle name="Notiz 2 2 5 3 4" xfId="2487"/>
    <cellStyle name="Notiz 2 2 5 3 4 2" xfId="5886"/>
    <cellStyle name="Notiz 2 2 5 3 5" xfId="2488"/>
    <cellStyle name="Notiz 2 2 5 3 5 2" xfId="5887"/>
    <cellStyle name="Notiz 2 2 5 3 6" xfId="2489"/>
    <cellStyle name="Notiz 2 2 5 3 6 2" xfId="5888"/>
    <cellStyle name="Notiz 2 2 5 3 7" xfId="5883"/>
    <cellStyle name="Notiz 2 2 5 3_Grünland" xfId="3333"/>
    <cellStyle name="Notiz 2 2 5 4" xfId="2490"/>
    <cellStyle name="Notiz 2 2 5 4 2" xfId="5889"/>
    <cellStyle name="Notiz 2 2 5 5" xfId="2491"/>
    <cellStyle name="Notiz 2 2 5 5 2" xfId="5890"/>
    <cellStyle name="Notiz 2 2 5 6" xfId="2492"/>
    <cellStyle name="Notiz 2 2 5 6 2" xfId="5891"/>
    <cellStyle name="Notiz 2 2 5 7" xfId="2493"/>
    <cellStyle name="Notiz 2 2 5 7 2" xfId="5892"/>
    <cellStyle name="Notiz 2 2 5 8" xfId="2494"/>
    <cellStyle name="Notiz 2 2 5 8 2" xfId="5893"/>
    <cellStyle name="Notiz 2 2 5 9" xfId="5876"/>
    <cellStyle name="Notiz 2 2 5_Grünland" xfId="3331"/>
    <cellStyle name="Notiz 2 2 6" xfId="2495"/>
    <cellStyle name="Notiz 2 2 6 2" xfId="2496"/>
    <cellStyle name="Notiz 2 2 6 2 2" xfId="2497"/>
    <cellStyle name="Notiz 2 2 6 2 2 2" xfId="5896"/>
    <cellStyle name="Notiz 2 2 6 2 3" xfId="2498"/>
    <cellStyle name="Notiz 2 2 6 2 3 2" xfId="5897"/>
    <cellStyle name="Notiz 2 2 6 2 4" xfId="2499"/>
    <cellStyle name="Notiz 2 2 6 2 4 2" xfId="5898"/>
    <cellStyle name="Notiz 2 2 6 2 5" xfId="2500"/>
    <cellStyle name="Notiz 2 2 6 2 5 2" xfId="5899"/>
    <cellStyle name="Notiz 2 2 6 2 6" xfId="2501"/>
    <cellStyle name="Notiz 2 2 6 2 6 2" xfId="5900"/>
    <cellStyle name="Notiz 2 2 6 2 7" xfId="5895"/>
    <cellStyle name="Notiz 2 2 6 2_Grünland" xfId="3335"/>
    <cellStyle name="Notiz 2 2 6 3" xfId="2502"/>
    <cellStyle name="Notiz 2 2 6 3 2" xfId="2503"/>
    <cellStyle name="Notiz 2 2 6 3 2 2" xfId="5902"/>
    <cellStyle name="Notiz 2 2 6 3 3" xfId="2504"/>
    <cellStyle name="Notiz 2 2 6 3 3 2" xfId="5903"/>
    <cellStyle name="Notiz 2 2 6 3 4" xfId="2505"/>
    <cellStyle name="Notiz 2 2 6 3 4 2" xfId="5904"/>
    <cellStyle name="Notiz 2 2 6 3 5" xfId="2506"/>
    <cellStyle name="Notiz 2 2 6 3 5 2" xfId="5905"/>
    <cellStyle name="Notiz 2 2 6 3 6" xfId="2507"/>
    <cellStyle name="Notiz 2 2 6 3 6 2" xfId="5906"/>
    <cellStyle name="Notiz 2 2 6 3 7" xfId="5901"/>
    <cellStyle name="Notiz 2 2 6 3_Grünland" xfId="3336"/>
    <cellStyle name="Notiz 2 2 6 4" xfId="2508"/>
    <cellStyle name="Notiz 2 2 6 4 2" xfId="5907"/>
    <cellStyle name="Notiz 2 2 6 5" xfId="2509"/>
    <cellStyle name="Notiz 2 2 6 5 2" xfId="5908"/>
    <cellStyle name="Notiz 2 2 6 6" xfId="2510"/>
    <cellStyle name="Notiz 2 2 6 6 2" xfId="5909"/>
    <cellStyle name="Notiz 2 2 6 7" xfId="2511"/>
    <cellStyle name="Notiz 2 2 6 7 2" xfId="5910"/>
    <cellStyle name="Notiz 2 2 6 8" xfId="2512"/>
    <cellStyle name="Notiz 2 2 6 8 2" xfId="5911"/>
    <cellStyle name="Notiz 2 2 6 9" xfId="5894"/>
    <cellStyle name="Notiz 2 2 6_Grünland" xfId="3334"/>
    <cellStyle name="Notiz 2 2 7" xfId="2513"/>
    <cellStyle name="Notiz 2 2 7 2" xfId="2514"/>
    <cellStyle name="Notiz 2 2 7 2 2" xfId="5913"/>
    <cellStyle name="Notiz 2 2 7 3" xfId="2515"/>
    <cellStyle name="Notiz 2 2 7 3 2" xfId="5914"/>
    <cellStyle name="Notiz 2 2 7 4" xfId="2516"/>
    <cellStyle name="Notiz 2 2 7 4 2" xfId="5915"/>
    <cellStyle name="Notiz 2 2 7 5" xfId="2517"/>
    <cellStyle name="Notiz 2 2 7 5 2" xfId="5916"/>
    <cellStyle name="Notiz 2 2 7 6" xfId="2518"/>
    <cellStyle name="Notiz 2 2 7 6 2" xfId="5917"/>
    <cellStyle name="Notiz 2 2 7 7" xfId="5912"/>
    <cellStyle name="Notiz 2 2 7_Grünland" xfId="3337"/>
    <cellStyle name="Notiz 2 2 8" xfId="2519"/>
    <cellStyle name="Notiz 2 2 8 2" xfId="2520"/>
    <cellStyle name="Notiz 2 2 8 2 2" xfId="5919"/>
    <cellStyle name="Notiz 2 2 8 3" xfId="2521"/>
    <cellStyle name="Notiz 2 2 8 3 2" xfId="5920"/>
    <cellStyle name="Notiz 2 2 8 4" xfId="2522"/>
    <cellStyle name="Notiz 2 2 8 4 2" xfId="5921"/>
    <cellStyle name="Notiz 2 2 8 5" xfId="2523"/>
    <cellStyle name="Notiz 2 2 8 5 2" xfId="5922"/>
    <cellStyle name="Notiz 2 2 8 6" xfId="2524"/>
    <cellStyle name="Notiz 2 2 8 6 2" xfId="5923"/>
    <cellStyle name="Notiz 2 2 8 7" xfId="5918"/>
    <cellStyle name="Notiz 2 2 8_Grünland" xfId="3338"/>
    <cellStyle name="Notiz 2 2 9" xfId="2525"/>
    <cellStyle name="Notiz 2 2 9 2" xfId="2526"/>
    <cellStyle name="Notiz 2 2 9 2 2" xfId="5925"/>
    <cellStyle name="Notiz 2 2 9 3" xfId="2527"/>
    <cellStyle name="Notiz 2 2 9 3 2" xfId="5926"/>
    <cellStyle name="Notiz 2 2 9 4" xfId="2528"/>
    <cellStyle name="Notiz 2 2 9 4 2" xfId="5927"/>
    <cellStyle name="Notiz 2 2 9 5" xfId="2529"/>
    <cellStyle name="Notiz 2 2 9 5 2" xfId="5928"/>
    <cellStyle name="Notiz 2 2 9 6" xfId="2530"/>
    <cellStyle name="Notiz 2 2 9 6 2" xfId="5929"/>
    <cellStyle name="Notiz 2 2 9 7" xfId="5924"/>
    <cellStyle name="Notiz 2 2 9_Grünland" xfId="3339"/>
    <cellStyle name="Notiz 2 2_Grünland" xfId="3296"/>
    <cellStyle name="Notiz 2 3" xfId="2531"/>
    <cellStyle name="Notiz 2 3 2" xfId="2532"/>
    <cellStyle name="Notiz 2 3 2 2" xfId="2533"/>
    <cellStyle name="Notiz 2 3 2 2 2" xfId="2534"/>
    <cellStyle name="Notiz 2 3 2 2 2 2" xfId="2535"/>
    <cellStyle name="Notiz 2 3 2 2 2 2 2" xfId="5934"/>
    <cellStyle name="Notiz 2 3 2 2 2 3" xfId="2536"/>
    <cellStyle name="Notiz 2 3 2 2 2 3 2" xfId="5935"/>
    <cellStyle name="Notiz 2 3 2 2 2 4" xfId="2537"/>
    <cellStyle name="Notiz 2 3 2 2 2 4 2" xfId="5936"/>
    <cellStyle name="Notiz 2 3 2 2 2 5" xfId="2538"/>
    <cellStyle name="Notiz 2 3 2 2 2 5 2" xfId="5937"/>
    <cellStyle name="Notiz 2 3 2 2 2 6" xfId="2539"/>
    <cellStyle name="Notiz 2 3 2 2 2 6 2" xfId="5938"/>
    <cellStyle name="Notiz 2 3 2 2 2 7" xfId="5933"/>
    <cellStyle name="Notiz 2 3 2 2 2_Grünland" xfId="3343"/>
    <cellStyle name="Notiz 2 3 2 2 3" xfId="2540"/>
    <cellStyle name="Notiz 2 3 2 2 3 2" xfId="2541"/>
    <cellStyle name="Notiz 2 3 2 2 3 2 2" xfId="5940"/>
    <cellStyle name="Notiz 2 3 2 2 3 3" xfId="2542"/>
    <cellStyle name="Notiz 2 3 2 2 3 3 2" xfId="5941"/>
    <cellStyle name="Notiz 2 3 2 2 3 4" xfId="2543"/>
    <cellStyle name="Notiz 2 3 2 2 3 4 2" xfId="5942"/>
    <cellStyle name="Notiz 2 3 2 2 3 5" xfId="2544"/>
    <cellStyle name="Notiz 2 3 2 2 3 5 2" xfId="5943"/>
    <cellStyle name="Notiz 2 3 2 2 3 6" xfId="2545"/>
    <cellStyle name="Notiz 2 3 2 2 3 6 2" xfId="5944"/>
    <cellStyle name="Notiz 2 3 2 2 3 7" xfId="5939"/>
    <cellStyle name="Notiz 2 3 2 2 3_Grünland" xfId="3344"/>
    <cellStyle name="Notiz 2 3 2 2 4" xfId="2546"/>
    <cellStyle name="Notiz 2 3 2 2 4 2" xfId="5945"/>
    <cellStyle name="Notiz 2 3 2 2 5" xfId="2547"/>
    <cellStyle name="Notiz 2 3 2 2 5 2" xfId="5946"/>
    <cellStyle name="Notiz 2 3 2 2 6" xfId="2548"/>
    <cellStyle name="Notiz 2 3 2 2 6 2" xfId="5947"/>
    <cellStyle name="Notiz 2 3 2 2 7" xfId="2549"/>
    <cellStyle name="Notiz 2 3 2 2 7 2" xfId="5948"/>
    <cellStyle name="Notiz 2 3 2 2 8" xfId="2550"/>
    <cellStyle name="Notiz 2 3 2 2 8 2" xfId="5949"/>
    <cellStyle name="Notiz 2 3 2 2 9" xfId="5932"/>
    <cellStyle name="Notiz 2 3 2 2_Grünland" xfId="3342"/>
    <cellStyle name="Notiz 2 3 2 3" xfId="2551"/>
    <cellStyle name="Notiz 2 3 2 3 2" xfId="2552"/>
    <cellStyle name="Notiz 2 3 2 3 2 2" xfId="5951"/>
    <cellStyle name="Notiz 2 3 2 3 3" xfId="2553"/>
    <cellStyle name="Notiz 2 3 2 3 3 2" xfId="5952"/>
    <cellStyle name="Notiz 2 3 2 3 4" xfId="2554"/>
    <cellStyle name="Notiz 2 3 2 3 4 2" xfId="5953"/>
    <cellStyle name="Notiz 2 3 2 3 5" xfId="2555"/>
    <cellStyle name="Notiz 2 3 2 3 5 2" xfId="5954"/>
    <cellStyle name="Notiz 2 3 2 3 6" xfId="2556"/>
    <cellStyle name="Notiz 2 3 2 3 6 2" xfId="5955"/>
    <cellStyle name="Notiz 2 3 2 3 7" xfId="5950"/>
    <cellStyle name="Notiz 2 3 2 3_Grünland" xfId="3345"/>
    <cellStyle name="Notiz 2 3 2 4" xfId="2557"/>
    <cellStyle name="Notiz 2 3 2 4 2" xfId="2558"/>
    <cellStyle name="Notiz 2 3 2 4 2 2" xfId="5957"/>
    <cellStyle name="Notiz 2 3 2 4 3" xfId="2559"/>
    <cellStyle name="Notiz 2 3 2 4 3 2" xfId="5958"/>
    <cellStyle name="Notiz 2 3 2 4 4" xfId="2560"/>
    <cellStyle name="Notiz 2 3 2 4 4 2" xfId="5959"/>
    <cellStyle name="Notiz 2 3 2 4 5" xfId="2561"/>
    <cellStyle name="Notiz 2 3 2 4 5 2" xfId="5960"/>
    <cellStyle name="Notiz 2 3 2 4 6" xfId="2562"/>
    <cellStyle name="Notiz 2 3 2 4 6 2" xfId="5961"/>
    <cellStyle name="Notiz 2 3 2 4 7" xfId="5956"/>
    <cellStyle name="Notiz 2 3 2 4_Grünland" xfId="3346"/>
    <cellStyle name="Notiz 2 3 2 5" xfId="2563"/>
    <cellStyle name="Notiz 2 3 2 5 2" xfId="2564"/>
    <cellStyle name="Notiz 2 3 2 5 2 2" xfId="5963"/>
    <cellStyle name="Notiz 2 3 2 5 3" xfId="2565"/>
    <cellStyle name="Notiz 2 3 2 5 3 2" xfId="5964"/>
    <cellStyle name="Notiz 2 3 2 5 4" xfId="2566"/>
    <cellStyle name="Notiz 2 3 2 5 4 2" xfId="5965"/>
    <cellStyle name="Notiz 2 3 2 5 5" xfId="2567"/>
    <cellStyle name="Notiz 2 3 2 5 5 2" xfId="5966"/>
    <cellStyle name="Notiz 2 3 2 5 6" xfId="5962"/>
    <cellStyle name="Notiz 2 3 2 5_Grünland" xfId="3347"/>
    <cellStyle name="Notiz 2 3 2 6" xfId="2568"/>
    <cellStyle name="Notiz 2 3 2 6 2" xfId="5967"/>
    <cellStyle name="Notiz 2 3 2 7" xfId="2569"/>
    <cellStyle name="Notiz 2 3 2 7 2" xfId="5968"/>
    <cellStyle name="Notiz 2 3 2 8" xfId="5931"/>
    <cellStyle name="Notiz 2 3 2_Grünland" xfId="3341"/>
    <cellStyle name="Notiz 2 3 3" xfId="2570"/>
    <cellStyle name="Notiz 2 3 3 2" xfId="2571"/>
    <cellStyle name="Notiz 2 3 3 2 2" xfId="2572"/>
    <cellStyle name="Notiz 2 3 3 2 2 2" xfId="2573"/>
    <cellStyle name="Notiz 2 3 3 2 2 2 2" xfId="5972"/>
    <cellStyle name="Notiz 2 3 3 2 2 3" xfId="2574"/>
    <cellStyle name="Notiz 2 3 3 2 2 3 2" xfId="5973"/>
    <cellStyle name="Notiz 2 3 3 2 2 4" xfId="2575"/>
    <cellStyle name="Notiz 2 3 3 2 2 4 2" xfId="5974"/>
    <cellStyle name="Notiz 2 3 3 2 2 5" xfId="2576"/>
    <cellStyle name="Notiz 2 3 3 2 2 5 2" xfId="5975"/>
    <cellStyle name="Notiz 2 3 3 2 2 6" xfId="2577"/>
    <cellStyle name="Notiz 2 3 3 2 2 6 2" xfId="5976"/>
    <cellStyle name="Notiz 2 3 3 2 2 7" xfId="5971"/>
    <cellStyle name="Notiz 2 3 3 2 2_Grünland" xfId="3350"/>
    <cellStyle name="Notiz 2 3 3 2 3" xfId="2578"/>
    <cellStyle name="Notiz 2 3 3 2 3 2" xfId="2579"/>
    <cellStyle name="Notiz 2 3 3 2 3 2 2" xfId="5978"/>
    <cellStyle name="Notiz 2 3 3 2 3 3" xfId="2580"/>
    <cellStyle name="Notiz 2 3 3 2 3 3 2" xfId="5979"/>
    <cellStyle name="Notiz 2 3 3 2 3 4" xfId="2581"/>
    <cellStyle name="Notiz 2 3 3 2 3 4 2" xfId="5980"/>
    <cellStyle name="Notiz 2 3 3 2 3 5" xfId="2582"/>
    <cellStyle name="Notiz 2 3 3 2 3 5 2" xfId="5981"/>
    <cellStyle name="Notiz 2 3 3 2 3 6" xfId="2583"/>
    <cellStyle name="Notiz 2 3 3 2 3 6 2" xfId="5982"/>
    <cellStyle name="Notiz 2 3 3 2 3 7" xfId="5977"/>
    <cellStyle name="Notiz 2 3 3 2 3_Grünland" xfId="3351"/>
    <cellStyle name="Notiz 2 3 3 2 4" xfId="2584"/>
    <cellStyle name="Notiz 2 3 3 2 4 2" xfId="5983"/>
    <cellStyle name="Notiz 2 3 3 2 5" xfId="2585"/>
    <cellStyle name="Notiz 2 3 3 2 5 2" xfId="5984"/>
    <cellStyle name="Notiz 2 3 3 2 6" xfId="2586"/>
    <cellStyle name="Notiz 2 3 3 2 6 2" xfId="5985"/>
    <cellStyle name="Notiz 2 3 3 2 7" xfId="2587"/>
    <cellStyle name="Notiz 2 3 3 2 7 2" xfId="5986"/>
    <cellStyle name="Notiz 2 3 3 2 8" xfId="2588"/>
    <cellStyle name="Notiz 2 3 3 2 8 2" xfId="5987"/>
    <cellStyle name="Notiz 2 3 3 2 9" xfId="5970"/>
    <cellStyle name="Notiz 2 3 3 2_Grünland" xfId="3349"/>
    <cellStyle name="Notiz 2 3 3 3" xfId="2589"/>
    <cellStyle name="Notiz 2 3 3 3 2" xfId="2590"/>
    <cellStyle name="Notiz 2 3 3 3 2 2" xfId="5989"/>
    <cellStyle name="Notiz 2 3 3 3 3" xfId="2591"/>
    <cellStyle name="Notiz 2 3 3 3 3 2" xfId="5990"/>
    <cellStyle name="Notiz 2 3 3 3 4" xfId="2592"/>
    <cellStyle name="Notiz 2 3 3 3 4 2" xfId="5991"/>
    <cellStyle name="Notiz 2 3 3 3 5" xfId="2593"/>
    <cellStyle name="Notiz 2 3 3 3 5 2" xfId="5992"/>
    <cellStyle name="Notiz 2 3 3 3 6" xfId="2594"/>
    <cellStyle name="Notiz 2 3 3 3 6 2" xfId="5993"/>
    <cellStyle name="Notiz 2 3 3 3 7" xfId="5988"/>
    <cellStyle name="Notiz 2 3 3 3_Grünland" xfId="3352"/>
    <cellStyle name="Notiz 2 3 3 4" xfId="2595"/>
    <cellStyle name="Notiz 2 3 3 4 2" xfId="2596"/>
    <cellStyle name="Notiz 2 3 3 4 2 2" xfId="5995"/>
    <cellStyle name="Notiz 2 3 3 4 3" xfId="2597"/>
    <cellStyle name="Notiz 2 3 3 4 3 2" xfId="5996"/>
    <cellStyle name="Notiz 2 3 3 4 4" xfId="2598"/>
    <cellStyle name="Notiz 2 3 3 4 4 2" xfId="5997"/>
    <cellStyle name="Notiz 2 3 3 4 5" xfId="2599"/>
    <cellStyle name="Notiz 2 3 3 4 5 2" xfId="5998"/>
    <cellStyle name="Notiz 2 3 3 4 6" xfId="2600"/>
    <cellStyle name="Notiz 2 3 3 4 6 2" xfId="5999"/>
    <cellStyle name="Notiz 2 3 3 4 7" xfId="5994"/>
    <cellStyle name="Notiz 2 3 3 4_Grünland" xfId="3353"/>
    <cellStyle name="Notiz 2 3 3 5" xfId="2601"/>
    <cellStyle name="Notiz 2 3 3 5 2" xfId="2602"/>
    <cellStyle name="Notiz 2 3 3 5 2 2" xfId="6001"/>
    <cellStyle name="Notiz 2 3 3 5 3" xfId="2603"/>
    <cellStyle name="Notiz 2 3 3 5 3 2" xfId="6002"/>
    <cellStyle name="Notiz 2 3 3 5 4" xfId="2604"/>
    <cellStyle name="Notiz 2 3 3 5 4 2" xfId="6003"/>
    <cellStyle name="Notiz 2 3 3 5 5" xfId="2605"/>
    <cellStyle name="Notiz 2 3 3 5 5 2" xfId="6004"/>
    <cellStyle name="Notiz 2 3 3 5 6" xfId="6000"/>
    <cellStyle name="Notiz 2 3 3 5_Grünland" xfId="3354"/>
    <cellStyle name="Notiz 2 3 3 6" xfId="2606"/>
    <cellStyle name="Notiz 2 3 3 6 2" xfId="6005"/>
    <cellStyle name="Notiz 2 3 3 7" xfId="2607"/>
    <cellStyle name="Notiz 2 3 3 7 2" xfId="6006"/>
    <cellStyle name="Notiz 2 3 3 8" xfId="5969"/>
    <cellStyle name="Notiz 2 3 3_Grünland" xfId="3348"/>
    <cellStyle name="Notiz 2 3 4" xfId="2608"/>
    <cellStyle name="Notiz 2 3 4 2" xfId="2609"/>
    <cellStyle name="Notiz 2 3 4 2 2" xfId="2610"/>
    <cellStyle name="Notiz 2 3 4 2 2 2" xfId="6009"/>
    <cellStyle name="Notiz 2 3 4 2 3" xfId="2611"/>
    <cellStyle name="Notiz 2 3 4 2 3 2" xfId="6010"/>
    <cellStyle name="Notiz 2 3 4 2 4" xfId="2612"/>
    <cellStyle name="Notiz 2 3 4 2 4 2" xfId="6011"/>
    <cellStyle name="Notiz 2 3 4 2 5" xfId="2613"/>
    <cellStyle name="Notiz 2 3 4 2 5 2" xfId="6012"/>
    <cellStyle name="Notiz 2 3 4 2 6" xfId="2614"/>
    <cellStyle name="Notiz 2 3 4 2 6 2" xfId="6013"/>
    <cellStyle name="Notiz 2 3 4 2 7" xfId="6008"/>
    <cellStyle name="Notiz 2 3 4 2_Grünland" xfId="3356"/>
    <cellStyle name="Notiz 2 3 4 3" xfId="2615"/>
    <cellStyle name="Notiz 2 3 4 3 2" xfId="2616"/>
    <cellStyle name="Notiz 2 3 4 3 2 2" xfId="6015"/>
    <cellStyle name="Notiz 2 3 4 3 3" xfId="2617"/>
    <cellStyle name="Notiz 2 3 4 3 3 2" xfId="6016"/>
    <cellStyle name="Notiz 2 3 4 3 4" xfId="2618"/>
    <cellStyle name="Notiz 2 3 4 3 4 2" xfId="6017"/>
    <cellStyle name="Notiz 2 3 4 3 5" xfId="2619"/>
    <cellStyle name="Notiz 2 3 4 3 5 2" xfId="6018"/>
    <cellStyle name="Notiz 2 3 4 3 6" xfId="2620"/>
    <cellStyle name="Notiz 2 3 4 3 6 2" xfId="6019"/>
    <cellStyle name="Notiz 2 3 4 3 7" xfId="6014"/>
    <cellStyle name="Notiz 2 3 4 3_Grünland" xfId="3357"/>
    <cellStyle name="Notiz 2 3 4 4" xfId="2621"/>
    <cellStyle name="Notiz 2 3 4 4 2" xfId="6020"/>
    <cellStyle name="Notiz 2 3 4 5" xfId="2622"/>
    <cellStyle name="Notiz 2 3 4 5 2" xfId="6021"/>
    <cellStyle name="Notiz 2 3 4 6" xfId="2623"/>
    <cellStyle name="Notiz 2 3 4 6 2" xfId="6022"/>
    <cellStyle name="Notiz 2 3 4 7" xfId="2624"/>
    <cellStyle name="Notiz 2 3 4 7 2" xfId="6023"/>
    <cellStyle name="Notiz 2 3 4 8" xfId="2625"/>
    <cellStyle name="Notiz 2 3 4 8 2" xfId="6024"/>
    <cellStyle name="Notiz 2 3 4 9" xfId="6007"/>
    <cellStyle name="Notiz 2 3 4_Grünland" xfId="3355"/>
    <cellStyle name="Notiz 2 3 5" xfId="2626"/>
    <cellStyle name="Notiz 2 3 5 2" xfId="2627"/>
    <cellStyle name="Notiz 2 3 5 2 2" xfId="6026"/>
    <cellStyle name="Notiz 2 3 5 3" xfId="2628"/>
    <cellStyle name="Notiz 2 3 5 3 2" xfId="6027"/>
    <cellStyle name="Notiz 2 3 5 4" xfId="2629"/>
    <cellStyle name="Notiz 2 3 5 4 2" xfId="6028"/>
    <cellStyle name="Notiz 2 3 5 5" xfId="2630"/>
    <cellStyle name="Notiz 2 3 5 5 2" xfId="6029"/>
    <cellStyle name="Notiz 2 3 5 6" xfId="2631"/>
    <cellStyle name="Notiz 2 3 5 6 2" xfId="6030"/>
    <cellStyle name="Notiz 2 3 5 7" xfId="6025"/>
    <cellStyle name="Notiz 2 3 5_Grünland" xfId="3358"/>
    <cellStyle name="Notiz 2 3 6" xfId="2632"/>
    <cellStyle name="Notiz 2 3 6 2" xfId="2633"/>
    <cellStyle name="Notiz 2 3 6 2 2" xfId="6032"/>
    <cellStyle name="Notiz 2 3 6 3" xfId="2634"/>
    <cellStyle name="Notiz 2 3 6 3 2" xfId="6033"/>
    <cellStyle name="Notiz 2 3 6 4" xfId="2635"/>
    <cellStyle name="Notiz 2 3 6 4 2" xfId="6034"/>
    <cellStyle name="Notiz 2 3 6 5" xfId="2636"/>
    <cellStyle name="Notiz 2 3 6 5 2" xfId="6035"/>
    <cellStyle name="Notiz 2 3 6 6" xfId="2637"/>
    <cellStyle name="Notiz 2 3 6 6 2" xfId="6036"/>
    <cellStyle name="Notiz 2 3 6 7" xfId="6031"/>
    <cellStyle name="Notiz 2 3 6_Grünland" xfId="3359"/>
    <cellStyle name="Notiz 2 3 7" xfId="2638"/>
    <cellStyle name="Notiz 2 3 7 2" xfId="6037"/>
    <cellStyle name="Notiz 2 3 8" xfId="2639"/>
    <cellStyle name="Notiz 2 3 8 2" xfId="6038"/>
    <cellStyle name="Notiz 2 3 9" xfId="5930"/>
    <cellStyle name="Notiz 2 3_Grünland" xfId="3340"/>
    <cellStyle name="Notiz 2 4" xfId="2640"/>
    <cellStyle name="Notiz 2 4 2" xfId="2641"/>
    <cellStyle name="Notiz 2 4 2 2" xfId="2642"/>
    <cellStyle name="Notiz 2 4 2 2 2" xfId="2643"/>
    <cellStyle name="Notiz 2 4 2 2 2 2" xfId="6042"/>
    <cellStyle name="Notiz 2 4 2 2 3" xfId="2644"/>
    <cellStyle name="Notiz 2 4 2 2 3 2" xfId="6043"/>
    <cellStyle name="Notiz 2 4 2 2 4" xfId="2645"/>
    <cellStyle name="Notiz 2 4 2 2 4 2" xfId="6044"/>
    <cellStyle name="Notiz 2 4 2 2 5" xfId="2646"/>
    <cellStyle name="Notiz 2 4 2 2 5 2" xfId="6045"/>
    <cellStyle name="Notiz 2 4 2 2 6" xfId="2647"/>
    <cellStyle name="Notiz 2 4 2 2 6 2" xfId="6046"/>
    <cellStyle name="Notiz 2 4 2 2 7" xfId="6041"/>
    <cellStyle name="Notiz 2 4 2 2_Grünland" xfId="3362"/>
    <cellStyle name="Notiz 2 4 2 3" xfId="2648"/>
    <cellStyle name="Notiz 2 4 2 3 2" xfId="2649"/>
    <cellStyle name="Notiz 2 4 2 3 2 2" xfId="6048"/>
    <cellStyle name="Notiz 2 4 2 3 3" xfId="2650"/>
    <cellStyle name="Notiz 2 4 2 3 3 2" xfId="6049"/>
    <cellStyle name="Notiz 2 4 2 3 4" xfId="2651"/>
    <cellStyle name="Notiz 2 4 2 3 4 2" xfId="6050"/>
    <cellStyle name="Notiz 2 4 2 3 5" xfId="2652"/>
    <cellStyle name="Notiz 2 4 2 3 5 2" xfId="6051"/>
    <cellStyle name="Notiz 2 4 2 3 6" xfId="2653"/>
    <cellStyle name="Notiz 2 4 2 3 6 2" xfId="6052"/>
    <cellStyle name="Notiz 2 4 2 3 7" xfId="6047"/>
    <cellStyle name="Notiz 2 4 2 3_Grünland" xfId="3363"/>
    <cellStyle name="Notiz 2 4 2 4" xfId="2654"/>
    <cellStyle name="Notiz 2 4 2 4 2" xfId="6053"/>
    <cellStyle name="Notiz 2 4 2 5" xfId="2655"/>
    <cellStyle name="Notiz 2 4 2 5 2" xfId="6054"/>
    <cellStyle name="Notiz 2 4 2 6" xfId="2656"/>
    <cellStyle name="Notiz 2 4 2 6 2" xfId="6055"/>
    <cellStyle name="Notiz 2 4 2 7" xfId="2657"/>
    <cellStyle name="Notiz 2 4 2 7 2" xfId="6056"/>
    <cellStyle name="Notiz 2 4 2 8" xfId="2658"/>
    <cellStyle name="Notiz 2 4 2 8 2" xfId="6057"/>
    <cellStyle name="Notiz 2 4 2 9" xfId="6040"/>
    <cellStyle name="Notiz 2 4 2_Grünland" xfId="3361"/>
    <cellStyle name="Notiz 2 4 3" xfId="2659"/>
    <cellStyle name="Notiz 2 4 3 2" xfId="2660"/>
    <cellStyle name="Notiz 2 4 3 2 2" xfId="6059"/>
    <cellStyle name="Notiz 2 4 3 3" xfId="2661"/>
    <cellStyle name="Notiz 2 4 3 3 2" xfId="6060"/>
    <cellStyle name="Notiz 2 4 3 4" xfId="2662"/>
    <cellStyle name="Notiz 2 4 3 4 2" xfId="6061"/>
    <cellStyle name="Notiz 2 4 3 5" xfId="2663"/>
    <cellStyle name="Notiz 2 4 3 5 2" xfId="6062"/>
    <cellStyle name="Notiz 2 4 3 6" xfId="2664"/>
    <cellStyle name="Notiz 2 4 3 6 2" xfId="6063"/>
    <cellStyle name="Notiz 2 4 3 7" xfId="6058"/>
    <cellStyle name="Notiz 2 4 3_Grünland" xfId="3364"/>
    <cellStyle name="Notiz 2 4 4" xfId="2665"/>
    <cellStyle name="Notiz 2 4 4 2" xfId="2666"/>
    <cellStyle name="Notiz 2 4 4 2 2" xfId="6065"/>
    <cellStyle name="Notiz 2 4 4 3" xfId="2667"/>
    <cellStyle name="Notiz 2 4 4 3 2" xfId="6066"/>
    <cellStyle name="Notiz 2 4 4 4" xfId="2668"/>
    <cellStyle name="Notiz 2 4 4 4 2" xfId="6067"/>
    <cellStyle name="Notiz 2 4 4 5" xfId="2669"/>
    <cellStyle name="Notiz 2 4 4 5 2" xfId="6068"/>
    <cellStyle name="Notiz 2 4 4 6" xfId="2670"/>
    <cellStyle name="Notiz 2 4 4 6 2" xfId="6069"/>
    <cellStyle name="Notiz 2 4 4 7" xfId="6064"/>
    <cellStyle name="Notiz 2 4 4_Grünland" xfId="3365"/>
    <cellStyle name="Notiz 2 4 5" xfId="2671"/>
    <cellStyle name="Notiz 2 4 5 2" xfId="2672"/>
    <cellStyle name="Notiz 2 4 5 2 2" xfId="6071"/>
    <cellStyle name="Notiz 2 4 5 3" xfId="2673"/>
    <cellStyle name="Notiz 2 4 5 3 2" xfId="6072"/>
    <cellStyle name="Notiz 2 4 5 4" xfId="2674"/>
    <cellStyle name="Notiz 2 4 5 4 2" xfId="6073"/>
    <cellStyle name="Notiz 2 4 5 5" xfId="2675"/>
    <cellStyle name="Notiz 2 4 5 5 2" xfId="6074"/>
    <cellStyle name="Notiz 2 4 5 6" xfId="6070"/>
    <cellStyle name="Notiz 2 4 5_Grünland" xfId="3366"/>
    <cellStyle name="Notiz 2 4 6" xfId="2676"/>
    <cellStyle name="Notiz 2 4 6 2" xfId="6075"/>
    <cellStyle name="Notiz 2 4 7" xfId="2677"/>
    <cellStyle name="Notiz 2 4 7 2" xfId="6076"/>
    <cellStyle name="Notiz 2 4 8" xfId="6039"/>
    <cellStyle name="Notiz 2 4_Grünland" xfId="3360"/>
    <cellStyle name="Notiz 2 5" xfId="2678"/>
    <cellStyle name="Notiz 2 5 2" xfId="2679"/>
    <cellStyle name="Notiz 2 5 2 2" xfId="2680"/>
    <cellStyle name="Notiz 2 5 2 2 2" xfId="2681"/>
    <cellStyle name="Notiz 2 5 2 2 2 2" xfId="6080"/>
    <cellStyle name="Notiz 2 5 2 2 3" xfId="2682"/>
    <cellStyle name="Notiz 2 5 2 2 3 2" xfId="6081"/>
    <cellStyle name="Notiz 2 5 2 2 4" xfId="2683"/>
    <cellStyle name="Notiz 2 5 2 2 4 2" xfId="6082"/>
    <cellStyle name="Notiz 2 5 2 2 5" xfId="2684"/>
    <cellStyle name="Notiz 2 5 2 2 5 2" xfId="6083"/>
    <cellStyle name="Notiz 2 5 2 2 6" xfId="2685"/>
    <cellStyle name="Notiz 2 5 2 2 6 2" xfId="6084"/>
    <cellStyle name="Notiz 2 5 2 2 7" xfId="6079"/>
    <cellStyle name="Notiz 2 5 2 2_Grünland" xfId="3369"/>
    <cellStyle name="Notiz 2 5 2 3" xfId="2686"/>
    <cellStyle name="Notiz 2 5 2 3 2" xfId="2687"/>
    <cellStyle name="Notiz 2 5 2 3 2 2" xfId="6086"/>
    <cellStyle name="Notiz 2 5 2 3 3" xfId="2688"/>
    <cellStyle name="Notiz 2 5 2 3 3 2" xfId="6087"/>
    <cellStyle name="Notiz 2 5 2 3 4" xfId="2689"/>
    <cellStyle name="Notiz 2 5 2 3 4 2" xfId="6088"/>
    <cellStyle name="Notiz 2 5 2 3 5" xfId="2690"/>
    <cellStyle name="Notiz 2 5 2 3 5 2" xfId="6089"/>
    <cellStyle name="Notiz 2 5 2 3 6" xfId="2691"/>
    <cellStyle name="Notiz 2 5 2 3 6 2" xfId="6090"/>
    <cellStyle name="Notiz 2 5 2 3 7" xfId="6085"/>
    <cellStyle name="Notiz 2 5 2 3_Grünland" xfId="3370"/>
    <cellStyle name="Notiz 2 5 2 4" xfId="2692"/>
    <cellStyle name="Notiz 2 5 2 4 2" xfId="6091"/>
    <cellStyle name="Notiz 2 5 2 5" xfId="2693"/>
    <cellStyle name="Notiz 2 5 2 5 2" xfId="6092"/>
    <cellStyle name="Notiz 2 5 2 6" xfId="2694"/>
    <cellStyle name="Notiz 2 5 2 6 2" xfId="6093"/>
    <cellStyle name="Notiz 2 5 2 7" xfId="2695"/>
    <cellStyle name="Notiz 2 5 2 7 2" xfId="6094"/>
    <cellStyle name="Notiz 2 5 2 8" xfId="2696"/>
    <cellStyle name="Notiz 2 5 2 8 2" xfId="6095"/>
    <cellStyle name="Notiz 2 5 2 9" xfId="6078"/>
    <cellStyle name="Notiz 2 5 2_Grünland" xfId="3368"/>
    <cellStyle name="Notiz 2 5 3" xfId="2697"/>
    <cellStyle name="Notiz 2 5 3 2" xfId="2698"/>
    <cellStyle name="Notiz 2 5 3 2 2" xfId="6097"/>
    <cellStyle name="Notiz 2 5 3 3" xfId="2699"/>
    <cellStyle name="Notiz 2 5 3 3 2" xfId="6098"/>
    <cellStyle name="Notiz 2 5 3 4" xfId="2700"/>
    <cellStyle name="Notiz 2 5 3 4 2" xfId="6099"/>
    <cellStyle name="Notiz 2 5 3 5" xfId="2701"/>
    <cellStyle name="Notiz 2 5 3 5 2" xfId="6100"/>
    <cellStyle name="Notiz 2 5 3 6" xfId="2702"/>
    <cellStyle name="Notiz 2 5 3 6 2" xfId="6101"/>
    <cellStyle name="Notiz 2 5 3 7" xfId="6096"/>
    <cellStyle name="Notiz 2 5 3_Grünland" xfId="3371"/>
    <cellStyle name="Notiz 2 5 4" xfId="2703"/>
    <cellStyle name="Notiz 2 5 4 2" xfId="2704"/>
    <cellStyle name="Notiz 2 5 4 2 2" xfId="6103"/>
    <cellStyle name="Notiz 2 5 4 3" xfId="2705"/>
    <cellStyle name="Notiz 2 5 4 3 2" xfId="6104"/>
    <cellStyle name="Notiz 2 5 4 4" xfId="2706"/>
    <cellStyle name="Notiz 2 5 4 4 2" xfId="6105"/>
    <cellStyle name="Notiz 2 5 4 5" xfId="2707"/>
    <cellStyle name="Notiz 2 5 4 5 2" xfId="6106"/>
    <cellStyle name="Notiz 2 5 4 6" xfId="2708"/>
    <cellStyle name="Notiz 2 5 4 6 2" xfId="6107"/>
    <cellStyle name="Notiz 2 5 4 7" xfId="6102"/>
    <cellStyle name="Notiz 2 5 4_Grünland" xfId="3372"/>
    <cellStyle name="Notiz 2 5 5" xfId="2709"/>
    <cellStyle name="Notiz 2 5 5 2" xfId="2710"/>
    <cellStyle name="Notiz 2 5 5 2 2" xfId="6109"/>
    <cellStyle name="Notiz 2 5 5 3" xfId="2711"/>
    <cellStyle name="Notiz 2 5 5 3 2" xfId="6110"/>
    <cellStyle name="Notiz 2 5 5 4" xfId="2712"/>
    <cellStyle name="Notiz 2 5 5 4 2" xfId="6111"/>
    <cellStyle name="Notiz 2 5 5 5" xfId="2713"/>
    <cellStyle name="Notiz 2 5 5 5 2" xfId="6112"/>
    <cellStyle name="Notiz 2 5 5 6" xfId="6108"/>
    <cellStyle name="Notiz 2 5 5_Grünland" xfId="3373"/>
    <cellStyle name="Notiz 2 5 6" xfId="2714"/>
    <cellStyle name="Notiz 2 5 6 2" xfId="6113"/>
    <cellStyle name="Notiz 2 5 7" xfId="2715"/>
    <cellStyle name="Notiz 2 5 7 2" xfId="6114"/>
    <cellStyle name="Notiz 2 5 8" xfId="6077"/>
    <cellStyle name="Notiz 2 5_Grünland" xfId="3367"/>
    <cellStyle name="Notiz 2 6" xfId="2716"/>
    <cellStyle name="Notiz 2 6 2" xfId="2717"/>
    <cellStyle name="Notiz 2 6 2 2" xfId="2718"/>
    <cellStyle name="Notiz 2 6 2 2 2" xfId="6117"/>
    <cellStyle name="Notiz 2 6 2 3" xfId="2719"/>
    <cellStyle name="Notiz 2 6 2 3 2" xfId="6118"/>
    <cellStyle name="Notiz 2 6 2 4" xfId="2720"/>
    <cellStyle name="Notiz 2 6 2 4 2" xfId="6119"/>
    <cellStyle name="Notiz 2 6 2 5" xfId="2721"/>
    <cellStyle name="Notiz 2 6 2 5 2" xfId="6120"/>
    <cellStyle name="Notiz 2 6 2 6" xfId="2722"/>
    <cellStyle name="Notiz 2 6 2 6 2" xfId="6121"/>
    <cellStyle name="Notiz 2 6 2 7" xfId="6116"/>
    <cellStyle name="Notiz 2 6 2_Grünland" xfId="3375"/>
    <cellStyle name="Notiz 2 6 3" xfId="2723"/>
    <cellStyle name="Notiz 2 6 3 2" xfId="2724"/>
    <cellStyle name="Notiz 2 6 3 2 2" xfId="6123"/>
    <cellStyle name="Notiz 2 6 3 3" xfId="2725"/>
    <cellStyle name="Notiz 2 6 3 3 2" xfId="6124"/>
    <cellStyle name="Notiz 2 6 3 4" xfId="2726"/>
    <cellStyle name="Notiz 2 6 3 4 2" xfId="6125"/>
    <cellStyle name="Notiz 2 6 3 5" xfId="2727"/>
    <cellStyle name="Notiz 2 6 3 5 2" xfId="6126"/>
    <cellStyle name="Notiz 2 6 3 6" xfId="2728"/>
    <cellStyle name="Notiz 2 6 3 6 2" xfId="6127"/>
    <cellStyle name="Notiz 2 6 3 7" xfId="6122"/>
    <cellStyle name="Notiz 2 6 3_Grünland" xfId="3376"/>
    <cellStyle name="Notiz 2 6 4" xfId="2729"/>
    <cellStyle name="Notiz 2 6 4 2" xfId="6128"/>
    <cellStyle name="Notiz 2 6 5" xfId="2730"/>
    <cellStyle name="Notiz 2 6 5 2" xfId="6129"/>
    <cellStyle name="Notiz 2 6 6" xfId="2731"/>
    <cellStyle name="Notiz 2 6 6 2" xfId="6130"/>
    <cellStyle name="Notiz 2 6 7" xfId="2732"/>
    <cellStyle name="Notiz 2 6 7 2" xfId="6131"/>
    <cellStyle name="Notiz 2 6 8" xfId="2733"/>
    <cellStyle name="Notiz 2 6 8 2" xfId="6132"/>
    <cellStyle name="Notiz 2 6 9" xfId="6115"/>
    <cellStyle name="Notiz 2 6_Grünland" xfId="3374"/>
    <cellStyle name="Notiz 2 7" xfId="2734"/>
    <cellStyle name="Notiz 2 7 2" xfId="2735"/>
    <cellStyle name="Notiz 2 7 2 2" xfId="2736"/>
    <cellStyle name="Notiz 2 7 2 2 2" xfId="6135"/>
    <cellStyle name="Notiz 2 7 2 3" xfId="2737"/>
    <cellStyle name="Notiz 2 7 2 3 2" xfId="6136"/>
    <cellStyle name="Notiz 2 7 2 4" xfId="2738"/>
    <cellStyle name="Notiz 2 7 2 4 2" xfId="6137"/>
    <cellStyle name="Notiz 2 7 2 5" xfId="2739"/>
    <cellStyle name="Notiz 2 7 2 5 2" xfId="6138"/>
    <cellStyle name="Notiz 2 7 2 6" xfId="2740"/>
    <cellStyle name="Notiz 2 7 2 6 2" xfId="6139"/>
    <cellStyle name="Notiz 2 7 2 7" xfId="6134"/>
    <cellStyle name="Notiz 2 7 2_Grünland" xfId="3378"/>
    <cellStyle name="Notiz 2 7 3" xfId="2741"/>
    <cellStyle name="Notiz 2 7 3 2" xfId="2742"/>
    <cellStyle name="Notiz 2 7 3 2 2" xfId="6141"/>
    <cellStyle name="Notiz 2 7 3 3" xfId="2743"/>
    <cellStyle name="Notiz 2 7 3 3 2" xfId="6142"/>
    <cellStyle name="Notiz 2 7 3 4" xfId="2744"/>
    <cellStyle name="Notiz 2 7 3 4 2" xfId="6143"/>
    <cellStyle name="Notiz 2 7 3 5" xfId="2745"/>
    <cellStyle name="Notiz 2 7 3 5 2" xfId="6144"/>
    <cellStyle name="Notiz 2 7 3 6" xfId="2746"/>
    <cellStyle name="Notiz 2 7 3 6 2" xfId="6145"/>
    <cellStyle name="Notiz 2 7 3 7" xfId="6140"/>
    <cellStyle name="Notiz 2 7 3_Grünland" xfId="3379"/>
    <cellStyle name="Notiz 2 7 4" xfId="2747"/>
    <cellStyle name="Notiz 2 7 4 2" xfId="6146"/>
    <cellStyle name="Notiz 2 7 5" xfId="2748"/>
    <cellStyle name="Notiz 2 7 5 2" xfId="6147"/>
    <cellStyle name="Notiz 2 7 6" xfId="2749"/>
    <cellStyle name="Notiz 2 7 6 2" xfId="6148"/>
    <cellStyle name="Notiz 2 7 7" xfId="2750"/>
    <cellStyle name="Notiz 2 7 7 2" xfId="6149"/>
    <cellStyle name="Notiz 2 7 8" xfId="2751"/>
    <cellStyle name="Notiz 2 7 8 2" xfId="6150"/>
    <cellStyle name="Notiz 2 7 9" xfId="6133"/>
    <cellStyle name="Notiz 2 7_Grünland" xfId="3377"/>
    <cellStyle name="Notiz 2 8" xfId="2752"/>
    <cellStyle name="Notiz 2 8 2" xfId="2753"/>
    <cellStyle name="Notiz 2 8 2 2" xfId="6152"/>
    <cellStyle name="Notiz 2 8 3" xfId="2754"/>
    <cellStyle name="Notiz 2 8 3 2" xfId="6153"/>
    <cellStyle name="Notiz 2 8 4" xfId="2755"/>
    <cellStyle name="Notiz 2 8 4 2" xfId="6154"/>
    <cellStyle name="Notiz 2 8 5" xfId="2756"/>
    <cellStyle name="Notiz 2 8 5 2" xfId="6155"/>
    <cellStyle name="Notiz 2 8 6" xfId="2757"/>
    <cellStyle name="Notiz 2 8 6 2" xfId="6156"/>
    <cellStyle name="Notiz 2 8 7" xfId="6151"/>
    <cellStyle name="Notiz 2 8_Grünland" xfId="3380"/>
    <cellStyle name="Notiz 2 9" xfId="2758"/>
    <cellStyle name="Notiz 2 9 2" xfId="2759"/>
    <cellStyle name="Notiz 2 9 2 2" xfId="6158"/>
    <cellStyle name="Notiz 2 9 3" xfId="2760"/>
    <cellStyle name="Notiz 2 9 3 2" xfId="6159"/>
    <cellStyle name="Notiz 2 9 4" xfId="2761"/>
    <cellStyle name="Notiz 2 9 4 2" xfId="6160"/>
    <cellStyle name="Notiz 2 9 5" xfId="2762"/>
    <cellStyle name="Notiz 2 9 5 2" xfId="6161"/>
    <cellStyle name="Notiz 2 9 6" xfId="2763"/>
    <cellStyle name="Notiz 2 9 6 2" xfId="6162"/>
    <cellStyle name="Notiz 2 9 7" xfId="6157"/>
    <cellStyle name="Notiz 2 9_Grünland" xfId="3381"/>
    <cellStyle name="Notiz 2_Grünland" xfId="3294"/>
    <cellStyle name="Prozent" xfId="2764" builtinId="5"/>
    <cellStyle name="Prozent 2" xfId="2765"/>
    <cellStyle name="Prozent 3" xfId="2766"/>
    <cellStyle name="Prozent 4" xfId="2767"/>
    <cellStyle name="Prozent 5" xfId="2768"/>
    <cellStyle name="Prozent 6" xfId="2769"/>
    <cellStyle name="Prozent 7" xfId="2770"/>
    <cellStyle name="Schlecht 2" xfId="2771"/>
    <cellStyle name="Standard" xfId="0" builtinId="0"/>
    <cellStyle name="Standard 10" xfId="2772"/>
    <cellStyle name="Standard 10 2" xfId="2773"/>
    <cellStyle name="Standard 10 2 2" xfId="2774"/>
    <cellStyle name="Standard 10 2 2 2" xfId="2775"/>
    <cellStyle name="Standard 10 2 2 2 2" xfId="2776"/>
    <cellStyle name="Standard 10 2 2 2 2 2" xfId="6167"/>
    <cellStyle name="Standard 10 2 2 2 3" xfId="6166"/>
    <cellStyle name="Standard 10 2 2 2_Grünland" xfId="3385"/>
    <cellStyle name="Standard 10 2 2 3" xfId="2777"/>
    <cellStyle name="Standard 10 2 2 3 2" xfId="6168"/>
    <cellStyle name="Standard 10 2 2 4" xfId="2778"/>
    <cellStyle name="Standard 10 2 2 4 2" xfId="6169"/>
    <cellStyle name="Standard 10 2 2 5" xfId="6165"/>
    <cellStyle name="Standard 10 2 2_Grünland" xfId="3384"/>
    <cellStyle name="Standard 10 2 3" xfId="2779"/>
    <cellStyle name="Standard 10 2 3 2" xfId="2780"/>
    <cellStyle name="Standard 10 2 3 2 2" xfId="6171"/>
    <cellStyle name="Standard 10 2 3 3" xfId="2781"/>
    <cellStyle name="Standard 10 2 3 3 2" xfId="6172"/>
    <cellStyle name="Standard 10 2 3 4" xfId="6170"/>
    <cellStyle name="Standard 10 2 3_Grünland" xfId="3386"/>
    <cellStyle name="Standard 10 2 4" xfId="2782"/>
    <cellStyle name="Standard 10 2 4 2" xfId="2783"/>
    <cellStyle name="Standard 10 2 4 2 2" xfId="6174"/>
    <cellStyle name="Standard 10 2 4 3" xfId="6173"/>
    <cellStyle name="Standard 10 2 4_Grünland" xfId="3387"/>
    <cellStyle name="Standard 10 2 5" xfId="2784"/>
    <cellStyle name="Standard 10 2 5 2" xfId="6175"/>
    <cellStyle name="Standard 10 2 6" xfId="2785"/>
    <cellStyle name="Standard 10 2 6 2" xfId="6176"/>
    <cellStyle name="Standard 10 2 7" xfId="6164"/>
    <cellStyle name="Standard 10 2_Grünland" xfId="3383"/>
    <cellStyle name="Standard 10 3" xfId="2786"/>
    <cellStyle name="Standard 10 3 2" xfId="2787"/>
    <cellStyle name="Standard 10 3 2 2" xfId="2788"/>
    <cellStyle name="Standard 10 3 2 2 2" xfId="6179"/>
    <cellStyle name="Standard 10 3 2 3" xfId="6178"/>
    <cellStyle name="Standard 10 3 2_Grünland" xfId="3389"/>
    <cellStyle name="Standard 10 3 3" xfId="2789"/>
    <cellStyle name="Standard 10 3 3 2" xfId="6180"/>
    <cellStyle name="Standard 10 3 4" xfId="2790"/>
    <cellStyle name="Standard 10 3 4 2" xfId="6181"/>
    <cellStyle name="Standard 10 3 5" xfId="6177"/>
    <cellStyle name="Standard 10 3_Grünland" xfId="3388"/>
    <cellStyle name="Standard 10 4" xfId="2791"/>
    <cellStyle name="Standard 10 4 2" xfId="2792"/>
    <cellStyle name="Standard 10 4 2 2" xfId="6183"/>
    <cellStyle name="Standard 10 4 3" xfId="6182"/>
    <cellStyle name="Standard 10 4_Grünland" xfId="3390"/>
    <cellStyle name="Standard 10 5" xfId="2793"/>
    <cellStyle name="Standard 10 5 2" xfId="2794"/>
    <cellStyle name="Standard 10 5 2 2" xfId="6185"/>
    <cellStyle name="Standard 10 5 3" xfId="6184"/>
    <cellStyle name="Standard 10 5_Grünland" xfId="3391"/>
    <cellStyle name="Standard 10 6" xfId="2795"/>
    <cellStyle name="Standard 10 6 2" xfId="6186"/>
    <cellStyle name="Standard 10 7" xfId="6163"/>
    <cellStyle name="Standard 10_Grünland" xfId="3382"/>
    <cellStyle name="Standard 11" xfId="2796"/>
    <cellStyle name="Standard 11 2" xfId="2797"/>
    <cellStyle name="Standard 11 2 2" xfId="2798"/>
    <cellStyle name="Standard 11 2 2 2" xfId="2799"/>
    <cellStyle name="Standard 11 2 2 2 2" xfId="6190"/>
    <cellStyle name="Standard 11 2 2 3" xfId="6189"/>
    <cellStyle name="Standard 11 2 2_Grünland" xfId="3394"/>
    <cellStyle name="Standard 11 2 3" xfId="2800"/>
    <cellStyle name="Standard 11 2 3 2" xfId="6191"/>
    <cellStyle name="Standard 11 2 4" xfId="2801"/>
    <cellStyle name="Standard 11 2 4 2" xfId="6192"/>
    <cellStyle name="Standard 11 2 5" xfId="6188"/>
    <cellStyle name="Standard 11 2_Grünland" xfId="3393"/>
    <cellStyle name="Standard 11 3" xfId="2802"/>
    <cellStyle name="Standard 11 3 2" xfId="2803"/>
    <cellStyle name="Standard 11 3 2 2" xfId="6194"/>
    <cellStyle name="Standard 11 3 3" xfId="2804"/>
    <cellStyle name="Standard 11 3 3 2" xfId="6195"/>
    <cellStyle name="Standard 11 3 4" xfId="6193"/>
    <cellStyle name="Standard 11 3_Grünland" xfId="3395"/>
    <cellStyle name="Standard 11 4" xfId="2805"/>
    <cellStyle name="Standard 11 4 2" xfId="2806"/>
    <cellStyle name="Standard 11 4 2 2" xfId="6197"/>
    <cellStyle name="Standard 11 4 3" xfId="6196"/>
    <cellStyle name="Standard 11 4_Grünland" xfId="3396"/>
    <cellStyle name="Standard 11 5" xfId="2807"/>
    <cellStyle name="Standard 11 5 2" xfId="2808"/>
    <cellStyle name="Standard 11 5 2 2" xfId="6199"/>
    <cellStyle name="Standard 11 5 3" xfId="6198"/>
    <cellStyle name="Standard 11 5_Grünland" xfId="3397"/>
    <cellStyle name="Standard 11 6" xfId="2809"/>
    <cellStyle name="Standard 11 6 2" xfId="6200"/>
    <cellStyle name="Standard 11 7" xfId="6187"/>
    <cellStyle name="Standard 11_Grünland" xfId="3392"/>
    <cellStyle name="Standard 12" xfId="2810"/>
    <cellStyle name="Standard 12 2" xfId="2811"/>
    <cellStyle name="Standard 12 3" xfId="2812"/>
    <cellStyle name="Standard 12 3 2" xfId="2813"/>
    <cellStyle name="Standard 12 3 2 2" xfId="6201"/>
    <cellStyle name="Standard 12_Grünland" xfId="3398"/>
    <cellStyle name="Standard 13" xfId="2814"/>
    <cellStyle name="Standard 14" xfId="2815"/>
    <cellStyle name="Standard 14 2" xfId="2816"/>
    <cellStyle name="Standard 14 2 2" xfId="2817"/>
    <cellStyle name="Standard 14 2 2 2" xfId="6204"/>
    <cellStyle name="Standard 14 2 3" xfId="6203"/>
    <cellStyle name="Standard 14 2_Grünland" xfId="3400"/>
    <cellStyle name="Standard 14 3" xfId="2818"/>
    <cellStyle name="Standard 14 3 2" xfId="6205"/>
    <cellStyle name="Standard 14 4" xfId="2819"/>
    <cellStyle name="Standard 14 4 2" xfId="6206"/>
    <cellStyle name="Standard 14 5" xfId="6202"/>
    <cellStyle name="Standard 14_Grünland" xfId="3399"/>
    <cellStyle name="Standard 15" xfId="2820"/>
    <cellStyle name="Standard 15 2" xfId="6207"/>
    <cellStyle name="Standard 2" xfId="2821"/>
    <cellStyle name="Standard 2 2" xfId="2822"/>
    <cellStyle name="Standard 2 3" xfId="2823"/>
    <cellStyle name="Standard 3" xfId="2824"/>
    <cellStyle name="Standard 4" xfId="2825"/>
    <cellStyle name="Standard 4 2" xfId="2826"/>
    <cellStyle name="Standard 4 2 2" xfId="2827"/>
    <cellStyle name="Standard 4 2 2 2" xfId="6210"/>
    <cellStyle name="Standard 4 2 3" xfId="6209"/>
    <cellStyle name="Standard 4 2_Grünland" xfId="3402"/>
    <cellStyle name="Standard 4 3" xfId="2828"/>
    <cellStyle name="Standard 4 3 2" xfId="6211"/>
    <cellStyle name="Standard 4 4" xfId="6208"/>
    <cellStyle name="Standard 4_Grünland" xfId="3401"/>
    <cellStyle name="Standard 5" xfId="2829"/>
    <cellStyle name="Standard 6" xfId="2830"/>
    <cellStyle name="Standard 6 2" xfId="6212"/>
    <cellStyle name="Standard 7" xfId="2831"/>
    <cellStyle name="Standard 8" xfId="2832"/>
    <cellStyle name="Standard 8 2" xfId="2833"/>
    <cellStyle name="Standard 8 2 2" xfId="2834"/>
    <cellStyle name="Standard 8 2 2 2" xfId="2835"/>
    <cellStyle name="Standard 8 2 2 2 2" xfId="2836"/>
    <cellStyle name="Standard 8 2 2 2 2 2" xfId="2837"/>
    <cellStyle name="Standard 8 2 2 2 2 2 2" xfId="6218"/>
    <cellStyle name="Standard 8 2 2 2 2 3" xfId="6217"/>
    <cellStyle name="Standard 8 2 2 2 2_Grünland" xfId="3407"/>
    <cellStyle name="Standard 8 2 2 2 3" xfId="2838"/>
    <cellStyle name="Standard 8 2 2 2 3 2" xfId="6219"/>
    <cellStyle name="Standard 8 2 2 2 4" xfId="2839"/>
    <cellStyle name="Standard 8 2 2 2 4 2" xfId="6220"/>
    <cellStyle name="Standard 8 2 2 2 5" xfId="6216"/>
    <cellStyle name="Standard 8 2 2 2_Grünland" xfId="3406"/>
    <cellStyle name="Standard 8 2 2 3" xfId="2840"/>
    <cellStyle name="Standard 8 2 2 3 2" xfId="2841"/>
    <cellStyle name="Standard 8 2 2 3 2 2" xfId="6222"/>
    <cellStyle name="Standard 8 2 2 3 3" xfId="6221"/>
    <cellStyle name="Standard 8 2 2 3_Grünland" xfId="3408"/>
    <cellStyle name="Standard 8 2 2 4" xfId="2842"/>
    <cellStyle name="Standard 8 2 2 4 2" xfId="6223"/>
    <cellStyle name="Standard 8 2 2 5" xfId="2843"/>
    <cellStyle name="Standard 8 2 2 5 2" xfId="6224"/>
    <cellStyle name="Standard 8 2 2 6" xfId="6215"/>
    <cellStyle name="Standard 8 2 2_Grünland" xfId="3405"/>
    <cellStyle name="Standard 8 2 3" xfId="2844"/>
    <cellStyle name="Standard 8 2 3 2" xfId="2845"/>
    <cellStyle name="Standard 8 2 3 2 2" xfId="2846"/>
    <cellStyle name="Standard 8 2 3 2 2 2" xfId="6227"/>
    <cellStyle name="Standard 8 2 3 2 3" xfId="6226"/>
    <cellStyle name="Standard 8 2 3 2_Grünland" xfId="3410"/>
    <cellStyle name="Standard 8 2 3 3" xfId="2847"/>
    <cellStyle name="Standard 8 2 3 3 2" xfId="6228"/>
    <cellStyle name="Standard 8 2 3 4" xfId="2848"/>
    <cellStyle name="Standard 8 2 3 4 2" xfId="6229"/>
    <cellStyle name="Standard 8 2 3 5" xfId="6225"/>
    <cellStyle name="Standard 8 2 3_Grünland" xfId="3409"/>
    <cellStyle name="Standard 8 2 4" xfId="2849"/>
    <cellStyle name="Standard 8 2 4 2" xfId="2850"/>
    <cellStyle name="Standard 8 2 4 2 2" xfId="6231"/>
    <cellStyle name="Standard 8 2 4 3" xfId="6230"/>
    <cellStyle name="Standard 8 2 4_Grünland" xfId="3411"/>
    <cellStyle name="Standard 8 2 5" xfId="2851"/>
    <cellStyle name="Standard 8 2 5 2" xfId="2852"/>
    <cellStyle name="Standard 8 2 5 2 2" xfId="6233"/>
    <cellStyle name="Standard 8 2 5 3" xfId="6232"/>
    <cellStyle name="Standard 8 2 5_Grünland" xfId="3412"/>
    <cellStyle name="Standard 8 2 6" xfId="2853"/>
    <cellStyle name="Standard 8 2 6 2" xfId="6234"/>
    <cellStyle name="Standard 8 2 7" xfId="6214"/>
    <cellStyle name="Standard 8 2_Grünland" xfId="3404"/>
    <cellStyle name="Standard 8 3" xfId="2854"/>
    <cellStyle name="Standard 8 3 2" xfId="2855"/>
    <cellStyle name="Standard 8 3 2 2" xfId="2856"/>
    <cellStyle name="Standard 8 3 2 2 2" xfId="2857"/>
    <cellStyle name="Standard 8 3 2 2 2 2" xfId="6238"/>
    <cellStyle name="Standard 8 3 2 2 3" xfId="6237"/>
    <cellStyle name="Standard 8 3 2 2_Grünland" xfId="3415"/>
    <cellStyle name="Standard 8 3 2 3" xfId="2858"/>
    <cellStyle name="Standard 8 3 2 3 2" xfId="6239"/>
    <cellStyle name="Standard 8 3 2 4" xfId="2859"/>
    <cellStyle name="Standard 8 3 2 4 2" xfId="6240"/>
    <cellStyle name="Standard 8 3 2 5" xfId="6236"/>
    <cellStyle name="Standard 8 3 2_Grünland" xfId="3414"/>
    <cellStyle name="Standard 8 3 3" xfId="2860"/>
    <cellStyle name="Standard 8 3 3 2" xfId="2861"/>
    <cellStyle name="Standard 8 3 3 2 2" xfId="6242"/>
    <cellStyle name="Standard 8 3 3 3" xfId="6241"/>
    <cellStyle name="Standard 8 3 3_Grünland" xfId="3416"/>
    <cellStyle name="Standard 8 3 4" xfId="2862"/>
    <cellStyle name="Standard 8 3 4 2" xfId="2863"/>
    <cellStyle name="Standard 8 3 4 2 2" xfId="6244"/>
    <cellStyle name="Standard 8 3 4 3" xfId="6243"/>
    <cellStyle name="Standard 8 3 4_Grünland" xfId="3417"/>
    <cellStyle name="Standard 8 3 5" xfId="2864"/>
    <cellStyle name="Standard 8 3 5 2" xfId="6245"/>
    <cellStyle name="Standard 8 3 6" xfId="6235"/>
    <cellStyle name="Standard 8 3_Grünland" xfId="3413"/>
    <cellStyle name="Standard 8 4" xfId="2865"/>
    <cellStyle name="Standard 8 4 2" xfId="2866"/>
    <cellStyle name="Standard 8 4 2 2" xfId="2867"/>
    <cellStyle name="Standard 8 4 2 2 2" xfId="6248"/>
    <cellStyle name="Standard 8 4 2 3" xfId="6247"/>
    <cellStyle name="Standard 8 4 2_Grünland" xfId="3419"/>
    <cellStyle name="Standard 8 4 3" xfId="2868"/>
    <cellStyle name="Standard 8 4 3 2" xfId="6249"/>
    <cellStyle name="Standard 8 4 4" xfId="2869"/>
    <cellStyle name="Standard 8 4 4 2" xfId="6250"/>
    <cellStyle name="Standard 8 4 5" xfId="6246"/>
    <cellStyle name="Standard 8 4_Grünland" xfId="3418"/>
    <cellStyle name="Standard 8 5" xfId="2870"/>
    <cellStyle name="Standard 8 5 2" xfId="2871"/>
    <cellStyle name="Standard 8 5 2 2" xfId="6252"/>
    <cellStyle name="Standard 8 5 3" xfId="2872"/>
    <cellStyle name="Standard 8 5 3 2" xfId="6253"/>
    <cellStyle name="Standard 8 5 4" xfId="6251"/>
    <cellStyle name="Standard 8 5_Grünland" xfId="3420"/>
    <cellStyle name="Standard 8 6" xfId="2873"/>
    <cellStyle name="Standard 8 6 2" xfId="2874"/>
    <cellStyle name="Standard 8 6 2 2" xfId="6255"/>
    <cellStyle name="Standard 8 6 3" xfId="6254"/>
    <cellStyle name="Standard 8 6_Grünland" xfId="3421"/>
    <cellStyle name="Standard 8 7" xfId="2875"/>
    <cellStyle name="Standard 8 7 2" xfId="2876"/>
    <cellStyle name="Standard 8 7 2 2" xfId="6257"/>
    <cellStyle name="Standard 8 7 3" xfId="6256"/>
    <cellStyle name="Standard 8 7_Grünland" xfId="3422"/>
    <cellStyle name="Standard 8 8" xfId="2877"/>
    <cellStyle name="Standard 8 8 2" xfId="6258"/>
    <cellStyle name="Standard 8 9" xfId="6213"/>
    <cellStyle name="Standard 8_Grünland" xfId="3403"/>
    <cellStyle name="Standard 9" xfId="2878"/>
    <cellStyle name="Überschrift 1 1" xfId="2879"/>
    <cellStyle name="Überschrift 1 1 1" xfId="2880"/>
    <cellStyle name="Überschrift 1 2" xfId="2881"/>
    <cellStyle name="Überschrift 2 2" xfId="2882"/>
    <cellStyle name="Überschrift 3 2" xfId="2883"/>
    <cellStyle name="Überschrift 3 2 2" xfId="2884"/>
    <cellStyle name="Überschrift 3 2 2 2" xfId="2885"/>
    <cellStyle name="Überschrift 3 2 2 3" xfId="2886"/>
    <cellStyle name="Überschrift 4 2" xfId="2887"/>
    <cellStyle name="Verknüpfte Zelle 2" xfId="2888"/>
    <cellStyle name="Währung" xfId="6261" builtinId="4"/>
    <cellStyle name="Währung 2" xfId="2889"/>
    <cellStyle name="Währung 2 2" xfId="6259"/>
    <cellStyle name="Währung 3" xfId="2890"/>
    <cellStyle name="Währung 4" xfId="2891"/>
    <cellStyle name="Währung 4 2" xfId="6260"/>
    <cellStyle name="Warnender Text 2" xfId="2892"/>
    <cellStyle name="Zelle überprüfen 2" xfId="2893"/>
  </cellStyles>
  <dxfs count="1256">
    <dxf>
      <fill>
        <patternFill>
          <bgColor rgb="FFFFFFCC"/>
        </patternFill>
      </fill>
    </dxf>
    <dxf>
      <fill>
        <patternFill>
          <bgColor theme="0" tint="-0.34998626667073579"/>
        </patternFill>
      </fill>
    </dxf>
    <dxf>
      <fill>
        <patternFill>
          <bgColor theme="0" tint="-0.24994659260841701"/>
        </patternFill>
      </fill>
    </dxf>
    <dxf>
      <fill>
        <patternFill>
          <bgColor rgb="FFFFFFCC"/>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34998626667073579"/>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34998626667073579"/>
        </patternFill>
      </fill>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34998626667073579"/>
        </patternFill>
      </fill>
    </dxf>
    <dxf>
      <fill>
        <patternFill>
          <bgColor theme="0" tint="-0.24994659260841701"/>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border>
    </dxf>
    <dxf>
      <fill>
        <patternFill>
          <bgColor rgb="FFC0C0C0"/>
        </patternFill>
      </fill>
    </dxf>
    <dxf>
      <font>
        <color rgb="FFC0C0C0"/>
      </font>
      <fill>
        <patternFill>
          <bgColor rgb="FFC0C0C0"/>
        </patternFill>
      </fill>
      <border>
        <left/>
        <right/>
        <top style="thin">
          <color auto="1"/>
        </top>
        <bottom/>
      </border>
    </dxf>
    <dxf>
      <fill>
        <patternFill>
          <bgColor rgb="FFC0C0C0"/>
        </patternFill>
      </fill>
      <border>
        <left/>
        <right/>
        <top style="thin">
          <color auto="1"/>
        </top>
        <bottom/>
      </border>
    </dxf>
    <dxf>
      <font>
        <color rgb="FFC0C0C0"/>
      </font>
      <fill>
        <patternFill>
          <bgColor rgb="FFC0C0C0"/>
        </patternFill>
      </fill>
    </dxf>
    <dxf>
      <fill>
        <patternFill>
          <bgColor rgb="FFC0C0C0"/>
        </patternFill>
      </fill>
    </dxf>
    <dxf>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bgColor rgb="FFC0C0C0"/>
        </patternFill>
      </fill>
    </dxf>
    <dxf>
      <font>
        <color rgb="FFC0C0C0"/>
      </font>
      <fill>
        <patternFill>
          <bgColor rgb="FFC0C0C0"/>
        </patternFill>
      </fill>
      <border>
        <left/>
        <right/>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style="thin">
          <color auto="1"/>
        </top>
        <bottom/>
        <vertical/>
        <horizontal/>
      </border>
    </dxf>
    <dxf>
      <font>
        <color rgb="FFC0C0C0"/>
      </font>
      <fill>
        <patternFill>
          <bgColor rgb="FFC0C0C0"/>
        </patternFill>
      </fill>
      <border>
        <left/>
        <right/>
        <top/>
        <bottom/>
        <vertical/>
        <horizontal/>
      </border>
    </dxf>
    <dxf>
      <font>
        <color rgb="FFC0C0C0"/>
      </font>
      <fill>
        <patternFill>
          <bgColor rgb="FFC0C0C0"/>
        </patternFill>
      </fill>
      <border>
        <left/>
        <right/>
        <top/>
        <bottom/>
        <vertical/>
        <horizontal/>
      </border>
    </dxf>
    <dxf>
      <font>
        <color rgb="FFC0C0C0"/>
      </font>
      <fill>
        <patternFill>
          <fgColor rgb="FFC0C0C0"/>
          <bgColor rgb="FFC0C0C0"/>
        </patternFill>
      </fill>
      <border>
        <left/>
        <right/>
        <top/>
        <bottom/>
        <vertical/>
        <horizontal/>
      </border>
    </dxf>
    <dxf>
      <fill>
        <patternFill>
          <bgColor rgb="FFFFFFCC"/>
        </patternFill>
      </fill>
    </dxf>
    <dxf>
      <font>
        <color rgb="FFC0C0C0"/>
      </font>
      <fill>
        <patternFill>
          <bgColor rgb="FFC0C0C0"/>
        </patternFill>
      </fill>
      <border>
        <left/>
        <right/>
        <top/>
        <bottom/>
        <vertical/>
        <horizontal/>
      </border>
    </dxf>
    <dxf>
      <font>
        <color rgb="FFC0C0C0"/>
      </font>
      <fill>
        <patternFill>
          <bgColor rgb="FFC0C0C0"/>
        </patternFill>
      </fill>
      <border>
        <left/>
        <right/>
        <top/>
        <bottom/>
      </border>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patternType="solid">
          <fgColor indexed="41"/>
          <bgColor indexed="27"/>
        </patternFill>
      </fill>
    </dxf>
    <dxf>
      <font>
        <b/>
        <i val="0"/>
        <condense val="0"/>
        <extend val="0"/>
        <color indexed="9"/>
      </font>
      <fill>
        <patternFill patternType="solid">
          <fgColor indexed="60"/>
          <bgColor indexed="10"/>
        </patternFill>
      </fill>
    </dxf>
    <dxf>
      <font>
        <b/>
        <i val="0"/>
        <condense val="0"/>
        <extend val="0"/>
        <color indexed="10"/>
      </font>
      <fill>
        <patternFill patternType="solid">
          <fgColor indexed="26"/>
          <bgColor indexed="16"/>
        </patternFill>
      </fill>
    </dxf>
    <dxf>
      <font>
        <b/>
        <i val="0"/>
        <condense val="0"/>
        <extend val="0"/>
        <color indexed="8"/>
      </font>
      <fill>
        <patternFill patternType="solid">
          <fgColor indexed="41"/>
          <bgColor indexed="27"/>
        </patternFill>
      </fill>
    </dxf>
    <dxf>
      <font>
        <b/>
        <i val="0"/>
        <condense val="0"/>
        <extend val="0"/>
        <color indexed="10"/>
      </font>
      <fill>
        <patternFill patternType="solid">
          <fgColor indexed="26"/>
          <bgColor indexed="16"/>
        </patternFill>
      </fill>
    </dxf>
    <dxf>
      <font>
        <b/>
        <i val="0"/>
        <condense val="0"/>
        <extend val="0"/>
        <color indexed="8"/>
      </font>
      <fill>
        <patternFill patternType="solid">
          <fgColor indexed="41"/>
          <bgColor indexed="27"/>
        </patternFill>
      </fill>
    </dxf>
    <dxf>
      <font>
        <b/>
        <i val="0"/>
        <condense val="0"/>
        <extend val="0"/>
        <color indexed="9"/>
      </font>
      <fill>
        <patternFill patternType="solid">
          <fgColor indexed="60"/>
          <bgColor indexed="10"/>
        </patternFill>
      </fill>
    </dxf>
    <dxf>
      <fill>
        <patternFill patternType="solid">
          <fgColor indexed="41"/>
          <bgColor indexed="27"/>
        </patternFill>
      </fill>
    </dxf>
    <dxf>
      <fill>
        <patternFill patternType="solid">
          <fgColor indexed="41"/>
          <bgColor indexed="27"/>
        </patternFill>
      </fill>
    </dxf>
    <dxf>
      <fill>
        <patternFill patternType="solid">
          <fgColor indexed="41"/>
          <bgColor indexed="27"/>
        </patternFill>
      </fill>
    </dxf>
    <dxf>
      <fill>
        <patternFill patternType="solid">
          <fgColor indexed="41"/>
          <bgColor indexed="27"/>
        </patternFill>
      </fill>
    </dxf>
    <dxf>
      <fill>
        <patternFill patternType="solid">
          <fgColor indexed="41"/>
          <bgColor indexed="27"/>
        </patternFill>
      </fill>
    </dxf>
    <dxf>
      <fill>
        <patternFill patternType="solid">
          <fgColor indexed="41"/>
          <bgColor indexed="27"/>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7E4BD"/>
      <rgbColor rgb="000000FF"/>
      <rgbColor rgb="00FFFF00"/>
      <rgbColor rgb="00FF00FF"/>
      <rgbColor rgb="00CCFF99"/>
      <rgbColor rgb="00F2F2F2"/>
      <rgbColor rgb="00008000"/>
      <rgbColor rgb="00000080"/>
      <rgbColor rgb="00C3D69B"/>
      <rgbColor rgb="00800080"/>
      <rgbColor rgb="00008080"/>
      <rgbColor rgb="00C0C0C0"/>
      <rgbColor rgb="00808080"/>
      <rgbColor rgb="008EB4E3"/>
      <rgbColor rgb="00FFCCCC"/>
      <rgbColor rgb="00FFFFCC"/>
      <rgbColor rgb="00CCFFFF"/>
      <rgbColor rgb="00FDEADA"/>
      <rgbColor rgb="00E6B9B8"/>
      <rgbColor rgb="00DDDDDD"/>
      <rgbColor rgb="00CCCCFF"/>
      <rgbColor rgb="00000080"/>
      <rgbColor rgb="00FCD5B5"/>
      <rgbColor rgb="00FFC000"/>
      <rgbColor rgb="00DBEEF4"/>
      <rgbColor rgb="00DCE6F2"/>
      <rgbColor rgb="00FFFFD5"/>
      <rgbColor rgb="00D9D9D9"/>
      <rgbColor rgb="000000FF"/>
      <rgbColor rgb="00B7DEE8"/>
      <rgbColor rgb="00CCECFF"/>
      <rgbColor rgb="00CCFFCC"/>
      <rgbColor rgb="00FFFF99"/>
      <rgbColor rgb="0099CCFF"/>
      <rgbColor rgb="00FF99CC"/>
      <rgbColor rgb="00BFBFBF"/>
      <rgbColor rgb="00FFCC99"/>
      <rgbColor rgb="003366FF"/>
      <rgbColor rgb="0033CCCC"/>
      <rgbColor rgb="0092D050"/>
      <rgbColor rgb="00FFCC00"/>
      <rgbColor rgb="00FF9900"/>
      <rgbColor rgb="00FF6600"/>
      <rgbColor rgb="00666699"/>
      <rgbColor rgb="00969696"/>
      <rgbColor rgb="00EBF1DE"/>
      <rgbColor rgb="00339966"/>
      <rgbColor rgb="00EBFFEB"/>
      <rgbColor rgb="00F2DCDB"/>
      <rgbColor rgb="00993300"/>
      <rgbColor rgb="00DDD9C3"/>
      <rgbColor rgb="00333399"/>
      <rgbColor rgb="00333333"/>
    </indexedColors>
    <mruColors>
      <color rgb="FFCCFFCC"/>
      <color rgb="FF007E46"/>
      <color rgb="FFC0C0C0"/>
      <color rgb="FFFFFFCC"/>
      <color rgb="FF006600"/>
      <color rgb="FFCCCCFF"/>
      <color rgb="FF003300"/>
      <color rgb="FF0000FF"/>
      <color rgb="FFCC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2</xdr:col>
      <xdr:colOff>381001</xdr:colOff>
      <xdr:row>0</xdr:row>
      <xdr:rowOff>95249</xdr:rowOff>
    </xdr:from>
    <xdr:to>
      <xdr:col>2</xdr:col>
      <xdr:colOff>3295651</xdr:colOff>
      <xdr:row>0</xdr:row>
      <xdr:rowOff>671512</xdr:rowOff>
    </xdr:to>
    <xdr:pic>
      <xdr:nvPicPr>
        <xdr:cNvPr id="4107"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3782" y="95249"/>
          <a:ext cx="2914650" cy="57626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0</xdr:colOff>
      <xdr:row>24</xdr:row>
      <xdr:rowOff>133350</xdr:rowOff>
    </xdr:from>
    <xdr:to>
      <xdr:col>5</xdr:col>
      <xdr:colOff>247650</xdr:colOff>
      <xdr:row>25</xdr:row>
      <xdr:rowOff>190500</xdr:rowOff>
    </xdr:to>
    <xdr:sp macro="" textlink="">
      <xdr:nvSpPr>
        <xdr:cNvPr id="4108" name="Rechteck 2"/>
        <xdr:cNvSpPr>
          <a:spLocks noChangeArrowheads="1"/>
        </xdr:cNvSpPr>
      </xdr:nvSpPr>
      <xdr:spPr bwMode="auto">
        <a:xfrm>
          <a:off x="7743825" y="5981700"/>
          <a:ext cx="247650" cy="266700"/>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38100</xdr:colOff>
      <xdr:row>25</xdr:row>
      <xdr:rowOff>9525</xdr:rowOff>
    </xdr:from>
    <xdr:to>
      <xdr:col>5</xdr:col>
      <xdr:colOff>190500</xdr:colOff>
      <xdr:row>25</xdr:row>
      <xdr:rowOff>114300</xdr:rowOff>
    </xdr:to>
    <xdr:sp macro="" textlink="">
      <xdr:nvSpPr>
        <xdr:cNvPr id="4109" name="Flussdiagramm: Zusammenführen 4"/>
        <xdr:cNvSpPr>
          <a:spLocks noChangeArrowheads="1"/>
        </xdr:cNvSpPr>
      </xdr:nvSpPr>
      <xdr:spPr bwMode="auto">
        <a:xfrm>
          <a:off x="7781925" y="6067425"/>
          <a:ext cx="152400" cy="104775"/>
        </a:xfrm>
        <a:prstGeom prst="flowChartMerge">
          <a:avLst/>
        </a:prstGeom>
        <a:solidFill>
          <a:srgbClr val="BFBFB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761196</xdr:colOff>
      <xdr:row>0</xdr:row>
      <xdr:rowOff>296334</xdr:rowOff>
    </xdr:from>
    <xdr:to>
      <xdr:col>13</xdr:col>
      <xdr:colOff>810337</xdr:colOff>
      <xdr:row>1</xdr:row>
      <xdr:rowOff>21166</xdr:rowOff>
    </xdr:to>
    <xdr:pic>
      <xdr:nvPicPr>
        <xdr:cNvPr id="4" name="Grafik 1"/>
        <xdr:cNvPicPr>
          <a:picLocks noChangeAspect="1" noChangeArrowheads="1"/>
        </xdr:cNvPicPr>
      </xdr:nvPicPr>
      <xdr:blipFill>
        <a:blip xmlns:r="http://schemas.openxmlformats.org/officeDocument/2006/relationships" r:embed="rId1"/>
        <a:srcRect/>
        <a:stretch>
          <a:fillRect/>
        </a:stretch>
      </xdr:blipFill>
      <xdr:spPr bwMode="auto">
        <a:xfrm>
          <a:off x="13461196" y="296334"/>
          <a:ext cx="2134058" cy="57149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twoCellAnchor editAs="oneCell">
    <xdr:from>
      <xdr:col>11</xdr:col>
      <xdr:colOff>201084</xdr:colOff>
      <xdr:row>0</xdr:row>
      <xdr:rowOff>296335</xdr:rowOff>
    </xdr:from>
    <xdr:to>
      <xdr:col>11</xdr:col>
      <xdr:colOff>635000</xdr:colOff>
      <xdr:row>1</xdr:row>
      <xdr:rowOff>44204</xdr:rowOff>
    </xdr:to>
    <xdr:pic>
      <xdr:nvPicPr>
        <xdr:cNvPr id="3" name="Grafik 2"/>
        <xdr:cNvPicPr>
          <a:picLocks noChangeAspect="1"/>
        </xdr:cNvPicPr>
      </xdr:nvPicPr>
      <xdr:blipFill>
        <a:blip xmlns:r="http://schemas.openxmlformats.org/officeDocument/2006/relationships" r:embed="rId2"/>
        <a:stretch>
          <a:fillRect/>
        </a:stretch>
      </xdr:blipFill>
      <xdr:spPr>
        <a:xfrm>
          <a:off x="12901084" y="296335"/>
          <a:ext cx="433916" cy="594536"/>
        </a:xfrm>
        <a:prstGeom prst="rect">
          <a:avLst/>
        </a:prstGeom>
      </xdr:spPr>
    </xdr:pic>
    <xdr:clientData/>
  </xdr:twoCellAnchor>
  <xdr:twoCellAnchor editAs="oneCell">
    <xdr:from>
      <xdr:col>1</xdr:col>
      <xdr:colOff>10582</xdr:colOff>
      <xdr:row>0</xdr:row>
      <xdr:rowOff>0</xdr:rowOff>
    </xdr:from>
    <xdr:to>
      <xdr:col>2</xdr:col>
      <xdr:colOff>3073063</xdr:colOff>
      <xdr:row>0</xdr:row>
      <xdr:rowOff>846666</xdr:rowOff>
    </xdr:to>
    <xdr:pic>
      <xdr:nvPicPr>
        <xdr:cNvPr id="5" name="Grafik 4"/>
        <xdr:cNvPicPr>
          <a:picLocks noChangeAspect="1"/>
        </xdr:cNvPicPr>
      </xdr:nvPicPr>
      <xdr:blipFill>
        <a:blip xmlns:r="http://schemas.openxmlformats.org/officeDocument/2006/relationships" r:embed="rId3"/>
        <a:stretch>
          <a:fillRect/>
        </a:stretch>
      </xdr:blipFill>
      <xdr:spPr>
        <a:xfrm>
          <a:off x="222249" y="0"/>
          <a:ext cx="4099647" cy="846666"/>
        </a:xfrm>
        <a:prstGeom prst="rect">
          <a:avLst/>
        </a:prstGeom>
      </xdr:spPr>
    </xdr:pic>
    <xdr:clientData/>
  </xdr:twoCellAnchor>
  <xdr:twoCellAnchor editAs="oneCell">
    <xdr:from>
      <xdr:col>10</xdr:col>
      <xdr:colOff>190498</xdr:colOff>
      <xdr:row>3</xdr:row>
      <xdr:rowOff>158749</xdr:rowOff>
    </xdr:from>
    <xdr:to>
      <xdr:col>13</xdr:col>
      <xdr:colOff>836082</xdr:colOff>
      <xdr:row>6</xdr:row>
      <xdr:rowOff>116416</xdr:rowOff>
    </xdr:to>
    <xdr:pic>
      <xdr:nvPicPr>
        <xdr:cNvPr id="7" name="Grafik 6"/>
        <xdr:cNvPicPr>
          <a:picLocks noChangeAspect="1"/>
        </xdr:cNvPicPr>
      </xdr:nvPicPr>
      <xdr:blipFill>
        <a:blip xmlns:r="http://schemas.openxmlformats.org/officeDocument/2006/relationships" r:embed="rId4"/>
        <a:stretch>
          <a:fillRect/>
        </a:stretch>
      </xdr:blipFill>
      <xdr:spPr>
        <a:xfrm>
          <a:off x="11567581" y="1534582"/>
          <a:ext cx="4053417" cy="719667"/>
        </a:xfrm>
        <a:prstGeom prst="rect">
          <a:avLst/>
        </a:prstGeom>
      </xdr:spPr>
    </xdr:pic>
    <xdr:clientData/>
  </xdr:twoCellAnchor>
  <xdr:twoCellAnchor editAs="oneCell">
    <xdr:from>
      <xdr:col>6</xdr:col>
      <xdr:colOff>1355</xdr:colOff>
      <xdr:row>2</xdr:row>
      <xdr:rowOff>2598</xdr:rowOff>
    </xdr:from>
    <xdr:to>
      <xdr:col>9</xdr:col>
      <xdr:colOff>1111251</xdr:colOff>
      <xdr:row>16</xdr:row>
      <xdr:rowOff>299862</xdr:rowOff>
    </xdr:to>
    <xdr:pic>
      <xdr:nvPicPr>
        <xdr:cNvPr id="6" name="Grafik 5"/>
        <xdr:cNvPicPr>
          <a:picLocks noChangeAspect="1"/>
        </xdr:cNvPicPr>
      </xdr:nvPicPr>
      <xdr:blipFill>
        <a:blip xmlns:r="http://schemas.openxmlformats.org/officeDocument/2006/relationships" r:embed="rId5"/>
        <a:stretch>
          <a:fillRect/>
        </a:stretch>
      </xdr:blipFill>
      <xdr:spPr>
        <a:xfrm>
          <a:off x="5822188" y="1124431"/>
          <a:ext cx="5501979" cy="4086098"/>
        </a:xfrm>
        <a:prstGeom prst="rect">
          <a:avLst/>
        </a:prstGeom>
      </xdr:spPr>
    </xdr:pic>
    <xdr:clientData/>
  </xdr:twoCellAnchor>
  <xdr:twoCellAnchor editAs="oneCell">
    <xdr:from>
      <xdr:col>11</xdr:col>
      <xdr:colOff>254001</xdr:colOff>
      <xdr:row>1</xdr:row>
      <xdr:rowOff>126999</xdr:rowOff>
    </xdr:from>
    <xdr:to>
      <xdr:col>13</xdr:col>
      <xdr:colOff>813547</xdr:colOff>
      <xdr:row>3</xdr:row>
      <xdr:rowOff>52916</xdr:rowOff>
    </xdr:to>
    <xdr:pic>
      <xdr:nvPicPr>
        <xdr:cNvPr id="2" name="Grafik 1"/>
        <xdr:cNvPicPr>
          <a:picLocks noChangeAspect="1"/>
        </xdr:cNvPicPr>
      </xdr:nvPicPr>
      <xdr:blipFill>
        <a:blip xmlns:r="http://schemas.openxmlformats.org/officeDocument/2006/relationships" r:embed="rId6"/>
        <a:stretch>
          <a:fillRect/>
        </a:stretch>
      </xdr:blipFill>
      <xdr:spPr>
        <a:xfrm>
          <a:off x="12954001" y="973666"/>
          <a:ext cx="2644462" cy="4550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312965</xdr:colOff>
      <xdr:row>18</xdr:row>
      <xdr:rowOff>95250</xdr:rowOff>
    </xdr:from>
    <xdr:to>
      <xdr:col>5</xdr:col>
      <xdr:colOff>312965</xdr:colOff>
      <xdr:row>19</xdr:row>
      <xdr:rowOff>190500</xdr:rowOff>
    </xdr:to>
    <xdr:cxnSp macro="">
      <xdr:nvCxnSpPr>
        <xdr:cNvPr id="3" name="Gerade Verbindung mit Pfeil 2"/>
        <xdr:cNvCxnSpPr/>
      </xdr:nvCxnSpPr>
      <xdr:spPr bwMode="auto">
        <a:xfrm flipV="1">
          <a:off x="4830536" y="5374821"/>
          <a:ext cx="0" cy="394608"/>
        </a:xfrm>
        <a:prstGeom prst="straightConnector1">
          <a:avLst/>
        </a:prstGeom>
        <a:ln>
          <a:headEnd type="none" w="med" len="med"/>
          <a:tailEnd type="triangle"/>
        </a:ln>
        <a:extLst/>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johannesrecheis\Library\Caches\TemporaryItems\Outlook%20Temp\2015_01_22_Anhang_8_10_6b_D&#252;ngewerte_Region_NP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rudlste\Fabasoft\Work\D&#252;ngebilanzierung_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tabelle"/>
      <sheetName val="AMA 2007"/>
    </sheetNames>
    <sheetDataSet>
      <sheetData sheetId="0" refreshError="1"/>
      <sheetData sheetId="1">
        <row r="6">
          <cell r="A6" t="str">
            <v>Ackerbohnen - Getreide Gemenge (50:50)</v>
          </cell>
          <cell r="B6" t="str">
            <v>&lt; 2,0</v>
          </cell>
          <cell r="C6">
            <v>60</v>
          </cell>
          <cell r="D6" t="str">
            <v>2,5 - 4,5</v>
          </cell>
          <cell r="E6">
            <v>60</v>
          </cell>
          <cell r="F6">
            <v>0</v>
          </cell>
          <cell r="G6" t="str">
            <v>4,5 - 5,0</v>
          </cell>
          <cell r="H6">
            <v>60</v>
          </cell>
          <cell r="I6">
            <v>0</v>
          </cell>
          <cell r="J6" t="str">
            <v>5,0 - 5,5</v>
          </cell>
          <cell r="K6">
            <v>60</v>
          </cell>
          <cell r="L6" t="str">
            <v>&gt; 5,5</v>
          </cell>
          <cell r="M6">
            <v>60</v>
          </cell>
          <cell r="N6">
            <v>90</v>
          </cell>
          <cell r="O6">
            <v>75</v>
          </cell>
          <cell r="P6">
            <v>55</v>
          </cell>
          <cell r="Q6">
            <v>60</v>
          </cell>
          <cell r="R6">
            <v>70</v>
          </cell>
          <cell r="S6" t="str">
            <v>1)</v>
          </cell>
          <cell r="T6" t="str">
            <v>2)</v>
          </cell>
        </row>
        <row r="7">
          <cell r="A7" t="str">
            <v>Ackerbohnen (Puffbohnen)</v>
          </cell>
          <cell r="B7" t="str">
            <v>&lt; 2,0</v>
          </cell>
          <cell r="C7">
            <v>60</v>
          </cell>
          <cell r="D7" t="str">
            <v>2,5 - 4,5</v>
          </cell>
          <cell r="E7">
            <v>60</v>
          </cell>
          <cell r="F7">
            <v>0</v>
          </cell>
          <cell r="G7" t="str">
            <v>4,5 - 5,0</v>
          </cell>
          <cell r="H7">
            <v>60</v>
          </cell>
          <cell r="I7">
            <v>0</v>
          </cell>
          <cell r="J7" t="str">
            <v>5,0 - 5,5</v>
          </cell>
          <cell r="K7">
            <v>60</v>
          </cell>
          <cell r="L7" t="str">
            <v>&gt; 5,5</v>
          </cell>
          <cell r="M7">
            <v>60</v>
          </cell>
          <cell r="N7">
            <v>100</v>
          </cell>
          <cell r="O7">
            <v>80</v>
          </cell>
          <cell r="P7">
            <v>60</v>
          </cell>
          <cell r="Q7">
            <v>65</v>
          </cell>
          <cell r="R7">
            <v>75</v>
          </cell>
          <cell r="S7" t="str">
            <v>1)</v>
          </cell>
          <cell r="T7" t="str">
            <v>2)</v>
          </cell>
        </row>
        <row r="8">
          <cell r="A8" t="str">
            <v>Amaranth</v>
          </cell>
          <cell r="B8" t="str">
            <v>&lt; 1,0</v>
          </cell>
          <cell r="C8">
            <v>40</v>
          </cell>
          <cell r="D8" t="str">
            <v>1,0 - 1,5</v>
          </cell>
          <cell r="E8">
            <v>40</v>
          </cell>
          <cell r="F8">
            <v>40</v>
          </cell>
          <cell r="G8" t="str">
            <v>1,5 - 2,0</v>
          </cell>
          <cell r="H8">
            <v>40</v>
          </cell>
          <cell r="I8">
            <v>40</v>
          </cell>
          <cell r="J8" t="str">
            <v>2,0 - 2,5</v>
          </cell>
          <cell r="K8">
            <v>40</v>
          </cell>
          <cell r="L8" t="str">
            <v>&gt; 2,5</v>
          </cell>
          <cell r="M8">
            <v>40</v>
          </cell>
          <cell r="N8">
            <v>85</v>
          </cell>
          <cell r="O8">
            <v>70</v>
          </cell>
          <cell r="P8">
            <v>50</v>
          </cell>
          <cell r="Q8">
            <v>55</v>
          </cell>
          <cell r="R8">
            <v>65</v>
          </cell>
          <cell r="S8" t="str">
            <v>1)</v>
          </cell>
          <cell r="T8" t="str">
            <v>2)</v>
          </cell>
        </row>
        <row r="9">
          <cell r="A9" t="str">
            <v>Bitterlupinen</v>
          </cell>
          <cell r="B9" t="str">
            <v>&lt; 2,0</v>
          </cell>
          <cell r="C9">
            <v>60</v>
          </cell>
          <cell r="D9" t="str">
            <v>2,5 - 4,5</v>
          </cell>
          <cell r="E9">
            <v>60</v>
          </cell>
          <cell r="F9">
            <v>0</v>
          </cell>
          <cell r="G9" t="str">
            <v>4,5 - 5,0</v>
          </cell>
          <cell r="H9">
            <v>60</v>
          </cell>
          <cell r="I9">
            <v>0</v>
          </cell>
          <cell r="J9" t="str">
            <v>5,0 - 5,5</v>
          </cell>
          <cell r="K9">
            <v>60</v>
          </cell>
          <cell r="L9" t="str">
            <v>&gt; 5,5</v>
          </cell>
          <cell r="M9">
            <v>60</v>
          </cell>
          <cell r="N9">
            <v>100</v>
          </cell>
          <cell r="O9">
            <v>80</v>
          </cell>
          <cell r="P9">
            <v>60</v>
          </cell>
          <cell r="Q9">
            <v>65</v>
          </cell>
          <cell r="R9">
            <v>75</v>
          </cell>
          <cell r="S9" t="str">
            <v>1)</v>
          </cell>
          <cell r="T9" t="str">
            <v>2)</v>
          </cell>
        </row>
        <row r="10">
          <cell r="A10" t="str">
            <v>Blühfläche</v>
          </cell>
          <cell r="B10" t="str">
            <v>-</v>
          </cell>
          <cell r="C10">
            <v>0</v>
          </cell>
          <cell r="D10" t="str">
            <v>-</v>
          </cell>
          <cell r="E10">
            <v>0</v>
          </cell>
          <cell r="F10">
            <v>0</v>
          </cell>
          <cell r="G10" t="str">
            <v>-</v>
          </cell>
          <cell r="H10">
            <v>0</v>
          </cell>
          <cell r="I10">
            <v>0</v>
          </cell>
          <cell r="J10" t="str">
            <v>-</v>
          </cell>
          <cell r="K10">
            <v>0</v>
          </cell>
          <cell r="L10" t="str">
            <v>-</v>
          </cell>
          <cell r="M10">
            <v>0</v>
          </cell>
          <cell r="N10">
            <v>0</v>
          </cell>
          <cell r="O10">
            <v>0</v>
          </cell>
          <cell r="P10">
            <v>0</v>
          </cell>
          <cell r="Q10">
            <v>0</v>
          </cell>
          <cell r="R10">
            <v>0</v>
          </cell>
          <cell r="S10" t="str">
            <v>-</v>
          </cell>
          <cell r="T10" t="str">
            <v>-</v>
          </cell>
        </row>
        <row r="11">
          <cell r="A11" t="str">
            <v>Blumen und Zierpflanzen</v>
          </cell>
          <cell r="B11" t="str">
            <v>manuelle Eingabe erforderlich</v>
          </cell>
          <cell r="N11">
            <v>85</v>
          </cell>
          <cell r="O11">
            <v>70</v>
          </cell>
          <cell r="P11">
            <v>50</v>
          </cell>
          <cell r="Q11">
            <v>55</v>
          </cell>
          <cell r="R11">
            <v>65</v>
          </cell>
          <cell r="S11" t="str">
            <v>1)</v>
          </cell>
          <cell r="T11" t="str">
            <v>2)</v>
          </cell>
        </row>
        <row r="12">
          <cell r="A12" t="str">
            <v>Bodengesundung Acker</v>
          </cell>
          <cell r="B12" t="str">
            <v>-</v>
          </cell>
          <cell r="C12">
            <v>0</v>
          </cell>
          <cell r="D12" t="str">
            <v>-</v>
          </cell>
          <cell r="E12">
            <v>0</v>
          </cell>
          <cell r="F12">
            <v>0</v>
          </cell>
          <cell r="G12" t="str">
            <v>-</v>
          </cell>
          <cell r="H12">
            <v>0</v>
          </cell>
          <cell r="I12">
            <v>0</v>
          </cell>
          <cell r="J12" t="str">
            <v>-</v>
          </cell>
          <cell r="K12">
            <v>0</v>
          </cell>
          <cell r="L12" t="str">
            <v>-</v>
          </cell>
          <cell r="M12">
            <v>0</v>
          </cell>
          <cell r="N12">
            <v>0</v>
          </cell>
          <cell r="O12">
            <v>0</v>
          </cell>
          <cell r="P12">
            <v>0</v>
          </cell>
          <cell r="Q12">
            <v>0</v>
          </cell>
          <cell r="R12">
            <v>0</v>
          </cell>
          <cell r="S12" t="str">
            <v>-</v>
          </cell>
          <cell r="T12" t="str">
            <v>-</v>
          </cell>
        </row>
        <row r="13">
          <cell r="A13" t="str">
            <v>Buchweizen</v>
          </cell>
          <cell r="B13" t="str">
            <v>&lt; 1</v>
          </cell>
          <cell r="C13">
            <v>50</v>
          </cell>
          <cell r="D13" t="str">
            <v>1,0 - 1,5</v>
          </cell>
          <cell r="E13">
            <v>50</v>
          </cell>
          <cell r="F13">
            <v>50</v>
          </cell>
          <cell r="G13" t="str">
            <v>1,5 - 2,0</v>
          </cell>
          <cell r="H13">
            <v>50</v>
          </cell>
          <cell r="I13">
            <v>50</v>
          </cell>
          <cell r="J13" t="str">
            <v>2,0 - 3,0</v>
          </cell>
          <cell r="K13">
            <v>50</v>
          </cell>
          <cell r="L13" t="str">
            <v>&gt; 3,0</v>
          </cell>
          <cell r="M13">
            <v>50</v>
          </cell>
          <cell r="N13">
            <v>85</v>
          </cell>
          <cell r="O13">
            <v>70</v>
          </cell>
          <cell r="P13">
            <v>50</v>
          </cell>
          <cell r="Q13">
            <v>55</v>
          </cell>
          <cell r="R13">
            <v>65</v>
          </cell>
          <cell r="S13" t="str">
            <v>1)</v>
          </cell>
          <cell r="T13" t="str">
            <v>2)</v>
          </cell>
        </row>
        <row r="14">
          <cell r="A14" t="str">
            <v>Einjährige Baumschulen</v>
          </cell>
          <cell r="B14" t="str">
            <v>manuelle Eingabe erforderlich</v>
          </cell>
          <cell r="N14">
            <v>85</v>
          </cell>
          <cell r="O14">
            <v>70</v>
          </cell>
          <cell r="P14">
            <v>50</v>
          </cell>
          <cell r="Q14">
            <v>55</v>
          </cell>
          <cell r="R14">
            <v>65</v>
          </cell>
          <cell r="S14" t="str">
            <v>1)</v>
          </cell>
          <cell r="T14" t="str">
            <v>2)</v>
          </cell>
        </row>
        <row r="15">
          <cell r="A15" t="str">
            <v>Elefantengras (Chinaschilf, Miscanthus sinensis)</v>
          </cell>
          <cell r="B15" t="str">
            <v>&lt; 15</v>
          </cell>
          <cell r="C15">
            <v>40</v>
          </cell>
          <cell r="D15" t="str">
            <v>15 - 20</v>
          </cell>
          <cell r="E15">
            <v>40</v>
          </cell>
          <cell r="F15">
            <v>40</v>
          </cell>
          <cell r="G15" t="str">
            <v>20 - 25</v>
          </cell>
          <cell r="H15">
            <v>40</v>
          </cell>
          <cell r="I15">
            <v>40</v>
          </cell>
          <cell r="J15" t="str">
            <v>25 - 30</v>
          </cell>
          <cell r="K15">
            <v>40</v>
          </cell>
          <cell r="L15" t="str">
            <v>&gt; 30</v>
          </cell>
          <cell r="M15">
            <v>40</v>
          </cell>
          <cell r="N15">
            <v>85</v>
          </cell>
          <cell r="O15">
            <v>70</v>
          </cell>
          <cell r="P15">
            <v>50</v>
          </cell>
          <cell r="Q15">
            <v>55</v>
          </cell>
          <cell r="R15">
            <v>65</v>
          </cell>
          <cell r="S15" t="str">
            <v>1)</v>
          </cell>
          <cell r="T15" t="str">
            <v>2)</v>
          </cell>
        </row>
        <row r="16">
          <cell r="A16" t="str">
            <v>Emmer oder Einkorn (Sommerung)</v>
          </cell>
          <cell r="B16" t="str">
            <v>&lt;3,0</v>
          </cell>
          <cell r="C16">
            <v>105</v>
          </cell>
          <cell r="D16" t="str">
            <v>3,0 - 4,5</v>
          </cell>
          <cell r="E16">
            <v>145</v>
          </cell>
          <cell r="F16">
            <v>80</v>
          </cell>
          <cell r="G16" t="str">
            <v>4,5 - 6,0</v>
          </cell>
          <cell r="H16">
            <v>170</v>
          </cell>
          <cell r="I16">
            <v>80</v>
          </cell>
          <cell r="J16" t="str">
            <v>6,0 - 7,5</v>
          </cell>
          <cell r="K16">
            <v>180</v>
          </cell>
          <cell r="L16" t="str">
            <v>&gt; 7,5</v>
          </cell>
          <cell r="M16">
            <v>195</v>
          </cell>
          <cell r="N16">
            <v>85</v>
          </cell>
          <cell r="O16">
            <v>70</v>
          </cell>
          <cell r="P16">
            <v>50</v>
          </cell>
          <cell r="Q16">
            <v>55</v>
          </cell>
          <cell r="R16">
            <v>65</v>
          </cell>
          <cell r="S16" t="str">
            <v>1)</v>
          </cell>
          <cell r="T16" t="str">
            <v>2)</v>
          </cell>
        </row>
        <row r="17">
          <cell r="A17" t="str">
            <v>Emmer oder Einkorn (Winterung)</v>
          </cell>
          <cell r="B17" t="str">
            <v>&lt;3,0</v>
          </cell>
          <cell r="C17">
            <v>105</v>
          </cell>
          <cell r="D17" t="str">
            <v>3,0 - 4,5</v>
          </cell>
          <cell r="E17">
            <v>145</v>
          </cell>
          <cell r="F17">
            <v>80</v>
          </cell>
          <cell r="G17" t="str">
            <v>4,5 - 6,0</v>
          </cell>
          <cell r="H17">
            <v>170</v>
          </cell>
          <cell r="I17">
            <v>80</v>
          </cell>
          <cell r="J17" t="str">
            <v>6,0 - 7,5</v>
          </cell>
          <cell r="K17">
            <v>180</v>
          </cell>
          <cell r="L17" t="str">
            <v>&gt; 7,5</v>
          </cell>
          <cell r="M17">
            <v>195</v>
          </cell>
          <cell r="N17">
            <v>85</v>
          </cell>
          <cell r="O17">
            <v>70</v>
          </cell>
          <cell r="P17">
            <v>50</v>
          </cell>
          <cell r="Q17">
            <v>55</v>
          </cell>
          <cell r="R17">
            <v>65</v>
          </cell>
          <cell r="S17" t="str">
            <v>1)</v>
          </cell>
          <cell r="T17" t="str">
            <v>2)</v>
          </cell>
        </row>
        <row r="18">
          <cell r="A18" t="str">
            <v>Energieholz A</v>
          </cell>
          <cell r="B18" t="str">
            <v>manuelle Eingabe erforderlich</v>
          </cell>
          <cell r="N18">
            <v>0</v>
          </cell>
          <cell r="O18">
            <v>0</v>
          </cell>
          <cell r="P18">
            <v>0</v>
          </cell>
          <cell r="Q18">
            <v>0</v>
          </cell>
          <cell r="R18">
            <v>0</v>
          </cell>
          <cell r="S18" t="str">
            <v>-</v>
          </cell>
          <cell r="T18" t="str">
            <v>-</v>
          </cell>
        </row>
        <row r="19">
          <cell r="A19" t="str">
            <v>Erbsen - Getreide Gemenge (50:50)</v>
          </cell>
          <cell r="B19" t="str">
            <v>&lt; 2,0</v>
          </cell>
          <cell r="C19">
            <v>60</v>
          </cell>
          <cell r="D19" t="str">
            <v>2,5 - 4,5</v>
          </cell>
          <cell r="E19">
            <v>60</v>
          </cell>
          <cell r="F19">
            <v>0</v>
          </cell>
          <cell r="G19" t="str">
            <v>4,5 - 5,0</v>
          </cell>
          <cell r="H19">
            <v>60</v>
          </cell>
          <cell r="I19">
            <v>0</v>
          </cell>
          <cell r="J19" t="str">
            <v>5,0 - 5,5</v>
          </cell>
          <cell r="K19">
            <v>60</v>
          </cell>
          <cell r="L19" t="str">
            <v>&gt; 5,5</v>
          </cell>
          <cell r="M19">
            <v>60</v>
          </cell>
          <cell r="N19">
            <v>90</v>
          </cell>
          <cell r="O19">
            <v>75</v>
          </cell>
          <cell r="P19">
            <v>55</v>
          </cell>
          <cell r="Q19">
            <v>60</v>
          </cell>
          <cell r="R19">
            <v>70</v>
          </cell>
          <cell r="S19" t="str">
            <v>1)</v>
          </cell>
          <cell r="T19" t="str">
            <v>2)</v>
          </cell>
        </row>
        <row r="20">
          <cell r="A20" t="str">
            <v>Erdbeeren</v>
          </cell>
          <cell r="B20" t="str">
            <v>&lt; 15</v>
          </cell>
          <cell r="C20">
            <v>60</v>
          </cell>
          <cell r="D20" t="str">
            <v>15 - 25</v>
          </cell>
          <cell r="E20">
            <v>100</v>
          </cell>
          <cell r="F20">
            <v>100</v>
          </cell>
          <cell r="G20" t="str">
            <v>25 - 30</v>
          </cell>
          <cell r="H20">
            <v>120</v>
          </cell>
          <cell r="I20">
            <v>120</v>
          </cell>
          <cell r="J20" t="str">
            <v>30 - 35</v>
          </cell>
          <cell r="K20">
            <v>120</v>
          </cell>
          <cell r="L20" t="str">
            <v>&gt; 35</v>
          </cell>
          <cell r="M20">
            <v>120</v>
          </cell>
          <cell r="N20">
            <v>70</v>
          </cell>
          <cell r="O20">
            <v>55</v>
          </cell>
          <cell r="P20">
            <v>25</v>
          </cell>
          <cell r="Q20">
            <v>35</v>
          </cell>
          <cell r="R20">
            <v>45</v>
          </cell>
          <cell r="S20">
            <v>20</v>
          </cell>
          <cell r="T20" t="str">
            <v>-</v>
          </cell>
        </row>
        <row r="21">
          <cell r="A21" t="str">
            <v>Flachs (Faserlein) zur Fasererzeugung</v>
          </cell>
          <cell r="B21" t="str">
            <v>&lt; 10</v>
          </cell>
          <cell r="C21">
            <v>50</v>
          </cell>
          <cell r="D21" t="str">
            <v>10.0 -12.0</v>
          </cell>
          <cell r="E21">
            <v>50</v>
          </cell>
          <cell r="F21">
            <v>50</v>
          </cell>
          <cell r="G21" t="str">
            <v>12.0 -14.0</v>
          </cell>
          <cell r="H21">
            <v>50</v>
          </cell>
          <cell r="I21">
            <v>50</v>
          </cell>
          <cell r="J21" t="str">
            <v>14 - 15</v>
          </cell>
          <cell r="K21">
            <v>50</v>
          </cell>
          <cell r="L21" t="str">
            <v>&gt; 15</v>
          </cell>
          <cell r="M21">
            <v>50</v>
          </cell>
          <cell r="N21">
            <v>85</v>
          </cell>
          <cell r="O21">
            <v>70</v>
          </cell>
          <cell r="P21">
            <v>50</v>
          </cell>
          <cell r="Q21">
            <v>55</v>
          </cell>
          <cell r="R21">
            <v>65</v>
          </cell>
          <cell r="S21" t="str">
            <v>1)</v>
          </cell>
          <cell r="T21" t="str">
            <v>2)</v>
          </cell>
        </row>
        <row r="22">
          <cell r="A22" t="str">
            <v>Frühkartoffeln</v>
          </cell>
          <cell r="B22" t="str">
            <v>&lt; 15</v>
          </cell>
          <cell r="C22">
            <v>90</v>
          </cell>
          <cell r="D22" t="str">
            <v>15 - 20</v>
          </cell>
          <cell r="E22">
            <v>120</v>
          </cell>
          <cell r="F22">
            <v>110</v>
          </cell>
          <cell r="G22" t="str">
            <v>&gt; 20</v>
          </cell>
          <cell r="H22">
            <v>145</v>
          </cell>
          <cell r="I22">
            <v>125</v>
          </cell>
          <cell r="J22" t="str">
            <v>&gt; 20</v>
          </cell>
          <cell r="K22">
            <v>145</v>
          </cell>
          <cell r="L22" t="str">
            <v>&gt; 20</v>
          </cell>
          <cell r="M22">
            <v>145</v>
          </cell>
          <cell r="N22">
            <v>90</v>
          </cell>
          <cell r="O22">
            <v>75</v>
          </cell>
          <cell r="P22">
            <v>55</v>
          </cell>
          <cell r="Q22">
            <v>60</v>
          </cell>
          <cell r="R22">
            <v>70</v>
          </cell>
          <cell r="S22" t="str">
            <v>1)</v>
          </cell>
          <cell r="T22" t="str">
            <v>2)</v>
          </cell>
        </row>
        <row r="23">
          <cell r="A23" t="str">
            <v>Futterkartoffeln</v>
          </cell>
          <cell r="B23" t="str">
            <v>&lt; 25</v>
          </cell>
          <cell r="C23">
            <v>105</v>
          </cell>
          <cell r="D23" t="str">
            <v>25 - 35</v>
          </cell>
          <cell r="E23">
            <v>145</v>
          </cell>
          <cell r="F23">
            <v>130</v>
          </cell>
          <cell r="G23" t="str">
            <v>35 - 45</v>
          </cell>
          <cell r="H23">
            <v>170</v>
          </cell>
          <cell r="I23">
            <v>150</v>
          </cell>
          <cell r="J23" t="str">
            <v>45 - 55</v>
          </cell>
          <cell r="K23">
            <v>180</v>
          </cell>
          <cell r="L23" t="str">
            <v>&gt; 55</v>
          </cell>
          <cell r="M23">
            <v>195</v>
          </cell>
          <cell r="N23">
            <v>100</v>
          </cell>
          <cell r="O23">
            <v>80</v>
          </cell>
          <cell r="P23">
            <v>60</v>
          </cell>
          <cell r="Q23">
            <v>65</v>
          </cell>
          <cell r="R23">
            <v>75</v>
          </cell>
          <cell r="S23" t="str">
            <v>1)</v>
          </cell>
          <cell r="T23" t="str">
            <v>2)</v>
          </cell>
        </row>
        <row r="24">
          <cell r="A24" t="str">
            <v>Futterrüben (Runkelrüben, Burgunder, Kohlrüben)</v>
          </cell>
          <cell r="B24" t="str">
            <v>&lt; 60</v>
          </cell>
          <cell r="C24">
            <v>110</v>
          </cell>
          <cell r="D24" t="str">
            <v>60 - 100</v>
          </cell>
          <cell r="E24">
            <v>155</v>
          </cell>
          <cell r="F24">
            <v>140</v>
          </cell>
          <cell r="G24" t="str">
            <v>&gt; 100</v>
          </cell>
          <cell r="H24">
            <v>180</v>
          </cell>
          <cell r="I24">
            <v>150</v>
          </cell>
          <cell r="J24" t="str">
            <v>&gt; 100</v>
          </cell>
          <cell r="K24">
            <v>180</v>
          </cell>
          <cell r="L24" t="str">
            <v>&gt; 100</v>
          </cell>
          <cell r="M24">
            <v>180</v>
          </cell>
          <cell r="N24">
            <v>130</v>
          </cell>
          <cell r="O24">
            <v>105</v>
          </cell>
          <cell r="P24">
            <v>75</v>
          </cell>
          <cell r="Q24">
            <v>85</v>
          </cell>
          <cell r="R24">
            <v>100</v>
          </cell>
          <cell r="S24" t="str">
            <v>1)</v>
          </cell>
          <cell r="T24" t="str">
            <v>2)</v>
          </cell>
        </row>
        <row r="25">
          <cell r="A25" t="str">
            <v>Futterzwischenfrucht mit Leguminosen</v>
          </cell>
          <cell r="B25" t="str">
            <v>&lt; 15</v>
          </cell>
          <cell r="C25">
            <v>60</v>
          </cell>
          <cell r="D25" t="str">
            <v>15 - 25</v>
          </cell>
          <cell r="E25">
            <v>60</v>
          </cell>
          <cell r="F25">
            <v>35</v>
          </cell>
          <cell r="G25" t="str">
            <v>25 - 30</v>
          </cell>
          <cell r="H25">
            <v>60</v>
          </cell>
          <cell r="I25">
            <v>35</v>
          </cell>
          <cell r="J25" t="str">
            <v>30 - 35</v>
          </cell>
          <cell r="K25">
            <v>60</v>
          </cell>
          <cell r="L25" t="str">
            <v>&gt; 35</v>
          </cell>
          <cell r="M25">
            <v>60</v>
          </cell>
          <cell r="N25">
            <v>40</v>
          </cell>
          <cell r="O25">
            <v>30</v>
          </cell>
          <cell r="P25">
            <v>25</v>
          </cell>
          <cell r="Q25">
            <v>25</v>
          </cell>
          <cell r="R25">
            <v>30</v>
          </cell>
          <cell r="S25" t="str">
            <v>1)</v>
          </cell>
          <cell r="T25" t="str">
            <v>2)</v>
          </cell>
        </row>
        <row r="26">
          <cell r="A26" t="str">
            <v>Futterzwischenfrucht ohne Leguminosen</v>
          </cell>
          <cell r="B26" t="str">
            <v>&lt; 15</v>
          </cell>
          <cell r="C26">
            <v>80</v>
          </cell>
          <cell r="D26" t="str">
            <v>15 - 25</v>
          </cell>
          <cell r="E26">
            <v>80</v>
          </cell>
          <cell r="F26">
            <v>70</v>
          </cell>
          <cell r="G26" t="str">
            <v>25 - 30</v>
          </cell>
          <cell r="H26">
            <v>80</v>
          </cell>
          <cell r="I26">
            <v>70</v>
          </cell>
          <cell r="J26" t="str">
            <v>30 - 35</v>
          </cell>
          <cell r="K26">
            <v>80</v>
          </cell>
          <cell r="L26" t="str">
            <v>&gt; 35</v>
          </cell>
          <cell r="M26">
            <v>80</v>
          </cell>
          <cell r="N26">
            <v>40</v>
          </cell>
          <cell r="O26">
            <v>30</v>
          </cell>
          <cell r="P26">
            <v>25</v>
          </cell>
          <cell r="Q26">
            <v>25</v>
          </cell>
          <cell r="R26">
            <v>30</v>
          </cell>
          <cell r="S26" t="str">
            <v>1)</v>
          </cell>
          <cell r="T26" t="str">
            <v>2)</v>
          </cell>
        </row>
        <row r="27">
          <cell r="A27" t="str">
            <v>GLÖZ A</v>
          </cell>
          <cell r="B27" t="str">
            <v>-</v>
          </cell>
          <cell r="C27">
            <v>0</v>
          </cell>
          <cell r="D27" t="str">
            <v>-</v>
          </cell>
          <cell r="E27">
            <v>0</v>
          </cell>
          <cell r="F27">
            <v>0</v>
          </cell>
          <cell r="G27" t="str">
            <v>-</v>
          </cell>
          <cell r="H27">
            <v>0</v>
          </cell>
          <cell r="I27">
            <v>0</v>
          </cell>
          <cell r="J27" t="str">
            <v>-</v>
          </cell>
          <cell r="K27">
            <v>0</v>
          </cell>
          <cell r="L27" t="str">
            <v>-</v>
          </cell>
          <cell r="M27">
            <v>0</v>
          </cell>
          <cell r="N27">
            <v>0</v>
          </cell>
          <cell r="O27">
            <v>0</v>
          </cell>
          <cell r="P27">
            <v>0</v>
          </cell>
          <cell r="Q27">
            <v>0</v>
          </cell>
          <cell r="R27">
            <v>0</v>
          </cell>
          <cell r="S27" t="str">
            <v>-</v>
          </cell>
          <cell r="T27" t="str">
            <v>-</v>
          </cell>
        </row>
        <row r="28">
          <cell r="A28" t="str">
            <v>Grünmais</v>
          </cell>
          <cell r="B28" t="str">
            <v>&lt; 40</v>
          </cell>
          <cell r="C28">
            <v>130</v>
          </cell>
          <cell r="D28" t="str">
            <v>40 - 50</v>
          </cell>
          <cell r="E28">
            <v>175</v>
          </cell>
          <cell r="F28">
            <v>160</v>
          </cell>
          <cell r="G28" t="str">
            <v>50 - 57,5</v>
          </cell>
          <cell r="H28">
            <v>210</v>
          </cell>
          <cell r="I28">
            <v>180</v>
          </cell>
          <cell r="J28" t="str">
            <v>57,5 - 65,0</v>
          </cell>
          <cell r="K28">
            <v>225</v>
          </cell>
          <cell r="L28" t="str">
            <v>&gt; 65,0</v>
          </cell>
          <cell r="M28">
            <v>240</v>
          </cell>
          <cell r="N28">
            <v>130</v>
          </cell>
          <cell r="O28">
            <v>105</v>
          </cell>
          <cell r="P28">
            <v>75</v>
          </cell>
          <cell r="Q28">
            <v>85</v>
          </cell>
          <cell r="R28">
            <v>100</v>
          </cell>
          <cell r="S28" t="str">
            <v>1)</v>
          </cell>
          <cell r="T28" t="str">
            <v>2)</v>
          </cell>
        </row>
        <row r="29">
          <cell r="A29" t="str">
            <v>Grünschnittroggen</v>
          </cell>
          <cell r="B29" t="str">
            <v>&lt; 3,5</v>
          </cell>
          <cell r="C29">
            <v>80</v>
          </cell>
          <cell r="D29" t="str">
            <v>3,5 - 5,5</v>
          </cell>
          <cell r="E29">
            <v>110</v>
          </cell>
          <cell r="F29">
            <v>100</v>
          </cell>
          <cell r="G29" t="str">
            <v>5,5 - 7,0</v>
          </cell>
          <cell r="H29">
            <v>130</v>
          </cell>
          <cell r="I29">
            <v>110</v>
          </cell>
          <cell r="J29" t="str">
            <v>7,0 - 8,5</v>
          </cell>
          <cell r="K29">
            <v>140</v>
          </cell>
          <cell r="L29" t="str">
            <v>&gt; 8,5</v>
          </cell>
          <cell r="M29">
            <v>150</v>
          </cell>
          <cell r="N29">
            <v>85</v>
          </cell>
          <cell r="O29">
            <v>70</v>
          </cell>
          <cell r="P29">
            <v>50</v>
          </cell>
          <cell r="Q29">
            <v>55</v>
          </cell>
          <cell r="R29">
            <v>65</v>
          </cell>
          <cell r="S29" t="str">
            <v>1)</v>
          </cell>
          <cell r="T29" t="str">
            <v>2)</v>
          </cell>
        </row>
        <row r="30">
          <cell r="A30" t="str">
            <v>Hanf</v>
          </cell>
          <cell r="B30" t="str">
            <v>manuelle Eingabe erforderlich</v>
          </cell>
          <cell r="N30">
            <v>85</v>
          </cell>
          <cell r="O30">
            <v>70</v>
          </cell>
          <cell r="P30">
            <v>50</v>
          </cell>
          <cell r="Q30">
            <v>55</v>
          </cell>
          <cell r="R30">
            <v>65</v>
          </cell>
          <cell r="S30" t="str">
            <v>1)</v>
          </cell>
          <cell r="T30" t="str">
            <v>2)</v>
          </cell>
        </row>
        <row r="31">
          <cell r="A31" t="str">
            <v>Hirse (Kolbenhirse, Rispenhirse, Biogashirse)</v>
          </cell>
          <cell r="B31" t="str">
            <v>-</v>
          </cell>
          <cell r="C31">
            <v>100</v>
          </cell>
          <cell r="D31" t="str">
            <v>-</v>
          </cell>
          <cell r="E31">
            <v>100</v>
          </cell>
          <cell r="F31">
            <v>100</v>
          </cell>
          <cell r="G31" t="str">
            <v>-</v>
          </cell>
          <cell r="H31">
            <v>100</v>
          </cell>
          <cell r="I31">
            <v>100</v>
          </cell>
          <cell r="J31" t="str">
            <v>-</v>
          </cell>
          <cell r="K31">
            <v>100</v>
          </cell>
          <cell r="L31" t="str">
            <v>-</v>
          </cell>
          <cell r="M31">
            <v>100</v>
          </cell>
          <cell r="N31">
            <v>85</v>
          </cell>
          <cell r="O31">
            <v>70</v>
          </cell>
          <cell r="P31">
            <v>50</v>
          </cell>
          <cell r="Q31">
            <v>55</v>
          </cell>
          <cell r="R31">
            <v>65</v>
          </cell>
          <cell r="S31" t="str">
            <v>1)</v>
          </cell>
          <cell r="T31" t="str">
            <v>2)</v>
          </cell>
        </row>
        <row r="32">
          <cell r="A32" t="str">
            <v>Iberischer Drachenkopf</v>
          </cell>
          <cell r="B32" t="str">
            <v>-</v>
          </cell>
          <cell r="C32">
            <v>45</v>
          </cell>
          <cell r="D32" t="str">
            <v>-</v>
          </cell>
          <cell r="E32">
            <v>45</v>
          </cell>
          <cell r="F32">
            <v>45</v>
          </cell>
          <cell r="G32" t="str">
            <v>-</v>
          </cell>
          <cell r="H32">
            <v>45</v>
          </cell>
          <cell r="I32">
            <v>45</v>
          </cell>
          <cell r="J32" t="str">
            <v>-</v>
          </cell>
          <cell r="K32">
            <v>45</v>
          </cell>
          <cell r="L32" t="str">
            <v>-</v>
          </cell>
          <cell r="M32">
            <v>45</v>
          </cell>
          <cell r="N32" t="str">
            <v>manuelle Eingabe erforderlich</v>
          </cell>
        </row>
        <row r="33">
          <cell r="A33" t="str">
            <v>Kanariensaat</v>
          </cell>
          <cell r="B33" t="str">
            <v>&lt;3,0</v>
          </cell>
          <cell r="C33">
            <v>100</v>
          </cell>
          <cell r="D33" t="str">
            <v>3 - 3,5</v>
          </cell>
          <cell r="E33">
            <v>100</v>
          </cell>
          <cell r="F33">
            <v>100</v>
          </cell>
          <cell r="G33" t="str">
            <v>3,5 - 4</v>
          </cell>
          <cell r="H33">
            <v>100</v>
          </cell>
          <cell r="I33">
            <v>100</v>
          </cell>
          <cell r="J33" t="str">
            <v>4 - 4,5</v>
          </cell>
          <cell r="K33">
            <v>100</v>
          </cell>
          <cell r="L33" t="str">
            <v>&gt; 4,5</v>
          </cell>
          <cell r="M33">
            <v>100</v>
          </cell>
          <cell r="N33">
            <v>85</v>
          </cell>
          <cell r="O33">
            <v>70</v>
          </cell>
          <cell r="P33">
            <v>50</v>
          </cell>
          <cell r="Q33">
            <v>55</v>
          </cell>
          <cell r="R33">
            <v>65</v>
          </cell>
          <cell r="S33" t="str">
            <v>1)</v>
          </cell>
          <cell r="T33" t="str">
            <v>2)</v>
          </cell>
        </row>
        <row r="34">
          <cell r="A34" t="str">
            <v>Kichererbsen</v>
          </cell>
          <cell r="B34" t="str">
            <v>&lt; 4</v>
          </cell>
          <cell r="C34">
            <v>100</v>
          </cell>
          <cell r="D34" t="str">
            <v>4,0 - 6,0</v>
          </cell>
          <cell r="E34">
            <v>110</v>
          </cell>
          <cell r="F34">
            <v>0</v>
          </cell>
          <cell r="G34" t="str">
            <v>6,0 - 6,5</v>
          </cell>
          <cell r="H34">
            <v>130</v>
          </cell>
          <cell r="I34">
            <v>0</v>
          </cell>
          <cell r="J34" t="str">
            <v xml:space="preserve">6,5 - 8,0 </v>
          </cell>
          <cell r="K34">
            <v>130</v>
          </cell>
          <cell r="L34" t="str">
            <v>&gt; 8,0</v>
          </cell>
          <cell r="M34">
            <v>130</v>
          </cell>
          <cell r="N34">
            <v>85</v>
          </cell>
          <cell r="O34">
            <v>70</v>
          </cell>
          <cell r="P34">
            <v>50</v>
          </cell>
          <cell r="Q34">
            <v>55</v>
          </cell>
          <cell r="R34">
            <v>65</v>
          </cell>
          <cell r="S34" t="str">
            <v>1)</v>
          </cell>
          <cell r="T34" t="str">
            <v>2)</v>
          </cell>
        </row>
        <row r="35">
          <cell r="A35" t="str">
            <v>Körnererbsen</v>
          </cell>
          <cell r="B35" t="str">
            <v>&lt; 2,5</v>
          </cell>
          <cell r="C35">
            <v>60</v>
          </cell>
          <cell r="D35" t="str">
            <v>2,5 - 4,5</v>
          </cell>
          <cell r="E35">
            <v>60</v>
          </cell>
          <cell r="F35">
            <v>0</v>
          </cell>
          <cell r="G35" t="str">
            <v>4,5 - 5,0</v>
          </cell>
          <cell r="H35">
            <v>60</v>
          </cell>
          <cell r="I35">
            <v>0</v>
          </cell>
          <cell r="J35" t="str">
            <v>5,0 - 5,5</v>
          </cell>
          <cell r="K35">
            <v>60</v>
          </cell>
          <cell r="L35" t="str">
            <v>&gt; 5,5</v>
          </cell>
          <cell r="M35">
            <v>60</v>
          </cell>
          <cell r="N35">
            <v>100</v>
          </cell>
          <cell r="O35">
            <v>80</v>
          </cell>
          <cell r="P35">
            <v>60</v>
          </cell>
          <cell r="Q35">
            <v>65</v>
          </cell>
          <cell r="R35">
            <v>75</v>
          </cell>
          <cell r="S35" t="str">
            <v>1)</v>
          </cell>
          <cell r="T35" t="str">
            <v>2)</v>
          </cell>
        </row>
        <row r="36">
          <cell r="A36" t="str">
            <v>Körnermais</v>
          </cell>
          <cell r="B36" t="str">
            <v>&lt; 6,0</v>
          </cell>
          <cell r="C36">
            <v>115</v>
          </cell>
          <cell r="D36" t="str">
            <v>6,0 - 10,0</v>
          </cell>
          <cell r="E36">
            <v>155</v>
          </cell>
          <cell r="F36">
            <v>140</v>
          </cell>
          <cell r="G36" t="str">
            <v>10,0 - 11,5</v>
          </cell>
          <cell r="H36">
            <v>180</v>
          </cell>
          <cell r="I36">
            <v>160</v>
          </cell>
          <cell r="J36" t="str">
            <v>11,5 - 13,0</v>
          </cell>
          <cell r="K36">
            <v>195</v>
          </cell>
          <cell r="L36" t="str">
            <v>&gt; 13,0</v>
          </cell>
          <cell r="M36">
            <v>210</v>
          </cell>
          <cell r="N36">
            <v>130</v>
          </cell>
          <cell r="O36">
            <v>105</v>
          </cell>
          <cell r="P36">
            <v>75</v>
          </cell>
          <cell r="Q36">
            <v>85</v>
          </cell>
          <cell r="R36">
            <v>100</v>
          </cell>
          <cell r="S36" t="str">
            <v>1)</v>
          </cell>
          <cell r="T36" t="str">
            <v>2)</v>
          </cell>
        </row>
        <row r="37">
          <cell r="A37" t="str">
            <v>Landschaftselement A</v>
          </cell>
          <cell r="B37" t="str">
            <v>-</v>
          </cell>
          <cell r="C37">
            <v>0</v>
          </cell>
          <cell r="D37" t="str">
            <v>-</v>
          </cell>
          <cell r="E37">
            <v>0</v>
          </cell>
          <cell r="F37">
            <v>0</v>
          </cell>
          <cell r="G37" t="str">
            <v>-</v>
          </cell>
          <cell r="H37">
            <v>0</v>
          </cell>
          <cell r="I37">
            <v>0</v>
          </cell>
          <cell r="J37" t="str">
            <v>-</v>
          </cell>
          <cell r="K37">
            <v>0</v>
          </cell>
          <cell r="L37" t="str">
            <v>-</v>
          </cell>
          <cell r="M37">
            <v>0</v>
          </cell>
          <cell r="N37">
            <v>0</v>
          </cell>
          <cell r="O37">
            <v>0</v>
          </cell>
          <cell r="P37">
            <v>0</v>
          </cell>
          <cell r="Q37">
            <v>0</v>
          </cell>
          <cell r="R37">
            <v>0</v>
          </cell>
          <cell r="S37" t="str">
            <v>-</v>
          </cell>
          <cell r="T37" t="str">
            <v>-</v>
          </cell>
        </row>
        <row r="38">
          <cell r="A38" t="str">
            <v>Leindotter</v>
          </cell>
          <cell r="B38" t="str">
            <v>&lt;3,0</v>
          </cell>
          <cell r="C38">
            <v>75</v>
          </cell>
          <cell r="D38" t="str">
            <v>3,5 - 5</v>
          </cell>
          <cell r="E38">
            <v>100</v>
          </cell>
          <cell r="F38">
            <v>80</v>
          </cell>
          <cell r="G38" t="str">
            <v>5 - 6,5</v>
          </cell>
          <cell r="H38">
            <v>115</v>
          </cell>
          <cell r="I38">
            <v>80</v>
          </cell>
          <cell r="J38" t="str">
            <v>6,5 - 8</v>
          </cell>
          <cell r="K38">
            <v>125</v>
          </cell>
          <cell r="L38" t="str">
            <v>&gt; 8</v>
          </cell>
          <cell r="M38">
            <v>135</v>
          </cell>
          <cell r="N38">
            <v>85</v>
          </cell>
          <cell r="O38">
            <v>70</v>
          </cell>
          <cell r="P38">
            <v>50</v>
          </cell>
          <cell r="Q38">
            <v>55</v>
          </cell>
          <cell r="R38">
            <v>65</v>
          </cell>
          <cell r="S38" t="str">
            <v>1)</v>
          </cell>
          <cell r="T38" t="str">
            <v>2)</v>
          </cell>
        </row>
        <row r="39">
          <cell r="A39" t="str">
            <v>Linsen</v>
          </cell>
          <cell r="B39" t="str">
            <v>&lt;3,0</v>
          </cell>
          <cell r="C39">
            <v>60</v>
          </cell>
          <cell r="D39" t="str">
            <v>3,5 - 5</v>
          </cell>
          <cell r="E39">
            <v>60</v>
          </cell>
          <cell r="F39">
            <v>0</v>
          </cell>
          <cell r="G39" t="str">
            <v>5 - 6,5</v>
          </cell>
          <cell r="H39">
            <v>60</v>
          </cell>
          <cell r="I39">
            <v>0</v>
          </cell>
          <cell r="J39" t="str">
            <v>6,5 - 8</v>
          </cell>
          <cell r="K39">
            <v>60</v>
          </cell>
          <cell r="L39" t="str">
            <v>&gt; 8</v>
          </cell>
          <cell r="M39">
            <v>60</v>
          </cell>
          <cell r="N39">
            <v>100</v>
          </cell>
          <cell r="O39">
            <v>80</v>
          </cell>
          <cell r="P39">
            <v>60</v>
          </cell>
          <cell r="Q39">
            <v>65</v>
          </cell>
          <cell r="R39">
            <v>75</v>
          </cell>
          <cell r="S39" t="str">
            <v>1)</v>
          </cell>
          <cell r="T39" t="str">
            <v>2)</v>
          </cell>
        </row>
        <row r="40">
          <cell r="A40" t="str">
            <v>Mais Corn-Cob-Mix (CCM)</v>
          </cell>
          <cell r="B40" t="str">
            <v>&lt; 6,0</v>
          </cell>
          <cell r="C40">
            <v>115</v>
          </cell>
          <cell r="D40" t="str">
            <v>6,0 - 10,0</v>
          </cell>
          <cell r="E40">
            <v>155</v>
          </cell>
          <cell r="F40">
            <v>140</v>
          </cell>
          <cell r="G40" t="str">
            <v>10,0 - 11,5</v>
          </cell>
          <cell r="H40">
            <v>180</v>
          </cell>
          <cell r="I40">
            <v>160</v>
          </cell>
          <cell r="J40" t="str">
            <v>11,5 - 13,0</v>
          </cell>
          <cell r="K40">
            <v>195</v>
          </cell>
          <cell r="L40" t="str">
            <v>&gt; 13,0</v>
          </cell>
          <cell r="M40">
            <v>210</v>
          </cell>
          <cell r="N40">
            <v>130</v>
          </cell>
          <cell r="O40">
            <v>105</v>
          </cell>
          <cell r="P40">
            <v>75</v>
          </cell>
          <cell r="Q40">
            <v>85</v>
          </cell>
          <cell r="R40">
            <v>100</v>
          </cell>
          <cell r="S40" t="str">
            <v>1)</v>
          </cell>
          <cell r="T40" t="str">
            <v>2)</v>
          </cell>
        </row>
        <row r="41">
          <cell r="A41" t="str">
            <v>Mariendisteln</v>
          </cell>
          <cell r="B41" t="str">
            <v>&lt; 1,5</v>
          </cell>
          <cell r="C41">
            <v>80</v>
          </cell>
          <cell r="D41" t="str">
            <v>1,5 - 2,0</v>
          </cell>
          <cell r="E41">
            <v>80</v>
          </cell>
          <cell r="F41">
            <v>60</v>
          </cell>
          <cell r="G41" t="str">
            <v>2,0 - 2,5</v>
          </cell>
          <cell r="H41">
            <v>80</v>
          </cell>
          <cell r="I41">
            <v>60</v>
          </cell>
          <cell r="J41" t="str">
            <v>2,5 - 3</v>
          </cell>
          <cell r="K41">
            <v>80</v>
          </cell>
          <cell r="L41" t="str">
            <v>&gt; 3</v>
          </cell>
          <cell r="M41">
            <v>80</v>
          </cell>
          <cell r="N41">
            <v>85</v>
          </cell>
          <cell r="O41">
            <v>70</v>
          </cell>
          <cell r="P41">
            <v>50</v>
          </cell>
          <cell r="Q41">
            <v>55</v>
          </cell>
          <cell r="R41">
            <v>65</v>
          </cell>
          <cell r="S41" t="str">
            <v>1)</v>
          </cell>
          <cell r="T41" t="str">
            <v>2)</v>
          </cell>
        </row>
        <row r="42">
          <cell r="A42" t="str">
            <v>Mehrjährige Baumschulen</v>
          </cell>
          <cell r="B42" t="str">
            <v>manuelle Eingabe erforderlich</v>
          </cell>
          <cell r="N42">
            <v>85</v>
          </cell>
          <cell r="O42">
            <v>70</v>
          </cell>
          <cell r="P42">
            <v>50</v>
          </cell>
          <cell r="Q42">
            <v>55</v>
          </cell>
          <cell r="R42">
            <v>65</v>
          </cell>
          <cell r="S42" t="str">
            <v>1)</v>
          </cell>
          <cell r="T42" t="str">
            <v>2)</v>
          </cell>
        </row>
        <row r="43">
          <cell r="A43" t="str">
            <v>Naturdenkmal A</v>
          </cell>
          <cell r="B43" t="str">
            <v>-</v>
          </cell>
          <cell r="C43">
            <v>0</v>
          </cell>
          <cell r="D43" t="str">
            <v>-</v>
          </cell>
          <cell r="E43">
            <v>0</v>
          </cell>
          <cell r="F43">
            <v>0</v>
          </cell>
          <cell r="G43" t="str">
            <v>-</v>
          </cell>
          <cell r="H43">
            <v>0</v>
          </cell>
          <cell r="I43">
            <v>0</v>
          </cell>
          <cell r="J43" t="str">
            <v>-</v>
          </cell>
          <cell r="K43">
            <v>0</v>
          </cell>
          <cell r="L43" t="str">
            <v>-</v>
          </cell>
          <cell r="M43">
            <v>0</v>
          </cell>
          <cell r="N43">
            <v>0</v>
          </cell>
          <cell r="O43">
            <v>0</v>
          </cell>
          <cell r="P43">
            <v>0</v>
          </cell>
          <cell r="Q43">
            <v>0</v>
          </cell>
          <cell r="R43">
            <v>0</v>
          </cell>
          <cell r="S43" t="str">
            <v>-</v>
          </cell>
          <cell r="T43" t="str">
            <v>-</v>
          </cell>
        </row>
        <row r="44">
          <cell r="A44" t="str">
            <v>Öllein</v>
          </cell>
          <cell r="B44" t="str">
            <v>&lt; 1,5</v>
          </cell>
          <cell r="C44">
            <v>50</v>
          </cell>
          <cell r="D44" t="str">
            <v>1,5 - 2,0</v>
          </cell>
          <cell r="E44">
            <v>50</v>
          </cell>
          <cell r="F44">
            <v>50</v>
          </cell>
          <cell r="G44" t="str">
            <v>2,0 - 2,5</v>
          </cell>
          <cell r="H44">
            <v>50</v>
          </cell>
          <cell r="I44">
            <v>50</v>
          </cell>
          <cell r="J44" t="str">
            <v>2,5 - 3</v>
          </cell>
          <cell r="K44">
            <v>50</v>
          </cell>
          <cell r="L44" t="str">
            <v>&gt; 3</v>
          </cell>
          <cell r="M44">
            <v>50</v>
          </cell>
          <cell r="N44">
            <v>85</v>
          </cell>
          <cell r="O44">
            <v>70</v>
          </cell>
          <cell r="P44">
            <v>50</v>
          </cell>
          <cell r="Q44">
            <v>55</v>
          </cell>
          <cell r="R44">
            <v>65</v>
          </cell>
          <cell r="S44" t="str">
            <v>1)</v>
          </cell>
          <cell r="T44" t="str">
            <v>2)</v>
          </cell>
        </row>
        <row r="45">
          <cell r="A45" t="str">
            <v>Ölrettich</v>
          </cell>
          <cell r="B45" t="str">
            <v>&lt; 1,0</v>
          </cell>
          <cell r="C45">
            <v>130</v>
          </cell>
          <cell r="D45" t="str">
            <v>1,0 - 1,5</v>
          </cell>
          <cell r="E45">
            <v>130</v>
          </cell>
          <cell r="F45">
            <v>130</v>
          </cell>
          <cell r="G45" t="str">
            <v>1,5 - 2,0</v>
          </cell>
          <cell r="H45">
            <v>130</v>
          </cell>
          <cell r="I45">
            <v>130</v>
          </cell>
          <cell r="J45" t="str">
            <v>2,0 - 2,5</v>
          </cell>
          <cell r="K45">
            <v>130</v>
          </cell>
          <cell r="L45" t="str">
            <v>&gt; 2,5</v>
          </cell>
          <cell r="M45">
            <v>130</v>
          </cell>
          <cell r="N45">
            <v>85</v>
          </cell>
          <cell r="O45">
            <v>70</v>
          </cell>
          <cell r="P45">
            <v>50</v>
          </cell>
          <cell r="Q45">
            <v>55</v>
          </cell>
          <cell r="R45">
            <v>65</v>
          </cell>
          <cell r="S45" t="str">
            <v>1)</v>
          </cell>
          <cell r="T45" t="str">
            <v>2)</v>
          </cell>
        </row>
        <row r="46">
          <cell r="A46" t="str">
            <v>Phacelia</v>
          </cell>
          <cell r="B46" t="str">
            <v>&lt; 1,0</v>
          </cell>
          <cell r="C46">
            <v>100</v>
          </cell>
          <cell r="D46" t="str">
            <v>1,0 - 1,5</v>
          </cell>
          <cell r="E46">
            <v>100</v>
          </cell>
          <cell r="F46">
            <v>100</v>
          </cell>
          <cell r="G46" t="str">
            <v>1,5 - 2,0</v>
          </cell>
          <cell r="H46">
            <v>100</v>
          </cell>
          <cell r="I46">
            <v>100</v>
          </cell>
          <cell r="J46" t="str">
            <v>2,0 - 2,5</v>
          </cell>
          <cell r="K46">
            <v>100</v>
          </cell>
          <cell r="L46" t="str">
            <v>&gt; 2,5</v>
          </cell>
          <cell r="M46">
            <v>100</v>
          </cell>
          <cell r="N46">
            <v>85</v>
          </cell>
          <cell r="O46">
            <v>70</v>
          </cell>
          <cell r="P46">
            <v>50</v>
          </cell>
          <cell r="Q46">
            <v>55</v>
          </cell>
          <cell r="R46">
            <v>65</v>
          </cell>
          <cell r="S46" t="str">
            <v>1)</v>
          </cell>
          <cell r="T46" t="str">
            <v>2)</v>
          </cell>
        </row>
        <row r="47">
          <cell r="A47" t="str">
            <v>Platterbsen</v>
          </cell>
          <cell r="B47" t="str">
            <v>&lt; 2,5</v>
          </cell>
          <cell r="C47">
            <v>60</v>
          </cell>
          <cell r="D47" t="str">
            <v>2,5 - 4,5</v>
          </cell>
          <cell r="E47">
            <v>60</v>
          </cell>
          <cell r="F47">
            <v>0</v>
          </cell>
          <cell r="G47" t="str">
            <v>4,5 - 5,0</v>
          </cell>
          <cell r="H47">
            <v>60</v>
          </cell>
          <cell r="I47">
            <v>0</v>
          </cell>
          <cell r="J47" t="str">
            <v>5,0 - 5,5</v>
          </cell>
          <cell r="K47">
            <v>60</v>
          </cell>
          <cell r="L47" t="str">
            <v>&gt; 5,5</v>
          </cell>
          <cell r="M47">
            <v>60</v>
          </cell>
          <cell r="N47">
            <v>100</v>
          </cell>
          <cell r="O47">
            <v>80</v>
          </cell>
          <cell r="P47">
            <v>60</v>
          </cell>
          <cell r="Q47">
            <v>65</v>
          </cell>
          <cell r="R47">
            <v>75</v>
          </cell>
          <cell r="S47" t="str">
            <v>1)</v>
          </cell>
          <cell r="T47" t="str">
            <v>2)</v>
          </cell>
        </row>
        <row r="48">
          <cell r="A48" t="str">
            <v>Quinoa</v>
          </cell>
          <cell r="B48" t="str">
            <v>manuelle Eingabe erforderlich</v>
          </cell>
          <cell r="N48">
            <v>85</v>
          </cell>
          <cell r="O48">
            <v>70</v>
          </cell>
          <cell r="P48">
            <v>50</v>
          </cell>
          <cell r="Q48">
            <v>55</v>
          </cell>
          <cell r="R48">
            <v>65</v>
          </cell>
          <cell r="S48" t="str">
            <v>1)</v>
          </cell>
          <cell r="T48" t="str">
            <v>2)</v>
          </cell>
        </row>
        <row r="49">
          <cell r="A49" t="str">
            <v>Rebschulen</v>
          </cell>
          <cell r="B49" t="str">
            <v>manuelle Eingabe erforderlich</v>
          </cell>
          <cell r="N49">
            <v>85</v>
          </cell>
          <cell r="O49">
            <v>70</v>
          </cell>
          <cell r="P49">
            <v>50</v>
          </cell>
          <cell r="Q49">
            <v>55</v>
          </cell>
          <cell r="R49">
            <v>65</v>
          </cell>
          <cell r="S49" t="str">
            <v>1)</v>
          </cell>
          <cell r="T49" t="str">
            <v>2)</v>
          </cell>
        </row>
        <row r="50">
          <cell r="A50" t="str">
            <v>Rollrasen</v>
          </cell>
          <cell r="B50" t="str">
            <v>&lt; 3,5</v>
          </cell>
          <cell r="C50">
            <v>210</v>
          </cell>
          <cell r="D50" t="str">
            <v>3,5 - 5,5</v>
          </cell>
          <cell r="E50">
            <v>210</v>
          </cell>
          <cell r="G50" t="str">
            <v>5,5 - 7,0</v>
          </cell>
          <cell r="H50">
            <v>210</v>
          </cell>
          <cell r="J50" t="str">
            <v>7,0 - 8,5</v>
          </cell>
          <cell r="K50">
            <v>210</v>
          </cell>
          <cell r="L50" t="str">
            <v>&gt; 8,5</v>
          </cell>
          <cell r="M50">
            <v>210</v>
          </cell>
          <cell r="N50">
            <v>85</v>
          </cell>
          <cell r="O50">
            <v>70</v>
          </cell>
          <cell r="P50">
            <v>50</v>
          </cell>
          <cell r="Q50">
            <v>55</v>
          </cell>
          <cell r="R50">
            <v>65</v>
          </cell>
          <cell r="S50" t="str">
            <v>1)</v>
          </cell>
          <cell r="T50" t="str">
            <v>2)</v>
          </cell>
        </row>
        <row r="51">
          <cell r="A51" t="str">
            <v>Rübenvermehrung</v>
          </cell>
          <cell r="B51" t="str">
            <v>&lt; 6,0</v>
          </cell>
          <cell r="C51">
            <v>210</v>
          </cell>
          <cell r="D51" t="str">
            <v>6,0 - 10,0</v>
          </cell>
          <cell r="E51">
            <v>210</v>
          </cell>
          <cell r="F51">
            <v>110</v>
          </cell>
          <cell r="G51" t="str">
            <v>10,0 - 11,5</v>
          </cell>
          <cell r="H51">
            <v>210</v>
          </cell>
          <cell r="I51">
            <v>130</v>
          </cell>
          <cell r="J51" t="str">
            <v>11,5 - 13,0</v>
          </cell>
          <cell r="K51">
            <v>210</v>
          </cell>
          <cell r="L51" t="str">
            <v>&gt; 13,0</v>
          </cell>
          <cell r="M51">
            <v>210</v>
          </cell>
          <cell r="N51">
            <v>130</v>
          </cell>
          <cell r="O51">
            <v>105</v>
          </cell>
          <cell r="P51">
            <v>75</v>
          </cell>
          <cell r="Q51">
            <v>85</v>
          </cell>
          <cell r="R51">
            <v>100</v>
          </cell>
          <cell r="S51" t="str">
            <v>1)</v>
          </cell>
          <cell r="T51" t="str">
            <v>2)</v>
          </cell>
        </row>
        <row r="52">
          <cell r="A52" t="str">
            <v>Saatkartoffeln, Pflanzkartoffeln</v>
          </cell>
          <cell r="B52" t="str">
            <v>&lt; 15</v>
          </cell>
          <cell r="C52">
            <v>90</v>
          </cell>
          <cell r="D52" t="str">
            <v>15 - 20</v>
          </cell>
          <cell r="E52">
            <v>120</v>
          </cell>
          <cell r="F52">
            <v>110</v>
          </cell>
          <cell r="G52" t="str">
            <v>&gt; 20</v>
          </cell>
          <cell r="H52">
            <v>145</v>
          </cell>
          <cell r="I52">
            <v>125</v>
          </cell>
          <cell r="J52" t="str">
            <v>&gt; 20</v>
          </cell>
          <cell r="K52">
            <v>145</v>
          </cell>
          <cell r="L52" t="str">
            <v>&gt; 20</v>
          </cell>
          <cell r="M52">
            <v>145</v>
          </cell>
          <cell r="N52">
            <v>90</v>
          </cell>
          <cell r="O52">
            <v>75</v>
          </cell>
          <cell r="P52">
            <v>55</v>
          </cell>
          <cell r="Q52">
            <v>60</v>
          </cell>
          <cell r="R52">
            <v>70</v>
          </cell>
          <cell r="S52" t="str">
            <v>1)</v>
          </cell>
          <cell r="T52" t="str">
            <v>2)</v>
          </cell>
        </row>
        <row r="53">
          <cell r="A53" t="str">
            <v>Senf</v>
          </cell>
          <cell r="B53" t="str">
            <v>-</v>
          </cell>
          <cell r="C53">
            <v>100</v>
          </cell>
          <cell r="D53" t="str">
            <v>-</v>
          </cell>
          <cell r="E53">
            <v>100</v>
          </cell>
          <cell r="F53">
            <v>100</v>
          </cell>
          <cell r="G53" t="str">
            <v>-</v>
          </cell>
          <cell r="H53">
            <v>100</v>
          </cell>
          <cell r="I53">
            <v>100</v>
          </cell>
          <cell r="J53" t="str">
            <v>-</v>
          </cell>
          <cell r="K53">
            <v>100</v>
          </cell>
          <cell r="M53">
            <v>100</v>
          </cell>
          <cell r="N53">
            <v>90</v>
          </cell>
          <cell r="O53">
            <v>75</v>
          </cell>
          <cell r="P53">
            <v>60</v>
          </cell>
          <cell r="Q53">
            <v>60</v>
          </cell>
          <cell r="R53">
            <v>60</v>
          </cell>
          <cell r="S53" t="str">
            <v>1)</v>
          </cell>
          <cell r="T53" t="str">
            <v>2)</v>
          </cell>
        </row>
        <row r="54">
          <cell r="A54" t="str">
            <v>Silomais</v>
          </cell>
          <cell r="B54" t="str">
            <v>&lt; 40</v>
          </cell>
          <cell r="C54">
            <v>130</v>
          </cell>
          <cell r="D54" t="str">
            <v>40 - 50</v>
          </cell>
          <cell r="E54">
            <v>175</v>
          </cell>
          <cell r="F54">
            <v>160</v>
          </cell>
          <cell r="G54" t="str">
            <v>50 - 57,5</v>
          </cell>
          <cell r="H54">
            <v>210</v>
          </cell>
          <cell r="I54">
            <v>180</v>
          </cell>
          <cell r="J54" t="str">
            <v>57,5 - 65,0</v>
          </cell>
          <cell r="K54">
            <v>225</v>
          </cell>
          <cell r="L54" t="str">
            <v>&gt; 65,0</v>
          </cell>
          <cell r="M54">
            <v>240</v>
          </cell>
          <cell r="N54">
            <v>135</v>
          </cell>
          <cell r="O54">
            <v>115</v>
          </cell>
          <cell r="P54">
            <v>80</v>
          </cell>
          <cell r="Q54">
            <v>90</v>
          </cell>
          <cell r="R54">
            <v>105</v>
          </cell>
          <cell r="S54" t="str">
            <v>1)</v>
          </cell>
          <cell r="T54" t="str">
            <v>2)</v>
          </cell>
        </row>
        <row r="55">
          <cell r="A55" t="str">
            <v>Sojabohnen</v>
          </cell>
          <cell r="B55" t="str">
            <v>&lt; 1,5</v>
          </cell>
          <cell r="C55">
            <v>60</v>
          </cell>
          <cell r="D55" t="str">
            <v>1,5 - 2,5</v>
          </cell>
          <cell r="E55">
            <v>60</v>
          </cell>
          <cell r="F55">
            <v>0</v>
          </cell>
          <cell r="G55" t="str">
            <v>2,5 - 3,0</v>
          </cell>
          <cell r="H55">
            <v>60</v>
          </cell>
          <cell r="I55">
            <v>0</v>
          </cell>
          <cell r="J55" t="str">
            <v>3 - 3,5</v>
          </cell>
          <cell r="K55">
            <v>60</v>
          </cell>
          <cell r="L55" t="str">
            <v>&gt; 3,5</v>
          </cell>
          <cell r="M55">
            <v>60</v>
          </cell>
          <cell r="N55">
            <v>100</v>
          </cell>
          <cell r="O55">
            <v>80</v>
          </cell>
          <cell r="P55">
            <v>60</v>
          </cell>
          <cell r="Q55">
            <v>65</v>
          </cell>
          <cell r="R55">
            <v>75</v>
          </cell>
          <cell r="S55" t="str">
            <v>1)</v>
          </cell>
          <cell r="T55" t="str">
            <v>2)</v>
          </cell>
        </row>
        <row r="56">
          <cell r="A56" t="str">
            <v>Sommerbraugerste</v>
          </cell>
          <cell r="B56" t="str">
            <v>&lt; 3,5</v>
          </cell>
          <cell r="C56">
            <v>56</v>
          </cell>
          <cell r="D56" t="str">
            <v>3,5 - 5,0</v>
          </cell>
          <cell r="E56">
            <v>77</v>
          </cell>
          <cell r="F56">
            <v>70</v>
          </cell>
          <cell r="G56" t="str">
            <v>5,0 - 6,5</v>
          </cell>
          <cell r="H56">
            <v>91</v>
          </cell>
          <cell r="I56">
            <v>80</v>
          </cell>
          <cell r="J56" t="str">
            <v>6,5 - 8,0</v>
          </cell>
          <cell r="K56">
            <v>98</v>
          </cell>
          <cell r="L56" t="str">
            <v>&gt; 8,0</v>
          </cell>
          <cell r="M56">
            <v>105</v>
          </cell>
          <cell r="N56">
            <v>85</v>
          </cell>
          <cell r="O56">
            <v>70</v>
          </cell>
          <cell r="P56">
            <v>50</v>
          </cell>
          <cell r="Q56">
            <v>55</v>
          </cell>
          <cell r="R56">
            <v>65</v>
          </cell>
          <cell r="S56" t="str">
            <v>1)</v>
          </cell>
          <cell r="T56" t="str">
            <v>2)</v>
          </cell>
        </row>
        <row r="57">
          <cell r="A57" t="str">
            <v>Sommerdinkel (entspelzt)</v>
          </cell>
          <cell r="B57" t="str">
            <v>&lt; 1,5</v>
          </cell>
          <cell r="C57">
            <v>65</v>
          </cell>
          <cell r="D57" t="str">
            <v>1,5 - 2,5</v>
          </cell>
          <cell r="E57">
            <v>90</v>
          </cell>
          <cell r="F57">
            <v>80</v>
          </cell>
          <cell r="G57" t="str">
            <v>&gt; 2,5</v>
          </cell>
          <cell r="H57">
            <v>105</v>
          </cell>
          <cell r="I57">
            <v>90</v>
          </cell>
          <cell r="J57" t="str">
            <v>&gt; 2,5</v>
          </cell>
          <cell r="K57">
            <v>105</v>
          </cell>
          <cell r="L57" t="str">
            <v>&gt; 2,5</v>
          </cell>
          <cell r="M57">
            <v>105</v>
          </cell>
          <cell r="N57">
            <v>85</v>
          </cell>
          <cell r="O57">
            <v>70</v>
          </cell>
          <cell r="P57">
            <v>50</v>
          </cell>
          <cell r="Q57">
            <v>55</v>
          </cell>
          <cell r="R57">
            <v>65</v>
          </cell>
          <cell r="S57" t="str">
            <v>1)</v>
          </cell>
          <cell r="T57" t="str">
            <v>2)</v>
          </cell>
        </row>
        <row r="58">
          <cell r="A58" t="str">
            <v>Sommerfuttergerste</v>
          </cell>
          <cell r="B58" t="str">
            <v>&lt; 3,5</v>
          </cell>
          <cell r="C58">
            <v>80</v>
          </cell>
          <cell r="D58" t="str">
            <v>3,5 - 5,5</v>
          </cell>
          <cell r="E58">
            <v>110</v>
          </cell>
          <cell r="F58">
            <v>100</v>
          </cell>
          <cell r="G58" t="str">
            <v>5,5 - 7,0</v>
          </cell>
          <cell r="H58">
            <v>130</v>
          </cell>
          <cell r="I58">
            <v>110</v>
          </cell>
          <cell r="J58" t="str">
            <v>7,0 - 9,0</v>
          </cell>
          <cell r="K58">
            <v>140</v>
          </cell>
          <cell r="L58" t="str">
            <v>&gt; 9,0</v>
          </cell>
          <cell r="M58">
            <v>150</v>
          </cell>
          <cell r="N58">
            <v>85</v>
          </cell>
          <cell r="O58">
            <v>70</v>
          </cell>
          <cell r="P58">
            <v>50</v>
          </cell>
          <cell r="Q58">
            <v>55</v>
          </cell>
          <cell r="R58">
            <v>65</v>
          </cell>
          <cell r="S58" t="str">
            <v>1)</v>
          </cell>
          <cell r="T58" t="str">
            <v>2)</v>
          </cell>
        </row>
        <row r="59">
          <cell r="A59" t="str">
            <v xml:space="preserve">Sommerhafer </v>
          </cell>
          <cell r="B59" t="str">
            <v>&lt; 3,5</v>
          </cell>
          <cell r="C59">
            <v>75</v>
          </cell>
          <cell r="D59" t="str">
            <v>3,5 - 5,0</v>
          </cell>
          <cell r="E59">
            <v>100</v>
          </cell>
          <cell r="F59">
            <v>90</v>
          </cell>
          <cell r="G59" t="str">
            <v>5,0 - 6,5</v>
          </cell>
          <cell r="H59">
            <v>115</v>
          </cell>
          <cell r="I59">
            <v>100</v>
          </cell>
          <cell r="J59" t="str">
            <v>6,5 - 8,0</v>
          </cell>
          <cell r="K59">
            <v>125</v>
          </cell>
          <cell r="L59" t="str">
            <v>&gt; 8,0</v>
          </cell>
          <cell r="M59">
            <v>135</v>
          </cell>
          <cell r="N59">
            <v>85</v>
          </cell>
          <cell r="O59">
            <v>70</v>
          </cell>
          <cell r="P59">
            <v>50</v>
          </cell>
          <cell r="Q59">
            <v>55</v>
          </cell>
          <cell r="R59">
            <v>65</v>
          </cell>
          <cell r="S59" t="str">
            <v>1)</v>
          </cell>
          <cell r="T59" t="str">
            <v>2)</v>
          </cell>
        </row>
        <row r="60">
          <cell r="A60" t="str">
            <v>Sommerhartweizen (Durum)</v>
          </cell>
          <cell r="B60" t="str">
            <v>&lt;3,0</v>
          </cell>
          <cell r="C60">
            <v>105</v>
          </cell>
          <cell r="D60" t="str">
            <v>3,0 - 4,5</v>
          </cell>
          <cell r="E60">
            <v>145</v>
          </cell>
          <cell r="F60">
            <v>130</v>
          </cell>
          <cell r="G60" t="str">
            <v>4,5 - 6,0</v>
          </cell>
          <cell r="H60">
            <v>170</v>
          </cell>
          <cell r="I60">
            <v>150</v>
          </cell>
          <cell r="J60" t="str">
            <v>6,0 - 7,5</v>
          </cell>
          <cell r="K60">
            <v>180</v>
          </cell>
          <cell r="L60" t="str">
            <v>&gt; 7,5</v>
          </cell>
          <cell r="M60">
            <v>195</v>
          </cell>
          <cell r="N60">
            <v>85</v>
          </cell>
          <cell r="O60">
            <v>70</v>
          </cell>
          <cell r="P60">
            <v>50</v>
          </cell>
          <cell r="Q60">
            <v>55</v>
          </cell>
          <cell r="R60">
            <v>65</v>
          </cell>
          <cell r="S60" t="str">
            <v>1)</v>
          </cell>
          <cell r="T60" t="str">
            <v>2)</v>
          </cell>
        </row>
        <row r="61">
          <cell r="A61" t="str">
            <v>Sommerkümmel</v>
          </cell>
          <cell r="B61" t="str">
            <v>&lt; 1,5</v>
          </cell>
          <cell r="C61">
            <v>120</v>
          </cell>
          <cell r="D61" t="str">
            <v>1,5 - 2,5</v>
          </cell>
          <cell r="E61">
            <v>120</v>
          </cell>
          <cell r="F61">
            <v>110</v>
          </cell>
          <cell r="G61" t="str">
            <v>2,5 - 3,0</v>
          </cell>
          <cell r="H61">
            <v>120</v>
          </cell>
          <cell r="I61">
            <v>110</v>
          </cell>
          <cell r="J61" t="str">
            <v>3 - 3,5</v>
          </cell>
          <cell r="K61">
            <v>120</v>
          </cell>
          <cell r="L61" t="str">
            <v>&gt; 3,5</v>
          </cell>
          <cell r="M61">
            <v>120</v>
          </cell>
          <cell r="N61">
            <v>90</v>
          </cell>
          <cell r="O61">
            <v>75</v>
          </cell>
          <cell r="P61">
            <v>55</v>
          </cell>
          <cell r="Q61">
            <v>60</v>
          </cell>
          <cell r="R61">
            <v>70</v>
          </cell>
          <cell r="S61" t="str">
            <v>1)</v>
          </cell>
          <cell r="T61" t="str">
            <v>2)</v>
          </cell>
        </row>
        <row r="62">
          <cell r="A62" t="str">
            <v>Sommermenggetreide</v>
          </cell>
          <cell r="B62" t="str">
            <v>manuelle Eingabe erforderlich</v>
          </cell>
          <cell r="N62">
            <v>85</v>
          </cell>
          <cell r="O62">
            <v>70</v>
          </cell>
          <cell r="P62">
            <v>50</v>
          </cell>
          <cell r="Q62">
            <v>55</v>
          </cell>
          <cell r="R62">
            <v>65</v>
          </cell>
          <cell r="S62" t="str">
            <v>1)</v>
          </cell>
          <cell r="T62" t="str">
            <v>2)</v>
          </cell>
        </row>
        <row r="63">
          <cell r="A63" t="str">
            <v>Sommermohn</v>
          </cell>
          <cell r="B63" t="str">
            <v>&lt; 0,6</v>
          </cell>
          <cell r="C63">
            <v>80</v>
          </cell>
          <cell r="D63" t="str">
            <v>0,6 - 0,8</v>
          </cell>
          <cell r="E63">
            <v>80</v>
          </cell>
          <cell r="F63">
            <v>70</v>
          </cell>
          <cell r="G63" t="str">
            <v>0,8 - 1</v>
          </cell>
          <cell r="H63">
            <v>80</v>
          </cell>
          <cell r="I63">
            <v>70</v>
          </cell>
          <cell r="J63" t="str">
            <v>1 - 1,2</v>
          </cell>
          <cell r="K63">
            <v>80</v>
          </cell>
          <cell r="L63" t="str">
            <v>&gt; 1,2</v>
          </cell>
          <cell r="M63">
            <v>80</v>
          </cell>
          <cell r="N63">
            <v>85</v>
          </cell>
          <cell r="O63">
            <v>70</v>
          </cell>
          <cell r="P63">
            <v>50</v>
          </cell>
          <cell r="Q63">
            <v>55</v>
          </cell>
          <cell r="R63">
            <v>65</v>
          </cell>
          <cell r="S63" t="str">
            <v>1)</v>
          </cell>
          <cell r="T63" t="str">
            <v>2)</v>
          </cell>
        </row>
        <row r="64">
          <cell r="A64" t="str">
            <v>Sommerraps</v>
          </cell>
          <cell r="B64" t="str">
            <v>&lt; 2,0</v>
          </cell>
          <cell r="C64">
            <v>115</v>
          </cell>
          <cell r="D64" t="str">
            <v>2,0 - 3,0</v>
          </cell>
          <cell r="E64">
            <v>155</v>
          </cell>
          <cell r="F64">
            <v>140</v>
          </cell>
          <cell r="G64" t="str">
            <v>3,0 - 4,0</v>
          </cell>
          <cell r="H64">
            <v>180</v>
          </cell>
          <cell r="I64">
            <v>160</v>
          </cell>
          <cell r="J64" t="str">
            <v>4,0 - 5,0</v>
          </cell>
          <cell r="K64">
            <v>195</v>
          </cell>
          <cell r="L64" t="str">
            <v>&gt; 5,0</v>
          </cell>
          <cell r="M64">
            <v>210</v>
          </cell>
          <cell r="N64">
            <v>115</v>
          </cell>
          <cell r="O64">
            <v>95</v>
          </cell>
          <cell r="P64">
            <v>70</v>
          </cell>
          <cell r="Q64">
            <v>75</v>
          </cell>
          <cell r="R64">
            <v>85</v>
          </cell>
          <cell r="S64" t="str">
            <v>1)</v>
          </cell>
          <cell r="T64" t="str">
            <v>2)</v>
          </cell>
        </row>
        <row r="65">
          <cell r="A65" t="str">
            <v>Sommerroggen</v>
          </cell>
          <cell r="B65" t="str">
            <v>&lt; 3,5</v>
          </cell>
          <cell r="C65">
            <v>80</v>
          </cell>
          <cell r="D65" t="str">
            <v>3,5 - 5,5</v>
          </cell>
          <cell r="E65">
            <v>110</v>
          </cell>
          <cell r="F65">
            <v>100</v>
          </cell>
          <cell r="G65" t="str">
            <v>5,5 - 7,0</v>
          </cell>
          <cell r="H65">
            <v>130</v>
          </cell>
          <cell r="I65">
            <v>110</v>
          </cell>
          <cell r="J65" t="str">
            <v>7,0 - 8,5</v>
          </cell>
          <cell r="K65">
            <v>140</v>
          </cell>
          <cell r="L65" t="str">
            <v>&gt; 8,5</v>
          </cell>
          <cell r="M65">
            <v>150</v>
          </cell>
          <cell r="N65">
            <v>85</v>
          </cell>
          <cell r="O65">
            <v>70</v>
          </cell>
          <cell r="P65">
            <v>50</v>
          </cell>
          <cell r="Q65">
            <v>55</v>
          </cell>
          <cell r="R65">
            <v>65</v>
          </cell>
          <cell r="S65" t="str">
            <v>1)</v>
          </cell>
          <cell r="T65" t="str">
            <v>2)</v>
          </cell>
        </row>
        <row r="66">
          <cell r="A66" t="str">
            <v>Sommerrübsen</v>
          </cell>
          <cell r="B66" t="str">
            <v>&lt; 1,0</v>
          </cell>
          <cell r="C66">
            <v>130</v>
          </cell>
          <cell r="D66" t="str">
            <v>1,0 - 1,5</v>
          </cell>
          <cell r="E66">
            <v>130</v>
          </cell>
          <cell r="F66">
            <v>130</v>
          </cell>
          <cell r="G66" t="str">
            <v>1,5 - 2,0</v>
          </cell>
          <cell r="H66">
            <v>130</v>
          </cell>
          <cell r="I66">
            <v>130</v>
          </cell>
          <cell r="J66" t="str">
            <v>2,0 - 2,5</v>
          </cell>
          <cell r="K66">
            <v>130</v>
          </cell>
          <cell r="L66" t="str">
            <v>&gt; 2,5</v>
          </cell>
          <cell r="M66">
            <v>130</v>
          </cell>
          <cell r="N66">
            <v>115</v>
          </cell>
          <cell r="O66">
            <v>95</v>
          </cell>
          <cell r="P66">
            <v>70</v>
          </cell>
          <cell r="Q66">
            <v>75</v>
          </cell>
          <cell r="R66">
            <v>85</v>
          </cell>
          <cell r="S66" t="str">
            <v>1)</v>
          </cell>
          <cell r="T66" t="str">
            <v>2)</v>
          </cell>
        </row>
        <row r="67">
          <cell r="A67" t="str">
            <v>Sommertriticale</v>
          </cell>
          <cell r="B67" t="str">
            <v>&lt; 3,5</v>
          </cell>
          <cell r="C67">
            <v>90</v>
          </cell>
          <cell r="D67" t="str">
            <v>3,5 - 6,0</v>
          </cell>
          <cell r="E67">
            <v>120</v>
          </cell>
          <cell r="F67">
            <v>110</v>
          </cell>
          <cell r="G67" t="str">
            <v>6,0 - 7,5</v>
          </cell>
          <cell r="H67">
            <v>145</v>
          </cell>
          <cell r="I67">
            <v>120</v>
          </cell>
          <cell r="J67" t="str">
            <v>7,5 - 9,0</v>
          </cell>
          <cell r="K67">
            <v>155</v>
          </cell>
          <cell r="L67" t="str">
            <v>&gt; 9,0</v>
          </cell>
          <cell r="M67">
            <v>165</v>
          </cell>
          <cell r="N67">
            <v>85</v>
          </cell>
          <cell r="O67">
            <v>70</v>
          </cell>
          <cell r="P67">
            <v>50</v>
          </cell>
          <cell r="Q67">
            <v>55</v>
          </cell>
          <cell r="R67">
            <v>65</v>
          </cell>
          <cell r="S67" t="str">
            <v>1)</v>
          </cell>
          <cell r="T67" t="str">
            <v>2)</v>
          </cell>
        </row>
        <row r="68">
          <cell r="A68" t="str">
            <v>Sommerweichweizen &lt; 14 % Rohprotein</v>
          </cell>
          <cell r="B68" t="str">
            <v>&lt; 3,5</v>
          </cell>
          <cell r="C68">
            <v>105</v>
          </cell>
          <cell r="D68" t="str">
            <v>3,5 - 6,0</v>
          </cell>
          <cell r="E68">
            <v>145</v>
          </cell>
          <cell r="F68">
            <v>130</v>
          </cell>
          <cell r="G68" t="str">
            <v>6,0 - 7,5</v>
          </cell>
          <cell r="H68">
            <v>170</v>
          </cell>
          <cell r="I68">
            <v>150</v>
          </cell>
          <cell r="J68" t="str">
            <v>7,5 - 9,0</v>
          </cell>
          <cell r="K68">
            <v>180</v>
          </cell>
          <cell r="L68" t="str">
            <v>&gt; 9,0</v>
          </cell>
          <cell r="M68">
            <v>195</v>
          </cell>
          <cell r="N68">
            <v>85</v>
          </cell>
          <cell r="O68">
            <v>70</v>
          </cell>
          <cell r="P68">
            <v>50</v>
          </cell>
          <cell r="Q68">
            <v>55</v>
          </cell>
          <cell r="R68">
            <v>65</v>
          </cell>
          <cell r="S68" t="str">
            <v>1)</v>
          </cell>
          <cell r="T68" t="str">
            <v>2)</v>
          </cell>
        </row>
        <row r="69">
          <cell r="A69" t="str">
            <v>Sommerweichweizen ≥ 14 % Rohprotein</v>
          </cell>
          <cell r="B69" t="str">
            <v>&lt; 3,5</v>
          </cell>
          <cell r="C69">
            <v>105</v>
          </cell>
          <cell r="D69" t="str">
            <v>3,5 - 5,5</v>
          </cell>
          <cell r="E69">
            <v>145</v>
          </cell>
          <cell r="F69">
            <v>130</v>
          </cell>
          <cell r="G69" t="str">
            <v>5,5 - 7,0</v>
          </cell>
          <cell r="H69">
            <v>170</v>
          </cell>
          <cell r="I69">
            <v>150</v>
          </cell>
          <cell r="J69" t="str">
            <v>7,0 - 8,5</v>
          </cell>
          <cell r="K69">
            <v>180</v>
          </cell>
          <cell r="L69" t="str">
            <v>&gt; 8,5</v>
          </cell>
          <cell r="M69">
            <v>195</v>
          </cell>
          <cell r="N69">
            <v>85</v>
          </cell>
          <cell r="O69">
            <v>70</v>
          </cell>
          <cell r="P69">
            <v>50</v>
          </cell>
          <cell r="Q69">
            <v>55</v>
          </cell>
          <cell r="R69">
            <v>65</v>
          </cell>
          <cell r="S69" t="str">
            <v>1)</v>
          </cell>
          <cell r="T69" t="str">
            <v>2)</v>
          </cell>
        </row>
        <row r="70">
          <cell r="A70" t="str">
            <v>Sommerwicken</v>
          </cell>
          <cell r="B70" t="str">
            <v>&lt; 25</v>
          </cell>
          <cell r="C70">
            <v>105</v>
          </cell>
          <cell r="D70" t="str">
            <v>25 . 35</v>
          </cell>
          <cell r="E70">
            <v>145</v>
          </cell>
          <cell r="F70">
            <v>0</v>
          </cell>
          <cell r="G70" t="str">
            <v>35 - 45</v>
          </cell>
          <cell r="H70">
            <v>170</v>
          </cell>
          <cell r="I70">
            <v>0</v>
          </cell>
          <cell r="J70" t="str">
            <v>45 - 55</v>
          </cell>
          <cell r="K70">
            <v>180</v>
          </cell>
          <cell r="L70" t="str">
            <v>&gt; 55</v>
          </cell>
          <cell r="M70">
            <v>195</v>
          </cell>
          <cell r="N70">
            <v>100</v>
          </cell>
          <cell r="O70">
            <v>80</v>
          </cell>
          <cell r="P70">
            <v>60</v>
          </cell>
          <cell r="Q70">
            <v>65</v>
          </cell>
          <cell r="R70">
            <v>75</v>
          </cell>
          <cell r="S70" t="str">
            <v>1)</v>
          </cell>
          <cell r="T70" t="str">
            <v>2)</v>
          </cell>
        </row>
        <row r="71">
          <cell r="A71" t="str">
            <v>Sonnenblumen</v>
          </cell>
          <cell r="B71" t="str">
            <v>&lt; 2,0</v>
          </cell>
          <cell r="C71">
            <v>55</v>
          </cell>
          <cell r="D71" t="str">
            <v>2,0 - 3,0</v>
          </cell>
          <cell r="E71">
            <v>65</v>
          </cell>
          <cell r="F71">
            <v>60</v>
          </cell>
          <cell r="G71" t="str">
            <v>3,0 - 4,0</v>
          </cell>
          <cell r="H71">
            <v>80</v>
          </cell>
          <cell r="I71">
            <v>70</v>
          </cell>
          <cell r="J71" t="str">
            <v>4,0 - 5,0</v>
          </cell>
          <cell r="K71">
            <v>85</v>
          </cell>
          <cell r="L71" t="str">
            <v>&gt; 5,0</v>
          </cell>
          <cell r="M71">
            <v>90</v>
          </cell>
          <cell r="N71">
            <v>100</v>
          </cell>
          <cell r="O71">
            <v>80</v>
          </cell>
          <cell r="P71">
            <v>60</v>
          </cell>
          <cell r="Q71">
            <v>65</v>
          </cell>
          <cell r="R71">
            <v>75</v>
          </cell>
          <cell r="S71" t="str">
            <v>1)</v>
          </cell>
          <cell r="T71" t="str">
            <v>2)</v>
          </cell>
        </row>
        <row r="72">
          <cell r="A72" t="str">
            <v>Sonstige Ackerflächen</v>
          </cell>
          <cell r="B72" t="str">
            <v>-</v>
          </cell>
          <cell r="C72">
            <v>0</v>
          </cell>
          <cell r="D72" t="str">
            <v>-</v>
          </cell>
          <cell r="E72">
            <v>0</v>
          </cell>
          <cell r="F72">
            <v>0</v>
          </cell>
          <cell r="G72" t="str">
            <v>-</v>
          </cell>
          <cell r="H72">
            <v>0</v>
          </cell>
          <cell r="I72">
            <v>0</v>
          </cell>
          <cell r="J72" t="str">
            <v>-</v>
          </cell>
          <cell r="K72">
            <v>0</v>
          </cell>
          <cell r="L72" t="str">
            <v>-</v>
          </cell>
          <cell r="M72">
            <v>0</v>
          </cell>
          <cell r="N72">
            <v>0</v>
          </cell>
          <cell r="O72">
            <v>0</v>
          </cell>
          <cell r="P72">
            <v>0</v>
          </cell>
          <cell r="Q72">
            <v>0</v>
          </cell>
          <cell r="R72">
            <v>0</v>
          </cell>
          <cell r="S72" t="str">
            <v>-</v>
          </cell>
          <cell r="T72" t="str">
            <v>-</v>
          </cell>
        </row>
        <row r="73">
          <cell r="A73" t="str">
            <v>Sonstige Ackerkulturen</v>
          </cell>
          <cell r="B73" t="str">
            <v>manuelle Eingabe erforderlich</v>
          </cell>
          <cell r="N73" t="str">
            <v>manuelle Eingabe je nach angebauter Kultur erforderlich</v>
          </cell>
        </row>
        <row r="74">
          <cell r="A74" t="str">
            <v>Sorghum</v>
          </cell>
          <cell r="B74" t="str">
            <v>&lt; 3</v>
          </cell>
          <cell r="C74">
            <v>120</v>
          </cell>
          <cell r="D74" t="str">
            <v>3 - 3,5</v>
          </cell>
          <cell r="E74">
            <v>120</v>
          </cell>
          <cell r="F74">
            <v>120</v>
          </cell>
          <cell r="G74" t="str">
            <v>3,5 - 4</v>
          </cell>
          <cell r="H74">
            <v>120</v>
          </cell>
          <cell r="I74">
            <v>120</v>
          </cell>
          <cell r="J74" t="str">
            <v>4 - 4,5</v>
          </cell>
          <cell r="K74">
            <v>120</v>
          </cell>
          <cell r="L74" t="str">
            <v>&gt; 4,5</v>
          </cell>
          <cell r="M74">
            <v>120</v>
          </cell>
          <cell r="N74">
            <v>85</v>
          </cell>
          <cell r="O74">
            <v>70</v>
          </cell>
          <cell r="P74">
            <v>50</v>
          </cell>
          <cell r="Q74">
            <v>55</v>
          </cell>
          <cell r="R74">
            <v>65</v>
          </cell>
          <cell r="S74" t="str">
            <v>1)</v>
          </cell>
          <cell r="T74" t="str">
            <v>2)</v>
          </cell>
        </row>
        <row r="75">
          <cell r="A75" t="str">
            <v>Speiseindustriekartoffeln</v>
          </cell>
          <cell r="B75" t="str">
            <v>&lt; 25</v>
          </cell>
          <cell r="C75">
            <v>105</v>
          </cell>
          <cell r="D75" t="str">
            <v>25 - 35</v>
          </cell>
          <cell r="E75">
            <v>145</v>
          </cell>
          <cell r="F75">
            <v>130</v>
          </cell>
          <cell r="G75" t="str">
            <v>35 - 45</v>
          </cell>
          <cell r="H75">
            <v>170</v>
          </cell>
          <cell r="I75">
            <v>150</v>
          </cell>
          <cell r="J75" t="str">
            <v>45 - 55</v>
          </cell>
          <cell r="K75">
            <v>180</v>
          </cell>
          <cell r="L75" t="str">
            <v>&gt; 55</v>
          </cell>
          <cell r="M75">
            <v>195</v>
          </cell>
          <cell r="N75">
            <v>100</v>
          </cell>
          <cell r="O75">
            <v>80</v>
          </cell>
          <cell r="P75">
            <v>60</v>
          </cell>
          <cell r="Q75">
            <v>65</v>
          </cell>
          <cell r="R75">
            <v>75</v>
          </cell>
          <cell r="S75" t="str">
            <v>1)</v>
          </cell>
          <cell r="T75" t="str">
            <v>2)</v>
          </cell>
        </row>
        <row r="76">
          <cell r="A76" t="str">
            <v>Speisekartoffeln</v>
          </cell>
          <cell r="B76" t="str">
            <v>&lt; 25</v>
          </cell>
          <cell r="C76">
            <v>105</v>
          </cell>
          <cell r="D76" t="str">
            <v>25 - 35</v>
          </cell>
          <cell r="E76">
            <v>145</v>
          </cell>
          <cell r="F76">
            <v>130</v>
          </cell>
          <cell r="G76" t="str">
            <v>35 - 45</v>
          </cell>
          <cell r="H76">
            <v>170</v>
          </cell>
          <cell r="I76">
            <v>150</v>
          </cell>
          <cell r="J76" t="str">
            <v>45 - 55</v>
          </cell>
          <cell r="K76">
            <v>180</v>
          </cell>
          <cell r="L76" t="str">
            <v>&gt; 55</v>
          </cell>
          <cell r="M76">
            <v>195</v>
          </cell>
          <cell r="N76">
            <v>100</v>
          </cell>
          <cell r="O76">
            <v>80</v>
          </cell>
          <cell r="P76">
            <v>60</v>
          </cell>
          <cell r="Q76">
            <v>65</v>
          </cell>
          <cell r="R76">
            <v>75</v>
          </cell>
          <cell r="S76" t="str">
            <v>1)</v>
          </cell>
          <cell r="T76" t="str">
            <v>2)</v>
          </cell>
        </row>
        <row r="77">
          <cell r="A77" t="str">
            <v>Stärkeindustriekartoffeln</v>
          </cell>
          <cell r="B77" t="str">
            <v>&lt; 25</v>
          </cell>
          <cell r="C77">
            <v>105</v>
          </cell>
          <cell r="D77" t="str">
            <v>25 - 35</v>
          </cell>
          <cell r="E77">
            <v>145</v>
          </cell>
          <cell r="F77">
            <v>130</v>
          </cell>
          <cell r="G77" t="str">
            <v>35 - 45</v>
          </cell>
          <cell r="H77">
            <v>170</v>
          </cell>
          <cell r="I77">
            <v>150</v>
          </cell>
          <cell r="J77" t="str">
            <v>45 - 55</v>
          </cell>
          <cell r="K77">
            <v>180</v>
          </cell>
          <cell r="L77" t="str">
            <v>&gt; 55</v>
          </cell>
          <cell r="M77">
            <v>195</v>
          </cell>
          <cell r="N77">
            <v>100</v>
          </cell>
          <cell r="O77">
            <v>80</v>
          </cell>
          <cell r="P77">
            <v>60</v>
          </cell>
          <cell r="Q77">
            <v>65</v>
          </cell>
          <cell r="R77">
            <v>75</v>
          </cell>
          <cell r="S77" t="str">
            <v>1)</v>
          </cell>
          <cell r="T77" t="str">
            <v>2)</v>
          </cell>
        </row>
        <row r="78">
          <cell r="A78" t="str">
            <v>Sudangras</v>
          </cell>
          <cell r="B78" t="str">
            <v>&lt; 40</v>
          </cell>
          <cell r="C78">
            <v>128</v>
          </cell>
          <cell r="D78" t="str">
            <v>40 - 50</v>
          </cell>
          <cell r="E78">
            <v>176</v>
          </cell>
          <cell r="F78">
            <v>160</v>
          </cell>
          <cell r="G78" t="str">
            <v>50 - 57,5</v>
          </cell>
          <cell r="H78">
            <v>208</v>
          </cell>
          <cell r="I78">
            <v>180</v>
          </cell>
          <cell r="J78" t="str">
            <v>57,5 - 65</v>
          </cell>
          <cell r="K78">
            <v>224</v>
          </cell>
          <cell r="L78" t="str">
            <v>&gt; 65</v>
          </cell>
          <cell r="M78">
            <v>240</v>
          </cell>
          <cell r="N78">
            <v>135</v>
          </cell>
          <cell r="O78">
            <v>115</v>
          </cell>
          <cell r="P78">
            <v>70</v>
          </cell>
          <cell r="Q78">
            <v>90</v>
          </cell>
          <cell r="R78">
            <v>100</v>
          </cell>
          <cell r="S78" t="str">
            <v>1)</v>
          </cell>
          <cell r="T78" t="str">
            <v>2)</v>
          </cell>
        </row>
        <row r="79">
          <cell r="A79" t="str">
            <v>Süßlupinen</v>
          </cell>
          <cell r="B79" t="str">
            <v>-</v>
          </cell>
          <cell r="C79">
            <v>0</v>
          </cell>
          <cell r="D79" t="str">
            <v>-</v>
          </cell>
          <cell r="E79">
            <v>0</v>
          </cell>
          <cell r="F79">
            <v>0</v>
          </cell>
          <cell r="G79" t="str">
            <v>-</v>
          </cell>
          <cell r="H79">
            <v>0</v>
          </cell>
          <cell r="I79">
            <v>0</v>
          </cell>
          <cell r="J79" t="str">
            <v>-</v>
          </cell>
          <cell r="K79">
            <v>0</v>
          </cell>
          <cell r="L79" t="str">
            <v>-</v>
          </cell>
          <cell r="M79">
            <v>0</v>
          </cell>
          <cell r="N79">
            <v>100</v>
          </cell>
          <cell r="O79">
            <v>80</v>
          </cell>
          <cell r="P79">
            <v>60</v>
          </cell>
          <cell r="Q79">
            <v>65</v>
          </cell>
          <cell r="R79">
            <v>75</v>
          </cell>
          <cell r="S79" t="str">
            <v>1)</v>
          </cell>
          <cell r="T79" t="str">
            <v>2)</v>
          </cell>
        </row>
        <row r="80">
          <cell r="A80" t="str">
            <v>Topinambur (Süßkartoffel)</v>
          </cell>
          <cell r="B80" t="str">
            <v>&lt; 3,5</v>
          </cell>
          <cell r="C80">
            <v>100</v>
          </cell>
          <cell r="D80" t="str">
            <v>3,5 - 6,0</v>
          </cell>
          <cell r="E80">
            <v>100</v>
          </cell>
          <cell r="F80">
            <v>100</v>
          </cell>
          <cell r="G80" t="str">
            <v>6,0 - 7,5</v>
          </cell>
          <cell r="H80">
            <v>100</v>
          </cell>
          <cell r="I80">
            <v>100</v>
          </cell>
          <cell r="J80" t="str">
            <v>7,5 - 9,0</v>
          </cell>
          <cell r="K80">
            <v>100</v>
          </cell>
          <cell r="L80" t="str">
            <v>&gt; 9,0</v>
          </cell>
          <cell r="M80">
            <v>100</v>
          </cell>
          <cell r="N80">
            <v>85</v>
          </cell>
          <cell r="O80">
            <v>70</v>
          </cell>
          <cell r="P80">
            <v>50</v>
          </cell>
          <cell r="Q80">
            <v>55</v>
          </cell>
          <cell r="R80">
            <v>65</v>
          </cell>
          <cell r="S80" t="str">
            <v>1)</v>
          </cell>
          <cell r="T80" t="str">
            <v>2)</v>
          </cell>
        </row>
        <row r="81">
          <cell r="A81" t="str">
            <v>Wicken - Getreide Gemenge (50:50)</v>
          </cell>
          <cell r="B81" t="str">
            <v>&lt; 25</v>
          </cell>
          <cell r="C81">
            <v>105</v>
          </cell>
          <cell r="D81" t="str">
            <v>25 . 35</v>
          </cell>
          <cell r="E81">
            <v>145</v>
          </cell>
          <cell r="F81">
            <v>0</v>
          </cell>
          <cell r="G81" t="str">
            <v>35 - 45</v>
          </cell>
          <cell r="H81">
            <v>170</v>
          </cell>
          <cell r="I81">
            <v>0</v>
          </cell>
          <cell r="J81" t="str">
            <v>45 - 55</v>
          </cell>
          <cell r="K81">
            <v>180</v>
          </cell>
          <cell r="L81" t="str">
            <v>&gt; 55</v>
          </cell>
          <cell r="M81">
            <v>195</v>
          </cell>
          <cell r="N81">
            <v>90</v>
          </cell>
          <cell r="O81">
            <v>75</v>
          </cell>
          <cell r="P81">
            <v>55</v>
          </cell>
          <cell r="Q81">
            <v>60</v>
          </cell>
          <cell r="R81">
            <v>70</v>
          </cell>
          <cell r="S81" t="str">
            <v>1)</v>
          </cell>
          <cell r="T81" t="str">
            <v>2)</v>
          </cell>
        </row>
        <row r="82">
          <cell r="A82" t="str">
            <v>Winterdinkel (entspelzt)</v>
          </cell>
          <cell r="B82" t="str">
            <v>&lt; 1,5</v>
          </cell>
          <cell r="C82">
            <v>65</v>
          </cell>
          <cell r="D82" t="str">
            <v>1,5 - 2,5</v>
          </cell>
          <cell r="E82">
            <v>90</v>
          </cell>
          <cell r="F82">
            <v>80</v>
          </cell>
          <cell r="G82" t="str">
            <v>&gt; 2,5</v>
          </cell>
          <cell r="H82">
            <v>105</v>
          </cell>
          <cell r="I82">
            <v>90</v>
          </cell>
          <cell r="J82" t="str">
            <v>&gt; 2,5</v>
          </cell>
          <cell r="K82">
            <v>105</v>
          </cell>
          <cell r="L82" t="str">
            <v>&gt; 2,5</v>
          </cell>
          <cell r="M82">
            <v>105</v>
          </cell>
          <cell r="N82">
            <v>85</v>
          </cell>
          <cell r="O82">
            <v>70</v>
          </cell>
          <cell r="P82">
            <v>50</v>
          </cell>
          <cell r="Q82">
            <v>55</v>
          </cell>
          <cell r="R82">
            <v>65</v>
          </cell>
          <cell r="S82" t="str">
            <v>1)</v>
          </cell>
          <cell r="T82" t="str">
            <v>2)</v>
          </cell>
        </row>
        <row r="83">
          <cell r="A83" t="str">
            <v>Wintergerste</v>
          </cell>
          <cell r="B83" t="str">
            <v>&lt; 3,5</v>
          </cell>
          <cell r="C83">
            <v>95</v>
          </cell>
          <cell r="D83" t="str">
            <v>3,5 - 6,0</v>
          </cell>
          <cell r="E83">
            <v>130</v>
          </cell>
          <cell r="F83">
            <v>120</v>
          </cell>
          <cell r="G83" t="str">
            <v>6,0 - 7,5</v>
          </cell>
          <cell r="H83">
            <v>155</v>
          </cell>
          <cell r="I83">
            <v>135</v>
          </cell>
          <cell r="J83" t="str">
            <v>7,5 - 9,0</v>
          </cell>
          <cell r="K83">
            <v>170</v>
          </cell>
          <cell r="L83" t="str">
            <v>&gt; 9,0</v>
          </cell>
          <cell r="M83">
            <v>180</v>
          </cell>
          <cell r="N83">
            <v>85</v>
          </cell>
          <cell r="O83">
            <v>70</v>
          </cell>
          <cell r="P83">
            <v>50</v>
          </cell>
          <cell r="Q83">
            <v>55</v>
          </cell>
          <cell r="R83">
            <v>65</v>
          </cell>
          <cell r="S83" t="str">
            <v>1)</v>
          </cell>
          <cell r="T83" t="str">
            <v>2)</v>
          </cell>
        </row>
        <row r="84">
          <cell r="A84" t="str">
            <v xml:space="preserve">Winterhafer </v>
          </cell>
          <cell r="B84" t="str">
            <v>&lt; 3,5</v>
          </cell>
          <cell r="C84">
            <v>75</v>
          </cell>
          <cell r="D84" t="str">
            <v>3,5 - 5,0</v>
          </cell>
          <cell r="E84">
            <v>100</v>
          </cell>
          <cell r="F84">
            <v>90</v>
          </cell>
          <cell r="G84" t="str">
            <v>5,0 - 6,5</v>
          </cell>
          <cell r="H84">
            <v>115</v>
          </cell>
          <cell r="I84">
            <v>100</v>
          </cell>
          <cell r="J84" t="str">
            <v>6,5 - 8,0</v>
          </cell>
          <cell r="K84">
            <v>125</v>
          </cell>
          <cell r="L84" t="str">
            <v>&gt; 8,0</v>
          </cell>
          <cell r="M84">
            <v>135</v>
          </cell>
          <cell r="N84">
            <v>85</v>
          </cell>
          <cell r="O84">
            <v>70</v>
          </cell>
          <cell r="P84">
            <v>50</v>
          </cell>
          <cell r="Q84">
            <v>55</v>
          </cell>
          <cell r="R84">
            <v>65</v>
          </cell>
          <cell r="S84" t="str">
            <v>1)</v>
          </cell>
          <cell r="T84" t="str">
            <v>2)</v>
          </cell>
        </row>
        <row r="85">
          <cell r="A85" t="str">
            <v>Winterhartweizen (Durum)</v>
          </cell>
          <cell r="B85" t="str">
            <v>&lt; 3,0</v>
          </cell>
          <cell r="C85">
            <v>105</v>
          </cell>
          <cell r="D85" t="str">
            <v>3,0 - 4,5</v>
          </cell>
          <cell r="E85">
            <v>145</v>
          </cell>
          <cell r="F85">
            <v>130</v>
          </cell>
          <cell r="G85" t="str">
            <v>4,5 - 6,0</v>
          </cell>
          <cell r="H85">
            <v>170</v>
          </cell>
          <cell r="I85">
            <v>150</v>
          </cell>
          <cell r="J85" t="str">
            <v>6,0 - 7,5</v>
          </cell>
          <cell r="K85">
            <v>180</v>
          </cell>
          <cell r="L85" t="str">
            <v>&gt; 7,5</v>
          </cell>
          <cell r="M85">
            <v>195</v>
          </cell>
          <cell r="N85">
            <v>85</v>
          </cell>
          <cell r="O85">
            <v>70</v>
          </cell>
          <cell r="P85">
            <v>50</v>
          </cell>
          <cell r="Q85">
            <v>55</v>
          </cell>
          <cell r="R85">
            <v>65</v>
          </cell>
          <cell r="S85" t="str">
            <v>1)</v>
          </cell>
          <cell r="T85" t="str">
            <v>2)</v>
          </cell>
        </row>
        <row r="86">
          <cell r="A86" t="str">
            <v>Winterkümmel</v>
          </cell>
          <cell r="B86" t="str">
            <v>&lt; 1,5</v>
          </cell>
          <cell r="C86">
            <v>120</v>
          </cell>
          <cell r="D86" t="str">
            <v>1,5 - 2,5</v>
          </cell>
          <cell r="E86">
            <v>120</v>
          </cell>
          <cell r="F86">
            <v>110</v>
          </cell>
          <cell r="G86" t="str">
            <v>2,5 - 3,0</v>
          </cell>
          <cell r="H86">
            <v>120</v>
          </cell>
          <cell r="I86">
            <v>110</v>
          </cell>
          <cell r="J86" t="str">
            <v>3 - 3,5</v>
          </cell>
          <cell r="K86">
            <v>120</v>
          </cell>
          <cell r="L86" t="str">
            <v>&gt; 3,5</v>
          </cell>
          <cell r="M86">
            <v>120</v>
          </cell>
          <cell r="N86">
            <v>90</v>
          </cell>
          <cell r="O86">
            <v>75</v>
          </cell>
          <cell r="P86">
            <v>55</v>
          </cell>
          <cell r="Q86">
            <v>60</v>
          </cell>
          <cell r="R86">
            <v>70</v>
          </cell>
          <cell r="S86" t="str">
            <v>1)</v>
          </cell>
          <cell r="T86" t="str">
            <v>2)</v>
          </cell>
        </row>
        <row r="87">
          <cell r="A87" t="str">
            <v>Wintermenggetreide</v>
          </cell>
          <cell r="B87" t="str">
            <v>&lt; 10</v>
          </cell>
          <cell r="C87">
            <v>50</v>
          </cell>
          <cell r="D87" t="str">
            <v>10,0 - 12,0</v>
          </cell>
          <cell r="E87">
            <v>50</v>
          </cell>
          <cell r="G87" t="str">
            <v>12,0 - 14,0</v>
          </cell>
          <cell r="H87">
            <v>50</v>
          </cell>
          <cell r="J87" t="str">
            <v>14 - 15</v>
          </cell>
          <cell r="K87">
            <v>50</v>
          </cell>
          <cell r="L87" t="str">
            <v>&gt; 15</v>
          </cell>
          <cell r="M87">
            <v>50</v>
          </cell>
          <cell r="N87">
            <v>85</v>
          </cell>
          <cell r="O87">
            <v>70</v>
          </cell>
          <cell r="P87">
            <v>50</v>
          </cell>
          <cell r="Q87">
            <v>55</v>
          </cell>
          <cell r="R87">
            <v>65</v>
          </cell>
          <cell r="S87" t="str">
            <v>1)</v>
          </cell>
          <cell r="T87" t="str">
            <v>2)</v>
          </cell>
        </row>
        <row r="88">
          <cell r="A88" t="str">
            <v>Wintermohn</v>
          </cell>
          <cell r="B88" t="str">
            <v>&lt; 0,6</v>
          </cell>
          <cell r="C88">
            <v>80</v>
          </cell>
          <cell r="D88" t="str">
            <v>0,6 - 0,8</v>
          </cell>
          <cell r="E88">
            <v>80</v>
          </cell>
          <cell r="F88">
            <v>70</v>
          </cell>
          <cell r="G88" t="str">
            <v>0,8 - 1</v>
          </cell>
          <cell r="H88">
            <v>80</v>
          </cell>
          <cell r="I88">
            <v>70</v>
          </cell>
          <cell r="J88" t="str">
            <v>1 - 1,2</v>
          </cell>
          <cell r="K88">
            <v>80</v>
          </cell>
          <cell r="L88" t="str">
            <v>&gt; 1,2</v>
          </cell>
          <cell r="M88">
            <v>80</v>
          </cell>
          <cell r="N88">
            <v>85</v>
          </cell>
          <cell r="O88">
            <v>70</v>
          </cell>
          <cell r="P88">
            <v>50</v>
          </cell>
          <cell r="Q88">
            <v>55</v>
          </cell>
          <cell r="R88">
            <v>65</v>
          </cell>
          <cell r="S88" t="str">
            <v>1)</v>
          </cell>
          <cell r="T88" t="str">
            <v>2)</v>
          </cell>
        </row>
        <row r="89">
          <cell r="A89" t="str">
            <v>Winterraps</v>
          </cell>
          <cell r="B89" t="str">
            <v>&lt; 2,0</v>
          </cell>
          <cell r="C89">
            <v>115</v>
          </cell>
          <cell r="D89" t="str">
            <v>2,0 - 3,0</v>
          </cell>
          <cell r="E89">
            <v>155</v>
          </cell>
          <cell r="F89">
            <v>140</v>
          </cell>
          <cell r="G89" t="str">
            <v>3,0 - 4,0</v>
          </cell>
          <cell r="H89">
            <v>180</v>
          </cell>
          <cell r="I89">
            <v>160</v>
          </cell>
          <cell r="J89" t="str">
            <v>4,0 - 5,0</v>
          </cell>
          <cell r="K89">
            <v>195</v>
          </cell>
          <cell r="L89" t="str">
            <v>&gt; 5,0</v>
          </cell>
          <cell r="M89">
            <v>210</v>
          </cell>
          <cell r="N89">
            <v>115</v>
          </cell>
          <cell r="O89">
            <v>95</v>
          </cell>
          <cell r="P89">
            <v>70</v>
          </cell>
          <cell r="Q89">
            <v>75</v>
          </cell>
          <cell r="R89">
            <v>85</v>
          </cell>
          <cell r="S89" t="str">
            <v>1)</v>
          </cell>
          <cell r="T89" t="str">
            <v>2)</v>
          </cell>
        </row>
        <row r="90">
          <cell r="A90" t="str">
            <v>Winterroggen</v>
          </cell>
          <cell r="B90" t="str">
            <v>&lt; 3,5</v>
          </cell>
          <cell r="C90">
            <v>80</v>
          </cell>
          <cell r="D90" t="str">
            <v>3,5 - 5,5</v>
          </cell>
          <cell r="E90">
            <v>110</v>
          </cell>
          <cell r="F90">
            <v>100</v>
          </cell>
          <cell r="G90" t="str">
            <v>5,5 - 7,0</v>
          </cell>
          <cell r="H90">
            <v>130</v>
          </cell>
          <cell r="I90">
            <v>110</v>
          </cell>
          <cell r="J90" t="str">
            <v>7,0 - 8,5</v>
          </cell>
          <cell r="K90">
            <v>140</v>
          </cell>
          <cell r="L90" t="str">
            <v>&gt; 8,5</v>
          </cell>
          <cell r="M90">
            <v>150</v>
          </cell>
          <cell r="N90">
            <v>85</v>
          </cell>
          <cell r="O90">
            <v>70</v>
          </cell>
          <cell r="P90">
            <v>50</v>
          </cell>
          <cell r="Q90">
            <v>55</v>
          </cell>
          <cell r="R90">
            <v>65</v>
          </cell>
          <cell r="S90" t="str">
            <v>1)</v>
          </cell>
          <cell r="T90" t="str">
            <v>2)</v>
          </cell>
        </row>
        <row r="91">
          <cell r="A91" t="str">
            <v>Winterrübsen</v>
          </cell>
          <cell r="B91" t="str">
            <v>&lt; 1,0</v>
          </cell>
          <cell r="C91">
            <v>130</v>
          </cell>
          <cell r="D91" t="str">
            <v>1,0 - 1,5</v>
          </cell>
          <cell r="E91">
            <v>130</v>
          </cell>
          <cell r="F91">
            <v>130</v>
          </cell>
          <cell r="G91" t="str">
            <v>1,5 - 2,0</v>
          </cell>
          <cell r="H91">
            <v>130</v>
          </cell>
          <cell r="I91">
            <v>130</v>
          </cell>
          <cell r="J91" t="str">
            <v>2,0 - 2,5</v>
          </cell>
          <cell r="K91">
            <v>130</v>
          </cell>
          <cell r="L91" t="str">
            <v>&gt; 2,5</v>
          </cell>
          <cell r="M91">
            <v>130</v>
          </cell>
          <cell r="N91">
            <v>115</v>
          </cell>
          <cell r="O91">
            <v>95</v>
          </cell>
          <cell r="P91">
            <v>70</v>
          </cell>
          <cell r="Q91">
            <v>75</v>
          </cell>
          <cell r="R91">
            <v>85</v>
          </cell>
          <cell r="S91" t="str">
            <v>1)</v>
          </cell>
          <cell r="T91" t="str">
            <v>2)</v>
          </cell>
        </row>
        <row r="92">
          <cell r="A92" t="str">
            <v>Wintertriticale</v>
          </cell>
          <cell r="B92" t="str">
            <v>&lt; 3,5</v>
          </cell>
          <cell r="C92">
            <v>90</v>
          </cell>
          <cell r="D92" t="str">
            <v>3,5 - 6,0</v>
          </cell>
          <cell r="E92">
            <v>120</v>
          </cell>
          <cell r="F92">
            <v>110</v>
          </cell>
          <cell r="G92" t="str">
            <v>6,0 - 7,5</v>
          </cell>
          <cell r="H92">
            <v>145</v>
          </cell>
          <cell r="I92">
            <v>120</v>
          </cell>
          <cell r="J92" t="str">
            <v>7,5 - 9,0</v>
          </cell>
          <cell r="K92">
            <v>155</v>
          </cell>
          <cell r="L92" t="str">
            <v>&gt; 9,0</v>
          </cell>
          <cell r="M92">
            <v>165</v>
          </cell>
          <cell r="N92">
            <v>85</v>
          </cell>
          <cell r="O92">
            <v>70</v>
          </cell>
          <cell r="P92">
            <v>50</v>
          </cell>
          <cell r="Q92">
            <v>55</v>
          </cell>
          <cell r="R92">
            <v>65</v>
          </cell>
          <cell r="S92" t="str">
            <v>1)</v>
          </cell>
          <cell r="T92" t="str">
            <v>2)</v>
          </cell>
        </row>
        <row r="93">
          <cell r="A93" t="str">
            <v>Winterweichweizen &lt; 14 % Rohprotein</v>
          </cell>
          <cell r="B93" t="str">
            <v>&lt; 3,5</v>
          </cell>
          <cell r="C93">
            <v>105</v>
          </cell>
          <cell r="D93" t="str">
            <v>3,5 - 6,0</v>
          </cell>
          <cell r="E93">
            <v>145</v>
          </cell>
          <cell r="F93">
            <v>130</v>
          </cell>
          <cell r="G93" t="str">
            <v>6,0 - 7,5</v>
          </cell>
          <cell r="H93">
            <v>170</v>
          </cell>
          <cell r="I93">
            <v>150</v>
          </cell>
          <cell r="J93" t="str">
            <v>7,5 - 9,0</v>
          </cell>
          <cell r="K93">
            <v>180</v>
          </cell>
          <cell r="L93" t="str">
            <v>&gt; 9,0</v>
          </cell>
          <cell r="M93">
            <v>195</v>
          </cell>
          <cell r="N93">
            <v>85</v>
          </cell>
          <cell r="O93">
            <v>70</v>
          </cell>
          <cell r="P93">
            <v>50</v>
          </cell>
          <cell r="Q93">
            <v>55</v>
          </cell>
          <cell r="R93">
            <v>65</v>
          </cell>
          <cell r="S93" t="str">
            <v>1)</v>
          </cell>
          <cell r="T93" t="str">
            <v>2)</v>
          </cell>
        </row>
        <row r="94">
          <cell r="A94" t="str">
            <v>Winterweichweizen ≥ 14 % Rohprotein</v>
          </cell>
          <cell r="B94" t="str">
            <v>&lt; 3,5</v>
          </cell>
          <cell r="C94">
            <v>105</v>
          </cell>
          <cell r="D94" t="str">
            <v>3,5 - 5,5</v>
          </cell>
          <cell r="E94">
            <v>145</v>
          </cell>
          <cell r="F94">
            <v>130</v>
          </cell>
          <cell r="G94" t="str">
            <v>5,5 - 7,0</v>
          </cell>
          <cell r="H94">
            <v>170</v>
          </cell>
          <cell r="I94">
            <v>150</v>
          </cell>
          <cell r="J94" t="str">
            <v>7,0 - 8,5</v>
          </cell>
          <cell r="K94">
            <v>180</v>
          </cell>
          <cell r="L94" t="str">
            <v>&gt; 8,5</v>
          </cell>
          <cell r="M94">
            <v>195</v>
          </cell>
          <cell r="N94">
            <v>85</v>
          </cell>
          <cell r="O94">
            <v>70</v>
          </cell>
          <cell r="P94">
            <v>50</v>
          </cell>
          <cell r="Q94">
            <v>55</v>
          </cell>
          <cell r="R94">
            <v>65</v>
          </cell>
          <cell r="S94" t="str">
            <v>1)</v>
          </cell>
          <cell r="T94" t="str">
            <v>2)</v>
          </cell>
        </row>
        <row r="95">
          <cell r="A95" t="str">
            <v>Winterwicken</v>
          </cell>
          <cell r="B95" t="str">
            <v>&lt; 25</v>
          </cell>
          <cell r="C95">
            <v>105</v>
          </cell>
          <cell r="D95" t="str">
            <v>25 . 35</v>
          </cell>
          <cell r="E95">
            <v>145</v>
          </cell>
          <cell r="F95">
            <v>0</v>
          </cell>
          <cell r="G95" t="str">
            <v>35 - 45</v>
          </cell>
          <cell r="H95">
            <v>170</v>
          </cell>
          <cell r="I95">
            <v>0</v>
          </cell>
          <cell r="J95" t="str">
            <v>45 - 55</v>
          </cell>
          <cell r="K95">
            <v>180</v>
          </cell>
          <cell r="L95" t="str">
            <v>&gt; 55</v>
          </cell>
          <cell r="M95">
            <v>195</v>
          </cell>
          <cell r="N95">
            <v>100</v>
          </cell>
          <cell r="O95">
            <v>80</v>
          </cell>
          <cell r="P95">
            <v>60</v>
          </cell>
          <cell r="Q95">
            <v>65</v>
          </cell>
          <cell r="R95">
            <v>75</v>
          </cell>
          <cell r="S95" t="str">
            <v>1)</v>
          </cell>
          <cell r="T95" t="str">
            <v>2)</v>
          </cell>
        </row>
        <row r="96">
          <cell r="A96" t="str">
            <v>Zuckerrübe</v>
          </cell>
          <cell r="B96" t="str">
            <v>&lt; 45</v>
          </cell>
          <cell r="C96">
            <v>90</v>
          </cell>
          <cell r="D96" t="str">
            <v>45 - 60</v>
          </cell>
          <cell r="E96">
            <v>120</v>
          </cell>
          <cell r="F96">
            <v>110</v>
          </cell>
          <cell r="G96" t="str">
            <v>60 - 70</v>
          </cell>
          <cell r="H96">
            <v>145</v>
          </cell>
          <cell r="I96">
            <v>130</v>
          </cell>
          <cell r="J96" t="str">
            <v>70 - 80</v>
          </cell>
          <cell r="K96">
            <v>155</v>
          </cell>
          <cell r="L96" t="str">
            <v>&gt; 80</v>
          </cell>
          <cell r="M96">
            <v>165</v>
          </cell>
          <cell r="N96">
            <v>130</v>
          </cell>
          <cell r="O96">
            <v>105</v>
          </cell>
          <cell r="P96">
            <v>75</v>
          </cell>
          <cell r="Q96">
            <v>85</v>
          </cell>
          <cell r="R96">
            <v>100</v>
          </cell>
          <cell r="S96" t="str">
            <v>1)</v>
          </cell>
          <cell r="T96" t="str">
            <v>2)</v>
          </cell>
        </row>
        <row r="97">
          <cell r="A97" t="str">
            <v>Heil- und Gewürzpflanzen:</v>
          </cell>
        </row>
        <row r="98">
          <cell r="A98" t="str">
            <v>Ackerstiefmütterchen</v>
          </cell>
          <cell r="B98" t="str">
            <v>-</v>
          </cell>
          <cell r="C98">
            <v>80</v>
          </cell>
          <cell r="D98" t="str">
            <v>-</v>
          </cell>
          <cell r="E98">
            <v>80</v>
          </cell>
          <cell r="F98">
            <v>70</v>
          </cell>
          <cell r="G98" t="str">
            <v>-</v>
          </cell>
          <cell r="H98">
            <v>80</v>
          </cell>
          <cell r="I98">
            <v>70</v>
          </cell>
          <cell r="J98" t="str">
            <v>-</v>
          </cell>
          <cell r="K98">
            <v>80</v>
          </cell>
          <cell r="L98" t="str">
            <v>-</v>
          </cell>
          <cell r="M98">
            <v>80</v>
          </cell>
          <cell r="N98">
            <v>105</v>
          </cell>
          <cell r="O98">
            <v>90</v>
          </cell>
          <cell r="P98">
            <v>70</v>
          </cell>
          <cell r="Q98">
            <v>70</v>
          </cell>
          <cell r="R98">
            <v>70</v>
          </cell>
          <cell r="S98" t="str">
            <v>1)</v>
          </cell>
          <cell r="T98" t="str">
            <v>2)</v>
          </cell>
        </row>
        <row r="99">
          <cell r="A99" t="str">
            <v>Alant</v>
          </cell>
          <cell r="B99" t="str">
            <v>-</v>
          </cell>
          <cell r="C99">
            <v>140</v>
          </cell>
          <cell r="D99" t="str">
            <v>-</v>
          </cell>
          <cell r="E99">
            <v>140</v>
          </cell>
          <cell r="F99">
            <v>130</v>
          </cell>
          <cell r="G99" t="str">
            <v>-</v>
          </cell>
          <cell r="H99">
            <v>140</v>
          </cell>
          <cell r="I99">
            <v>130</v>
          </cell>
          <cell r="J99" t="str">
            <v>-</v>
          </cell>
          <cell r="K99">
            <v>140</v>
          </cell>
          <cell r="L99" t="str">
            <v>-</v>
          </cell>
          <cell r="M99">
            <v>140</v>
          </cell>
          <cell r="N99">
            <v>90</v>
          </cell>
          <cell r="O99">
            <v>75</v>
          </cell>
          <cell r="P99">
            <v>60</v>
          </cell>
          <cell r="Q99">
            <v>60</v>
          </cell>
          <cell r="R99">
            <v>60</v>
          </cell>
          <cell r="S99" t="str">
            <v>1)</v>
          </cell>
          <cell r="T99" t="str">
            <v>2)</v>
          </cell>
        </row>
        <row r="100">
          <cell r="A100" t="str">
            <v>Anis</v>
          </cell>
          <cell r="B100" t="str">
            <v>-</v>
          </cell>
          <cell r="C100">
            <v>50</v>
          </cell>
          <cell r="D100" t="str">
            <v>-</v>
          </cell>
          <cell r="E100">
            <v>50</v>
          </cell>
          <cell r="F100">
            <v>50</v>
          </cell>
          <cell r="G100" t="str">
            <v>-</v>
          </cell>
          <cell r="H100">
            <v>50</v>
          </cell>
          <cell r="I100">
            <v>50</v>
          </cell>
          <cell r="J100" t="str">
            <v>-</v>
          </cell>
          <cell r="K100">
            <v>50</v>
          </cell>
          <cell r="L100" t="str">
            <v>-</v>
          </cell>
          <cell r="M100">
            <v>50</v>
          </cell>
          <cell r="N100">
            <v>135</v>
          </cell>
          <cell r="O100">
            <v>115</v>
          </cell>
          <cell r="P100">
            <v>90</v>
          </cell>
          <cell r="Q100">
            <v>90</v>
          </cell>
          <cell r="R100">
            <v>90</v>
          </cell>
          <cell r="S100" t="str">
            <v>1)</v>
          </cell>
          <cell r="T100" t="str">
            <v>2)</v>
          </cell>
        </row>
        <row r="101">
          <cell r="A101" t="str">
            <v>Arnika (Berg-)</v>
          </cell>
          <cell r="B101" t="str">
            <v>-</v>
          </cell>
          <cell r="C101">
            <v>0</v>
          </cell>
          <cell r="D101" t="str">
            <v>-</v>
          </cell>
          <cell r="E101">
            <v>0</v>
          </cell>
          <cell r="F101">
            <v>0</v>
          </cell>
          <cell r="G101" t="str">
            <v>-</v>
          </cell>
          <cell r="H101">
            <v>0</v>
          </cell>
          <cell r="I101">
            <v>0</v>
          </cell>
          <cell r="J101" t="str">
            <v>-</v>
          </cell>
          <cell r="K101">
            <v>0</v>
          </cell>
          <cell r="L101" t="str">
            <v>-</v>
          </cell>
          <cell r="M101">
            <v>0</v>
          </cell>
          <cell r="N101">
            <v>0</v>
          </cell>
          <cell r="O101">
            <v>0</v>
          </cell>
          <cell r="P101">
            <v>0</v>
          </cell>
          <cell r="Q101">
            <v>0</v>
          </cell>
          <cell r="R101">
            <v>0</v>
          </cell>
          <cell r="S101" t="str">
            <v xml:space="preserve"> -</v>
          </cell>
          <cell r="T101" t="str">
            <v xml:space="preserve"> -</v>
          </cell>
        </row>
        <row r="102">
          <cell r="A102" t="str">
            <v>Artemisia-Arten</v>
          </cell>
          <cell r="B102" t="str">
            <v>-</v>
          </cell>
          <cell r="C102">
            <v>140</v>
          </cell>
          <cell r="D102" t="str">
            <v>-</v>
          </cell>
          <cell r="E102">
            <v>140</v>
          </cell>
          <cell r="F102">
            <v>70</v>
          </cell>
          <cell r="G102" t="str">
            <v>-</v>
          </cell>
          <cell r="H102">
            <v>140</v>
          </cell>
          <cell r="I102">
            <v>70</v>
          </cell>
          <cell r="J102" t="str">
            <v>-</v>
          </cell>
          <cell r="K102">
            <v>140</v>
          </cell>
          <cell r="L102" t="str">
            <v>-</v>
          </cell>
          <cell r="M102">
            <v>140</v>
          </cell>
          <cell r="N102">
            <v>105</v>
          </cell>
          <cell r="O102">
            <v>90</v>
          </cell>
          <cell r="P102">
            <v>70</v>
          </cell>
          <cell r="Q102">
            <v>70</v>
          </cell>
          <cell r="R102">
            <v>70</v>
          </cell>
          <cell r="S102" t="str">
            <v>1)</v>
          </cell>
          <cell r="T102" t="str">
            <v>2)</v>
          </cell>
        </row>
        <row r="103">
          <cell r="A103" t="str">
            <v>Baldrian</v>
          </cell>
          <cell r="B103" t="str">
            <v>-</v>
          </cell>
          <cell r="C103">
            <v>150</v>
          </cell>
          <cell r="D103" t="str">
            <v>-</v>
          </cell>
          <cell r="E103">
            <v>150</v>
          </cell>
          <cell r="F103">
            <v>140</v>
          </cell>
          <cell r="G103" t="str">
            <v>-</v>
          </cell>
          <cell r="H103">
            <v>150</v>
          </cell>
          <cell r="I103">
            <v>140</v>
          </cell>
          <cell r="J103" t="str">
            <v>-</v>
          </cell>
          <cell r="K103">
            <v>150</v>
          </cell>
          <cell r="L103" t="str">
            <v>-</v>
          </cell>
          <cell r="M103">
            <v>150</v>
          </cell>
          <cell r="N103">
            <v>75</v>
          </cell>
          <cell r="O103">
            <v>65</v>
          </cell>
          <cell r="P103">
            <v>50</v>
          </cell>
          <cell r="Q103">
            <v>50</v>
          </cell>
          <cell r="R103">
            <v>50</v>
          </cell>
          <cell r="S103" t="str">
            <v>1)</v>
          </cell>
          <cell r="T103" t="str">
            <v>2)</v>
          </cell>
        </row>
        <row r="104">
          <cell r="A104" t="str">
            <v xml:space="preserve">Basilikum </v>
          </cell>
          <cell r="B104" t="str">
            <v>-</v>
          </cell>
          <cell r="C104">
            <v>100</v>
          </cell>
          <cell r="D104" t="str">
            <v>-</v>
          </cell>
          <cell r="E104">
            <v>100</v>
          </cell>
          <cell r="F104">
            <v>90</v>
          </cell>
          <cell r="G104" t="str">
            <v>-</v>
          </cell>
          <cell r="H104">
            <v>100</v>
          </cell>
          <cell r="I104">
            <v>90</v>
          </cell>
          <cell r="J104" t="str">
            <v>-</v>
          </cell>
          <cell r="K104">
            <v>100</v>
          </cell>
          <cell r="L104" t="str">
            <v>-</v>
          </cell>
          <cell r="M104">
            <v>100</v>
          </cell>
          <cell r="N104">
            <v>90</v>
          </cell>
          <cell r="O104">
            <v>75</v>
          </cell>
          <cell r="P104">
            <v>60</v>
          </cell>
          <cell r="Q104">
            <v>60</v>
          </cell>
          <cell r="R104">
            <v>60</v>
          </cell>
          <cell r="S104" t="str">
            <v>1)</v>
          </cell>
          <cell r="T104" t="str">
            <v>2)</v>
          </cell>
        </row>
        <row r="105">
          <cell r="A105" t="str">
            <v>Bibernelle</v>
          </cell>
          <cell r="B105" t="str">
            <v>-</v>
          </cell>
          <cell r="C105">
            <v>150</v>
          </cell>
          <cell r="D105" t="str">
            <v>-</v>
          </cell>
          <cell r="E105">
            <v>150</v>
          </cell>
          <cell r="F105">
            <v>120</v>
          </cell>
          <cell r="G105" t="str">
            <v>-</v>
          </cell>
          <cell r="H105">
            <v>150</v>
          </cell>
          <cell r="I105">
            <v>120</v>
          </cell>
          <cell r="J105" t="str">
            <v>-</v>
          </cell>
          <cell r="K105">
            <v>150</v>
          </cell>
          <cell r="L105" t="str">
            <v>-</v>
          </cell>
          <cell r="M105">
            <v>150</v>
          </cell>
          <cell r="N105">
            <v>90</v>
          </cell>
          <cell r="O105">
            <v>75</v>
          </cell>
          <cell r="P105">
            <v>60</v>
          </cell>
          <cell r="Q105">
            <v>60</v>
          </cell>
          <cell r="R105">
            <v>60</v>
          </cell>
          <cell r="S105" t="str">
            <v>1)</v>
          </cell>
          <cell r="T105" t="str">
            <v>2)</v>
          </cell>
        </row>
        <row r="106">
          <cell r="A106" t="str">
            <v>Bockshornklee</v>
          </cell>
          <cell r="B106" t="str">
            <v>-</v>
          </cell>
          <cell r="C106">
            <v>0</v>
          </cell>
          <cell r="D106" t="str">
            <v>-</v>
          </cell>
          <cell r="E106">
            <v>0</v>
          </cell>
          <cell r="F106">
            <v>0</v>
          </cell>
          <cell r="G106" t="str">
            <v>-</v>
          </cell>
          <cell r="H106">
            <v>0</v>
          </cell>
          <cell r="I106">
            <v>0</v>
          </cell>
          <cell r="J106" t="str">
            <v>-</v>
          </cell>
          <cell r="K106">
            <v>0</v>
          </cell>
          <cell r="L106" t="str">
            <v>-</v>
          </cell>
          <cell r="M106">
            <v>0</v>
          </cell>
          <cell r="N106">
            <v>90</v>
          </cell>
          <cell r="O106">
            <v>75</v>
          </cell>
          <cell r="P106">
            <v>60</v>
          </cell>
          <cell r="Q106">
            <v>60</v>
          </cell>
          <cell r="R106">
            <v>60</v>
          </cell>
          <cell r="S106" t="str">
            <v>1)</v>
          </cell>
          <cell r="T106" t="str">
            <v>2)</v>
          </cell>
        </row>
        <row r="107">
          <cell r="A107" t="str">
            <v>Bohnenkraut</v>
          </cell>
          <cell r="B107" t="str">
            <v>-</v>
          </cell>
          <cell r="C107">
            <v>80</v>
          </cell>
          <cell r="D107" t="str">
            <v>-</v>
          </cell>
          <cell r="E107">
            <v>80</v>
          </cell>
          <cell r="F107">
            <v>70</v>
          </cell>
          <cell r="G107" t="str">
            <v>-</v>
          </cell>
          <cell r="H107">
            <v>80</v>
          </cell>
          <cell r="I107">
            <v>70</v>
          </cell>
          <cell r="J107" t="str">
            <v>-</v>
          </cell>
          <cell r="K107">
            <v>80</v>
          </cell>
          <cell r="L107" t="str">
            <v>-</v>
          </cell>
          <cell r="M107">
            <v>80</v>
          </cell>
          <cell r="N107">
            <v>90</v>
          </cell>
          <cell r="O107">
            <v>75</v>
          </cell>
          <cell r="P107">
            <v>60</v>
          </cell>
          <cell r="Q107">
            <v>60</v>
          </cell>
          <cell r="R107">
            <v>60</v>
          </cell>
          <cell r="S107" t="str">
            <v>1)</v>
          </cell>
          <cell r="T107" t="str">
            <v>2)</v>
          </cell>
        </row>
        <row r="108">
          <cell r="A108" t="str">
            <v>Borretsch</v>
          </cell>
          <cell r="B108" t="str">
            <v>-</v>
          </cell>
          <cell r="C108">
            <v>120</v>
          </cell>
          <cell r="D108" t="str">
            <v>-</v>
          </cell>
          <cell r="E108">
            <v>120</v>
          </cell>
          <cell r="F108">
            <v>110</v>
          </cell>
          <cell r="G108" t="str">
            <v>-</v>
          </cell>
          <cell r="H108">
            <v>120</v>
          </cell>
          <cell r="I108">
            <v>110</v>
          </cell>
          <cell r="J108" t="str">
            <v>-</v>
          </cell>
          <cell r="K108">
            <v>120</v>
          </cell>
          <cell r="L108" t="str">
            <v>-</v>
          </cell>
          <cell r="M108">
            <v>120</v>
          </cell>
          <cell r="N108">
            <v>60</v>
          </cell>
          <cell r="O108">
            <v>50</v>
          </cell>
          <cell r="P108">
            <v>40</v>
          </cell>
          <cell r="Q108">
            <v>40</v>
          </cell>
          <cell r="R108">
            <v>40</v>
          </cell>
          <cell r="S108" t="str">
            <v>1)</v>
          </cell>
          <cell r="T108" t="str">
            <v>2)</v>
          </cell>
        </row>
        <row r="109">
          <cell r="A109" t="str">
            <v>Brennnessel</v>
          </cell>
          <cell r="B109" t="str">
            <v>-</v>
          </cell>
          <cell r="C109">
            <v>200</v>
          </cell>
          <cell r="D109" t="str">
            <v>-</v>
          </cell>
          <cell r="E109">
            <v>200</v>
          </cell>
          <cell r="F109">
            <v>150</v>
          </cell>
          <cell r="G109" t="str">
            <v>-</v>
          </cell>
          <cell r="H109">
            <v>200</v>
          </cell>
          <cell r="I109">
            <v>150</v>
          </cell>
          <cell r="J109" t="str">
            <v>-</v>
          </cell>
          <cell r="K109">
            <v>200</v>
          </cell>
          <cell r="L109" t="str">
            <v>-</v>
          </cell>
          <cell r="M109">
            <v>200</v>
          </cell>
          <cell r="N109">
            <v>90</v>
          </cell>
          <cell r="O109">
            <v>75</v>
          </cell>
          <cell r="P109">
            <v>60</v>
          </cell>
          <cell r="Q109">
            <v>60</v>
          </cell>
          <cell r="R109">
            <v>60</v>
          </cell>
          <cell r="S109" t="str">
            <v>1)</v>
          </cell>
          <cell r="T109" t="str">
            <v>2)</v>
          </cell>
        </row>
        <row r="110">
          <cell r="A110" t="str">
            <v>Eibisch</v>
          </cell>
          <cell r="B110" t="str">
            <v>-</v>
          </cell>
          <cell r="C110">
            <v>140</v>
          </cell>
          <cell r="D110" t="str">
            <v>-</v>
          </cell>
          <cell r="E110">
            <v>140</v>
          </cell>
          <cell r="F110">
            <v>130</v>
          </cell>
          <cell r="G110" t="str">
            <v>-</v>
          </cell>
          <cell r="H110">
            <v>140</v>
          </cell>
          <cell r="I110">
            <v>130</v>
          </cell>
          <cell r="J110" t="str">
            <v>-</v>
          </cell>
          <cell r="K110">
            <v>140</v>
          </cell>
          <cell r="L110" t="str">
            <v>-</v>
          </cell>
          <cell r="M110">
            <v>140</v>
          </cell>
          <cell r="N110">
            <v>120</v>
          </cell>
          <cell r="O110">
            <v>100</v>
          </cell>
          <cell r="P110">
            <v>80</v>
          </cell>
          <cell r="Q110">
            <v>80</v>
          </cell>
          <cell r="R110">
            <v>80</v>
          </cell>
          <cell r="S110" t="str">
            <v>1)</v>
          </cell>
          <cell r="T110" t="str">
            <v>2)</v>
          </cell>
        </row>
        <row r="111">
          <cell r="A111" t="str">
            <v>Engelwurz</v>
          </cell>
          <cell r="B111" t="str">
            <v>-</v>
          </cell>
          <cell r="C111">
            <v>130</v>
          </cell>
          <cell r="D111" t="str">
            <v>-</v>
          </cell>
          <cell r="E111">
            <v>130</v>
          </cell>
          <cell r="F111">
            <v>100</v>
          </cell>
          <cell r="G111" t="str">
            <v>-</v>
          </cell>
          <cell r="H111">
            <v>130</v>
          </cell>
          <cell r="I111">
            <v>100</v>
          </cell>
          <cell r="J111" t="str">
            <v>-</v>
          </cell>
          <cell r="K111">
            <v>130</v>
          </cell>
          <cell r="L111" t="str">
            <v>-</v>
          </cell>
          <cell r="M111">
            <v>130</v>
          </cell>
          <cell r="N111">
            <v>105</v>
          </cell>
          <cell r="O111">
            <v>90</v>
          </cell>
          <cell r="P111">
            <v>70</v>
          </cell>
          <cell r="Q111">
            <v>70</v>
          </cell>
          <cell r="R111">
            <v>70</v>
          </cell>
          <cell r="S111" t="str">
            <v>1)</v>
          </cell>
          <cell r="T111" t="str">
            <v>2)</v>
          </cell>
        </row>
        <row r="112">
          <cell r="A112" t="str">
            <v>Fingerhut</v>
          </cell>
          <cell r="B112" t="str">
            <v>-</v>
          </cell>
          <cell r="C112">
            <v>120</v>
          </cell>
          <cell r="D112" t="str">
            <v>-</v>
          </cell>
          <cell r="E112">
            <v>120</v>
          </cell>
          <cell r="F112">
            <v>100</v>
          </cell>
          <cell r="G112" t="str">
            <v>-</v>
          </cell>
          <cell r="H112">
            <v>120</v>
          </cell>
          <cell r="I112">
            <v>100</v>
          </cell>
          <cell r="J112" t="str">
            <v>-</v>
          </cell>
          <cell r="K112">
            <v>120</v>
          </cell>
          <cell r="L112" t="str">
            <v>-</v>
          </cell>
          <cell r="M112">
            <v>120</v>
          </cell>
          <cell r="N112">
            <v>105</v>
          </cell>
          <cell r="O112">
            <v>90</v>
          </cell>
          <cell r="P112">
            <v>70</v>
          </cell>
          <cell r="Q112">
            <v>70</v>
          </cell>
          <cell r="R112">
            <v>70</v>
          </cell>
          <cell r="S112" t="str">
            <v>1)</v>
          </cell>
          <cell r="T112" t="str">
            <v>2)</v>
          </cell>
        </row>
        <row r="113">
          <cell r="A113" t="str">
            <v>Flohsamen</v>
          </cell>
          <cell r="B113" t="str">
            <v>-</v>
          </cell>
          <cell r="C113">
            <v>0</v>
          </cell>
          <cell r="D113" t="str">
            <v>-</v>
          </cell>
          <cell r="E113">
            <v>0</v>
          </cell>
          <cell r="F113">
            <v>0</v>
          </cell>
          <cell r="G113" t="str">
            <v>-</v>
          </cell>
          <cell r="H113">
            <v>0</v>
          </cell>
          <cell r="I113">
            <v>0</v>
          </cell>
          <cell r="J113" t="str">
            <v>-</v>
          </cell>
          <cell r="K113">
            <v>0</v>
          </cell>
          <cell r="L113" t="str">
            <v>-</v>
          </cell>
          <cell r="M113">
            <v>0</v>
          </cell>
          <cell r="N113" t="str">
            <v>manuelle Eingabe erforderlich</v>
          </cell>
        </row>
        <row r="114">
          <cell r="A114" t="str">
            <v>Gelber Enzian 1. Jahr</v>
          </cell>
          <cell r="B114" t="str">
            <v>-</v>
          </cell>
          <cell r="C114">
            <v>0</v>
          </cell>
          <cell r="D114" t="str">
            <v>-</v>
          </cell>
          <cell r="E114">
            <v>0</v>
          </cell>
          <cell r="F114">
            <v>0</v>
          </cell>
          <cell r="G114" t="str">
            <v>-</v>
          </cell>
          <cell r="H114">
            <v>0</v>
          </cell>
          <cell r="I114">
            <v>0</v>
          </cell>
          <cell r="J114" t="str">
            <v>-</v>
          </cell>
          <cell r="K114">
            <v>0</v>
          </cell>
          <cell r="L114" t="str">
            <v>-</v>
          </cell>
          <cell r="M114">
            <v>0</v>
          </cell>
          <cell r="N114">
            <v>0</v>
          </cell>
          <cell r="O114">
            <v>0</v>
          </cell>
          <cell r="P114">
            <v>0</v>
          </cell>
          <cell r="Q114">
            <v>0</v>
          </cell>
          <cell r="R114">
            <v>0</v>
          </cell>
          <cell r="S114" t="str">
            <v xml:space="preserve"> -</v>
          </cell>
          <cell r="T114" t="str">
            <v xml:space="preserve"> -</v>
          </cell>
        </row>
        <row r="115">
          <cell r="A115" t="str">
            <v>Gelber Enzian 2. Jahr</v>
          </cell>
          <cell r="B115" t="str">
            <v>-</v>
          </cell>
          <cell r="C115">
            <v>60</v>
          </cell>
          <cell r="D115" t="str">
            <v>-</v>
          </cell>
          <cell r="E115">
            <v>60</v>
          </cell>
          <cell r="F115">
            <v>60</v>
          </cell>
          <cell r="G115" t="str">
            <v>-</v>
          </cell>
          <cell r="H115">
            <v>60</v>
          </cell>
          <cell r="I115">
            <v>60</v>
          </cell>
          <cell r="J115" t="str">
            <v>-</v>
          </cell>
          <cell r="K115">
            <v>60</v>
          </cell>
          <cell r="L115" t="str">
            <v>-</v>
          </cell>
          <cell r="M115">
            <v>60</v>
          </cell>
          <cell r="N115">
            <v>90</v>
          </cell>
          <cell r="O115">
            <v>75</v>
          </cell>
          <cell r="P115">
            <v>60</v>
          </cell>
          <cell r="Q115">
            <v>60</v>
          </cell>
          <cell r="R115">
            <v>60</v>
          </cell>
          <cell r="S115" t="str">
            <v>1)</v>
          </cell>
          <cell r="T115" t="str">
            <v>2)</v>
          </cell>
        </row>
        <row r="116">
          <cell r="A116" t="str">
            <v>Gelber Enzian 3. Jahr</v>
          </cell>
          <cell r="B116" t="str">
            <v>-</v>
          </cell>
          <cell r="C116">
            <v>120</v>
          </cell>
          <cell r="D116" t="str">
            <v>-</v>
          </cell>
          <cell r="E116">
            <v>120</v>
          </cell>
          <cell r="F116">
            <v>120</v>
          </cell>
          <cell r="G116" t="str">
            <v>-</v>
          </cell>
          <cell r="H116">
            <v>120</v>
          </cell>
          <cell r="I116">
            <v>120</v>
          </cell>
          <cell r="J116" t="str">
            <v>-</v>
          </cell>
          <cell r="K116">
            <v>120</v>
          </cell>
          <cell r="L116" t="str">
            <v>-</v>
          </cell>
          <cell r="M116">
            <v>120</v>
          </cell>
          <cell r="N116">
            <v>180</v>
          </cell>
          <cell r="O116">
            <v>150</v>
          </cell>
          <cell r="P116">
            <v>120</v>
          </cell>
          <cell r="Q116">
            <v>120</v>
          </cell>
          <cell r="R116">
            <v>120</v>
          </cell>
          <cell r="S116" t="str">
            <v>1)</v>
          </cell>
          <cell r="T116" t="str">
            <v>2)</v>
          </cell>
        </row>
        <row r="117">
          <cell r="A117" t="str">
            <v>Gewürzfenchel</v>
          </cell>
          <cell r="B117" t="str">
            <v>-</v>
          </cell>
          <cell r="C117">
            <v>120</v>
          </cell>
          <cell r="D117" t="str">
            <v>-</v>
          </cell>
          <cell r="E117">
            <v>120</v>
          </cell>
          <cell r="F117">
            <v>80</v>
          </cell>
          <cell r="G117" t="str">
            <v>-</v>
          </cell>
          <cell r="H117">
            <v>120</v>
          </cell>
          <cell r="I117">
            <v>80</v>
          </cell>
          <cell r="J117" t="str">
            <v>-</v>
          </cell>
          <cell r="K117">
            <v>120</v>
          </cell>
          <cell r="L117" t="str">
            <v>-</v>
          </cell>
          <cell r="M117">
            <v>120</v>
          </cell>
          <cell r="N117">
            <v>120</v>
          </cell>
          <cell r="O117">
            <v>100</v>
          </cell>
          <cell r="P117">
            <v>80</v>
          </cell>
          <cell r="Q117">
            <v>80</v>
          </cell>
          <cell r="R117">
            <v>80</v>
          </cell>
          <cell r="S117" t="str">
            <v>1)</v>
          </cell>
          <cell r="T117" t="str">
            <v>2)</v>
          </cell>
        </row>
        <row r="118">
          <cell r="A118" t="str">
            <v>Ginseng</v>
          </cell>
          <cell r="B118" t="str">
            <v>-</v>
          </cell>
          <cell r="C118">
            <v>70</v>
          </cell>
          <cell r="D118" t="str">
            <v>-</v>
          </cell>
          <cell r="E118">
            <v>70</v>
          </cell>
          <cell r="F118">
            <v>60</v>
          </cell>
          <cell r="G118" t="str">
            <v>-</v>
          </cell>
          <cell r="H118">
            <v>70</v>
          </cell>
          <cell r="I118">
            <v>60</v>
          </cell>
          <cell r="J118" t="str">
            <v>-</v>
          </cell>
          <cell r="K118">
            <v>70</v>
          </cell>
          <cell r="L118" t="str">
            <v>-</v>
          </cell>
          <cell r="M118">
            <v>70</v>
          </cell>
          <cell r="N118">
            <v>135</v>
          </cell>
          <cell r="O118">
            <v>115</v>
          </cell>
          <cell r="P118">
            <v>90</v>
          </cell>
          <cell r="Q118">
            <v>90</v>
          </cell>
          <cell r="R118">
            <v>90</v>
          </cell>
          <cell r="S118" t="str">
            <v>1)</v>
          </cell>
          <cell r="T118" t="str">
            <v>2)</v>
          </cell>
        </row>
        <row r="119">
          <cell r="A119" t="str">
            <v>Goldmelisse</v>
          </cell>
          <cell r="B119" t="str">
            <v>-</v>
          </cell>
          <cell r="C119">
            <v>180</v>
          </cell>
          <cell r="D119" t="str">
            <v>-</v>
          </cell>
          <cell r="E119">
            <v>180</v>
          </cell>
          <cell r="F119">
            <v>140</v>
          </cell>
          <cell r="G119" t="str">
            <v>-</v>
          </cell>
          <cell r="H119">
            <v>180</v>
          </cell>
          <cell r="I119">
            <v>140</v>
          </cell>
          <cell r="J119" t="str">
            <v>-</v>
          </cell>
          <cell r="K119">
            <v>180</v>
          </cell>
          <cell r="L119" t="str">
            <v>-</v>
          </cell>
          <cell r="M119">
            <v>180</v>
          </cell>
          <cell r="N119">
            <v>105</v>
          </cell>
          <cell r="O119">
            <v>90</v>
          </cell>
          <cell r="P119">
            <v>70</v>
          </cell>
          <cell r="Q119">
            <v>70</v>
          </cell>
          <cell r="R119">
            <v>70</v>
          </cell>
          <cell r="S119" t="str">
            <v>1)</v>
          </cell>
          <cell r="T119" t="str">
            <v>2)</v>
          </cell>
        </row>
        <row r="120">
          <cell r="A120" t="str">
            <v>Johanniskraut</v>
          </cell>
          <cell r="B120" t="str">
            <v>-</v>
          </cell>
          <cell r="C120">
            <v>120</v>
          </cell>
          <cell r="D120" t="str">
            <v>-</v>
          </cell>
          <cell r="E120">
            <v>120</v>
          </cell>
          <cell r="F120">
            <v>100</v>
          </cell>
          <cell r="G120" t="str">
            <v>-</v>
          </cell>
          <cell r="H120">
            <v>120</v>
          </cell>
          <cell r="I120">
            <v>100</v>
          </cell>
          <cell r="J120" t="str">
            <v>-</v>
          </cell>
          <cell r="K120">
            <v>120</v>
          </cell>
          <cell r="L120" t="str">
            <v>-</v>
          </cell>
          <cell r="M120">
            <v>120</v>
          </cell>
          <cell r="N120">
            <v>120</v>
          </cell>
          <cell r="O120">
            <v>100</v>
          </cell>
          <cell r="P120">
            <v>80</v>
          </cell>
          <cell r="Q120">
            <v>80</v>
          </cell>
          <cell r="R120">
            <v>80</v>
          </cell>
          <cell r="S120" t="str">
            <v>1)</v>
          </cell>
          <cell r="T120" t="str">
            <v>2)</v>
          </cell>
        </row>
        <row r="121">
          <cell r="A121" t="str">
            <v>Kamille</v>
          </cell>
          <cell r="B121" t="str">
            <v>-</v>
          </cell>
          <cell r="C121">
            <v>50</v>
          </cell>
          <cell r="D121" t="str">
            <v>-</v>
          </cell>
          <cell r="E121">
            <v>50</v>
          </cell>
          <cell r="F121">
            <v>40</v>
          </cell>
          <cell r="G121" t="str">
            <v>-</v>
          </cell>
          <cell r="H121">
            <v>50</v>
          </cell>
          <cell r="I121">
            <v>40</v>
          </cell>
          <cell r="J121" t="str">
            <v>-</v>
          </cell>
          <cell r="K121">
            <v>50</v>
          </cell>
          <cell r="L121" t="str">
            <v>-</v>
          </cell>
          <cell r="M121">
            <v>50</v>
          </cell>
          <cell r="N121">
            <v>75</v>
          </cell>
          <cell r="O121">
            <v>65</v>
          </cell>
          <cell r="P121">
            <v>50</v>
          </cell>
          <cell r="Q121">
            <v>50</v>
          </cell>
          <cell r="R121">
            <v>50</v>
          </cell>
          <cell r="S121" t="str">
            <v>1)</v>
          </cell>
          <cell r="T121" t="str">
            <v>2)</v>
          </cell>
        </row>
        <row r="122">
          <cell r="A122" t="str">
            <v>Klatschmohn</v>
          </cell>
          <cell r="B122" t="str">
            <v>-</v>
          </cell>
          <cell r="C122">
            <v>80</v>
          </cell>
          <cell r="D122" t="str">
            <v>-</v>
          </cell>
          <cell r="E122">
            <v>80</v>
          </cell>
          <cell r="F122">
            <v>70</v>
          </cell>
          <cell r="G122" t="str">
            <v>-</v>
          </cell>
          <cell r="H122">
            <v>80</v>
          </cell>
          <cell r="I122">
            <v>70</v>
          </cell>
          <cell r="J122" t="str">
            <v>-</v>
          </cell>
          <cell r="K122">
            <v>80</v>
          </cell>
          <cell r="L122" t="str">
            <v>-</v>
          </cell>
          <cell r="M122">
            <v>80</v>
          </cell>
          <cell r="N122">
            <v>120</v>
          </cell>
          <cell r="O122">
            <v>100</v>
          </cell>
          <cell r="P122">
            <v>80</v>
          </cell>
          <cell r="Q122">
            <v>80</v>
          </cell>
          <cell r="R122">
            <v>80</v>
          </cell>
          <cell r="S122" t="str">
            <v>1)</v>
          </cell>
          <cell r="T122" t="str">
            <v>2)</v>
          </cell>
        </row>
        <row r="123">
          <cell r="A123" t="str">
            <v>Königskerze</v>
          </cell>
          <cell r="B123" t="str">
            <v>-</v>
          </cell>
          <cell r="C123">
            <v>60</v>
          </cell>
          <cell r="D123" t="str">
            <v>-</v>
          </cell>
          <cell r="E123">
            <v>60</v>
          </cell>
          <cell r="F123">
            <v>50</v>
          </cell>
          <cell r="G123" t="str">
            <v>-</v>
          </cell>
          <cell r="H123">
            <v>60</v>
          </cell>
          <cell r="I123">
            <v>50</v>
          </cell>
          <cell r="J123" t="str">
            <v>-</v>
          </cell>
          <cell r="K123">
            <v>60</v>
          </cell>
          <cell r="L123" t="str">
            <v>-</v>
          </cell>
          <cell r="M123">
            <v>60</v>
          </cell>
          <cell r="N123">
            <v>75</v>
          </cell>
          <cell r="O123">
            <v>65</v>
          </cell>
          <cell r="P123">
            <v>50</v>
          </cell>
          <cell r="Q123">
            <v>50</v>
          </cell>
          <cell r="R123">
            <v>50</v>
          </cell>
          <cell r="S123" t="str">
            <v>1)</v>
          </cell>
          <cell r="T123" t="str">
            <v>2)</v>
          </cell>
        </row>
        <row r="124">
          <cell r="A124" t="str">
            <v>Koriander</v>
          </cell>
          <cell r="B124" t="str">
            <v>-</v>
          </cell>
          <cell r="C124">
            <v>90</v>
          </cell>
          <cell r="D124" t="str">
            <v>-</v>
          </cell>
          <cell r="E124">
            <v>90</v>
          </cell>
          <cell r="F124">
            <v>50</v>
          </cell>
          <cell r="G124" t="str">
            <v>-</v>
          </cell>
          <cell r="H124">
            <v>90</v>
          </cell>
          <cell r="I124">
            <v>50</v>
          </cell>
          <cell r="J124" t="str">
            <v>-</v>
          </cell>
          <cell r="K124">
            <v>90</v>
          </cell>
          <cell r="L124" t="str">
            <v>-</v>
          </cell>
          <cell r="M124">
            <v>90</v>
          </cell>
          <cell r="N124">
            <v>90</v>
          </cell>
          <cell r="O124">
            <v>75</v>
          </cell>
          <cell r="P124">
            <v>60</v>
          </cell>
          <cell r="Q124">
            <v>60</v>
          </cell>
          <cell r="R124">
            <v>60</v>
          </cell>
          <cell r="S124" t="str">
            <v>1)</v>
          </cell>
          <cell r="T124" t="str">
            <v>2)</v>
          </cell>
        </row>
        <row r="125">
          <cell r="A125" t="str">
            <v>Kornblume</v>
          </cell>
          <cell r="B125" t="str">
            <v>-</v>
          </cell>
          <cell r="C125">
            <v>60</v>
          </cell>
          <cell r="D125" t="str">
            <v>-</v>
          </cell>
          <cell r="E125">
            <v>60</v>
          </cell>
          <cell r="F125">
            <v>50</v>
          </cell>
          <cell r="G125" t="str">
            <v>-</v>
          </cell>
          <cell r="H125">
            <v>60</v>
          </cell>
          <cell r="I125">
            <v>50</v>
          </cell>
          <cell r="J125" t="str">
            <v>-</v>
          </cell>
          <cell r="K125">
            <v>60</v>
          </cell>
          <cell r="L125" t="str">
            <v>-</v>
          </cell>
          <cell r="M125">
            <v>60</v>
          </cell>
          <cell r="N125">
            <v>75</v>
          </cell>
          <cell r="O125">
            <v>65</v>
          </cell>
          <cell r="P125">
            <v>50</v>
          </cell>
          <cell r="Q125">
            <v>50</v>
          </cell>
          <cell r="R125">
            <v>50</v>
          </cell>
          <cell r="S125" t="str">
            <v>1)</v>
          </cell>
          <cell r="T125" t="str">
            <v>2)</v>
          </cell>
        </row>
        <row r="126">
          <cell r="A126" t="str">
            <v>Lavendel</v>
          </cell>
          <cell r="B126" t="str">
            <v>-</v>
          </cell>
          <cell r="C126">
            <v>70</v>
          </cell>
          <cell r="D126" t="str">
            <v>-</v>
          </cell>
          <cell r="E126">
            <v>70</v>
          </cell>
          <cell r="F126">
            <v>60</v>
          </cell>
          <cell r="G126" t="str">
            <v>-</v>
          </cell>
          <cell r="H126">
            <v>70</v>
          </cell>
          <cell r="I126">
            <v>60</v>
          </cell>
          <cell r="J126" t="str">
            <v>-</v>
          </cell>
          <cell r="K126">
            <v>70</v>
          </cell>
          <cell r="L126" t="str">
            <v>-</v>
          </cell>
          <cell r="M126">
            <v>70</v>
          </cell>
          <cell r="N126">
            <v>90</v>
          </cell>
          <cell r="O126">
            <v>75</v>
          </cell>
          <cell r="P126">
            <v>60</v>
          </cell>
          <cell r="Q126">
            <v>60</v>
          </cell>
          <cell r="R126">
            <v>60</v>
          </cell>
          <cell r="S126" t="str">
            <v>1)</v>
          </cell>
          <cell r="T126" t="str">
            <v>2)</v>
          </cell>
        </row>
        <row r="127">
          <cell r="A127" t="str">
            <v>Liebstöckel</v>
          </cell>
          <cell r="B127" t="str">
            <v>-</v>
          </cell>
          <cell r="C127">
            <v>170</v>
          </cell>
          <cell r="D127" t="str">
            <v>-</v>
          </cell>
          <cell r="E127">
            <v>170</v>
          </cell>
          <cell r="F127">
            <v>150</v>
          </cell>
          <cell r="G127" t="str">
            <v>-</v>
          </cell>
          <cell r="H127">
            <v>170</v>
          </cell>
          <cell r="I127">
            <v>150</v>
          </cell>
          <cell r="J127" t="str">
            <v>-</v>
          </cell>
          <cell r="K127">
            <v>170</v>
          </cell>
          <cell r="L127" t="str">
            <v>-</v>
          </cell>
          <cell r="M127">
            <v>170</v>
          </cell>
          <cell r="N127">
            <v>105</v>
          </cell>
          <cell r="O127">
            <v>90</v>
          </cell>
          <cell r="P127">
            <v>70</v>
          </cell>
          <cell r="Q127">
            <v>70</v>
          </cell>
          <cell r="R127">
            <v>70</v>
          </cell>
          <cell r="S127" t="str">
            <v>1)</v>
          </cell>
          <cell r="T127" t="str">
            <v>2)</v>
          </cell>
        </row>
        <row r="128">
          <cell r="A128" t="str">
            <v>Majoran</v>
          </cell>
          <cell r="B128" t="str">
            <v>-</v>
          </cell>
          <cell r="C128">
            <v>150</v>
          </cell>
          <cell r="D128" t="str">
            <v>-</v>
          </cell>
          <cell r="E128">
            <v>150</v>
          </cell>
          <cell r="F128">
            <v>90</v>
          </cell>
          <cell r="G128" t="str">
            <v>-</v>
          </cell>
          <cell r="H128">
            <v>150</v>
          </cell>
          <cell r="I128">
            <v>123</v>
          </cell>
          <cell r="J128" t="str">
            <v>-</v>
          </cell>
          <cell r="K128">
            <v>150</v>
          </cell>
          <cell r="L128" t="str">
            <v>-</v>
          </cell>
          <cell r="M128">
            <v>150</v>
          </cell>
          <cell r="N128">
            <v>75</v>
          </cell>
          <cell r="O128">
            <v>65</v>
          </cell>
          <cell r="P128">
            <v>50</v>
          </cell>
          <cell r="Q128">
            <v>50</v>
          </cell>
          <cell r="R128">
            <v>50</v>
          </cell>
          <cell r="S128" t="str">
            <v>1)</v>
          </cell>
          <cell r="T128" t="str">
            <v>2)</v>
          </cell>
        </row>
        <row r="129">
          <cell r="A129" t="str">
            <v xml:space="preserve">Malve (incl. Stockmalve) </v>
          </cell>
          <cell r="B129" t="str">
            <v>-</v>
          </cell>
          <cell r="C129">
            <v>150</v>
          </cell>
          <cell r="D129" t="str">
            <v>-</v>
          </cell>
          <cell r="E129">
            <v>150</v>
          </cell>
          <cell r="F129">
            <v>140</v>
          </cell>
          <cell r="G129" t="str">
            <v>-</v>
          </cell>
          <cell r="H129">
            <v>150</v>
          </cell>
          <cell r="I129">
            <v>140</v>
          </cell>
          <cell r="J129" t="str">
            <v>-</v>
          </cell>
          <cell r="K129">
            <v>150</v>
          </cell>
          <cell r="L129" t="str">
            <v>-</v>
          </cell>
          <cell r="M129">
            <v>150</v>
          </cell>
          <cell r="N129">
            <v>120</v>
          </cell>
          <cell r="O129">
            <v>100</v>
          </cell>
          <cell r="P129">
            <v>80</v>
          </cell>
          <cell r="Q129">
            <v>80</v>
          </cell>
          <cell r="R129">
            <v>80</v>
          </cell>
          <cell r="S129" t="str">
            <v>1)</v>
          </cell>
          <cell r="T129" t="str">
            <v>2)</v>
          </cell>
        </row>
        <row r="130">
          <cell r="A130" t="str">
            <v>Maralwurzel</v>
          </cell>
          <cell r="B130" t="str">
            <v>-</v>
          </cell>
          <cell r="C130">
            <v>100</v>
          </cell>
          <cell r="D130" t="str">
            <v>-</v>
          </cell>
          <cell r="E130">
            <v>100</v>
          </cell>
          <cell r="F130">
            <v>100</v>
          </cell>
          <cell r="G130" t="str">
            <v>-</v>
          </cell>
          <cell r="H130">
            <v>100</v>
          </cell>
          <cell r="I130">
            <v>100</v>
          </cell>
          <cell r="J130" t="str">
            <v>-</v>
          </cell>
          <cell r="K130">
            <v>100</v>
          </cell>
          <cell r="L130" t="str">
            <v>-</v>
          </cell>
          <cell r="M130">
            <v>100</v>
          </cell>
          <cell r="N130">
            <v>65</v>
          </cell>
          <cell r="O130">
            <v>55</v>
          </cell>
          <cell r="P130">
            <v>42</v>
          </cell>
          <cell r="Q130">
            <v>42</v>
          </cell>
          <cell r="R130">
            <v>42</v>
          </cell>
          <cell r="S130" t="str">
            <v>1)</v>
          </cell>
          <cell r="T130" t="str">
            <v>2)</v>
          </cell>
        </row>
        <row r="131">
          <cell r="A131" t="str">
            <v>Minze</v>
          </cell>
          <cell r="B131" t="str">
            <v>-</v>
          </cell>
          <cell r="C131">
            <v>150</v>
          </cell>
          <cell r="D131" t="str">
            <v>-</v>
          </cell>
          <cell r="E131">
            <v>150</v>
          </cell>
          <cell r="F131">
            <v>120</v>
          </cell>
          <cell r="G131" t="str">
            <v>-</v>
          </cell>
          <cell r="H131">
            <v>150</v>
          </cell>
          <cell r="I131">
            <v>120</v>
          </cell>
          <cell r="J131" t="str">
            <v>-</v>
          </cell>
          <cell r="K131">
            <v>150</v>
          </cell>
          <cell r="L131" t="str">
            <v>-</v>
          </cell>
          <cell r="M131">
            <v>150</v>
          </cell>
          <cell r="N131">
            <v>85</v>
          </cell>
          <cell r="O131">
            <v>70</v>
          </cell>
          <cell r="P131">
            <v>55</v>
          </cell>
          <cell r="Q131">
            <v>55</v>
          </cell>
          <cell r="R131">
            <v>55</v>
          </cell>
          <cell r="S131" t="str">
            <v>1)</v>
          </cell>
          <cell r="T131" t="str">
            <v>2)</v>
          </cell>
        </row>
        <row r="132">
          <cell r="A132" t="str">
            <v>Mutterkraut</v>
          </cell>
          <cell r="B132" t="str">
            <v>-</v>
          </cell>
          <cell r="C132">
            <v>60</v>
          </cell>
          <cell r="D132" t="str">
            <v>-</v>
          </cell>
          <cell r="E132">
            <v>60</v>
          </cell>
          <cell r="F132">
            <v>50</v>
          </cell>
          <cell r="G132" t="str">
            <v>-</v>
          </cell>
          <cell r="H132">
            <v>60</v>
          </cell>
          <cell r="I132">
            <v>50</v>
          </cell>
          <cell r="J132" t="str">
            <v>-</v>
          </cell>
          <cell r="K132">
            <v>60</v>
          </cell>
          <cell r="L132" t="str">
            <v>-</v>
          </cell>
          <cell r="M132">
            <v>60</v>
          </cell>
          <cell r="N132" t="str">
            <v>manuelle Eingabe erforderlich</v>
          </cell>
        </row>
        <row r="133">
          <cell r="A133" t="str">
            <v>Nachtkerze</v>
          </cell>
          <cell r="B133" t="str">
            <v>-</v>
          </cell>
          <cell r="C133">
            <v>90</v>
          </cell>
          <cell r="D133" t="str">
            <v>-</v>
          </cell>
          <cell r="E133">
            <v>90</v>
          </cell>
          <cell r="F133">
            <v>80</v>
          </cell>
          <cell r="G133" t="str">
            <v>-</v>
          </cell>
          <cell r="H133">
            <v>90</v>
          </cell>
          <cell r="I133">
            <v>80</v>
          </cell>
          <cell r="J133" t="str">
            <v>-</v>
          </cell>
          <cell r="K133">
            <v>90</v>
          </cell>
          <cell r="L133" t="str">
            <v>-</v>
          </cell>
          <cell r="M133">
            <v>90</v>
          </cell>
          <cell r="N133" t="str">
            <v>manuelle Eingabe erforderlich</v>
          </cell>
        </row>
        <row r="134">
          <cell r="A134" t="str">
            <v>Öllein mit ÖPUL-Code "HAS"</v>
          </cell>
          <cell r="B134" t="str">
            <v>&lt; 1,5</v>
          </cell>
          <cell r="C134">
            <v>50</v>
          </cell>
          <cell r="D134" t="str">
            <v>1,5 - 5,0</v>
          </cell>
          <cell r="E134">
            <v>50</v>
          </cell>
          <cell r="F134">
            <v>40</v>
          </cell>
          <cell r="G134" t="str">
            <v>2,0 - 2,5</v>
          </cell>
          <cell r="H134">
            <v>50</v>
          </cell>
          <cell r="I134">
            <v>40</v>
          </cell>
          <cell r="J134" t="str">
            <v>2,5 - 3,0</v>
          </cell>
          <cell r="K134">
            <v>50</v>
          </cell>
          <cell r="L134" t="str">
            <v>&gt; 3,0</v>
          </cell>
          <cell r="M134">
            <v>50</v>
          </cell>
          <cell r="N134">
            <v>85</v>
          </cell>
          <cell r="O134">
            <v>70</v>
          </cell>
          <cell r="P134">
            <v>50</v>
          </cell>
          <cell r="Q134">
            <v>55</v>
          </cell>
          <cell r="R134">
            <v>65</v>
          </cell>
          <cell r="S134" t="str">
            <v>1)</v>
          </cell>
          <cell r="T134" t="str">
            <v>2)</v>
          </cell>
        </row>
        <row r="135">
          <cell r="A135" t="str">
            <v>Oregano</v>
          </cell>
          <cell r="B135" t="str">
            <v>-</v>
          </cell>
          <cell r="C135">
            <v>100</v>
          </cell>
          <cell r="D135" t="str">
            <v>-</v>
          </cell>
          <cell r="E135">
            <v>100</v>
          </cell>
          <cell r="F135">
            <v>90</v>
          </cell>
          <cell r="G135" t="str">
            <v>-</v>
          </cell>
          <cell r="H135">
            <v>100</v>
          </cell>
          <cell r="I135">
            <v>90</v>
          </cell>
          <cell r="J135" t="str">
            <v>-</v>
          </cell>
          <cell r="K135">
            <v>100</v>
          </cell>
          <cell r="L135" t="str">
            <v>-</v>
          </cell>
          <cell r="M135">
            <v>100</v>
          </cell>
          <cell r="N135">
            <v>90</v>
          </cell>
          <cell r="O135">
            <v>75</v>
          </cell>
          <cell r="P135">
            <v>60</v>
          </cell>
          <cell r="Q135">
            <v>60</v>
          </cell>
          <cell r="R135">
            <v>60</v>
          </cell>
          <cell r="S135" t="str">
            <v>1)</v>
          </cell>
          <cell r="T135" t="str">
            <v>2)</v>
          </cell>
        </row>
        <row r="136">
          <cell r="A136" t="str">
            <v>Rainfarn</v>
          </cell>
          <cell r="B136" t="str">
            <v>-</v>
          </cell>
          <cell r="C136">
            <v>60</v>
          </cell>
          <cell r="D136" t="str">
            <v>-</v>
          </cell>
          <cell r="E136">
            <v>60</v>
          </cell>
          <cell r="F136">
            <v>50</v>
          </cell>
          <cell r="G136" t="str">
            <v>-</v>
          </cell>
          <cell r="H136">
            <v>60</v>
          </cell>
          <cell r="I136">
            <v>50</v>
          </cell>
          <cell r="J136" t="str">
            <v>-</v>
          </cell>
          <cell r="K136">
            <v>60</v>
          </cell>
          <cell r="L136" t="str">
            <v>-</v>
          </cell>
          <cell r="M136">
            <v>60</v>
          </cell>
          <cell r="N136">
            <v>60</v>
          </cell>
          <cell r="O136">
            <v>50</v>
          </cell>
          <cell r="P136">
            <v>40</v>
          </cell>
          <cell r="Q136">
            <v>40</v>
          </cell>
          <cell r="R136">
            <v>40</v>
          </cell>
          <cell r="S136" t="str">
            <v>1)</v>
          </cell>
          <cell r="T136" t="str">
            <v>2)</v>
          </cell>
        </row>
        <row r="137">
          <cell r="A137" t="str">
            <v>Ringelblume</v>
          </cell>
          <cell r="B137" t="str">
            <v>-</v>
          </cell>
          <cell r="C137">
            <v>100</v>
          </cell>
          <cell r="D137" t="str">
            <v>-</v>
          </cell>
          <cell r="E137">
            <v>100</v>
          </cell>
          <cell r="F137">
            <v>90</v>
          </cell>
          <cell r="G137" t="str">
            <v>-</v>
          </cell>
          <cell r="H137">
            <v>100</v>
          </cell>
          <cell r="I137">
            <v>90</v>
          </cell>
          <cell r="J137" t="str">
            <v>-</v>
          </cell>
          <cell r="K137">
            <v>100</v>
          </cell>
          <cell r="L137" t="str">
            <v>-</v>
          </cell>
          <cell r="M137">
            <v>100</v>
          </cell>
          <cell r="N137">
            <v>135</v>
          </cell>
          <cell r="O137">
            <v>115</v>
          </cell>
          <cell r="P137">
            <v>90</v>
          </cell>
          <cell r="Q137">
            <v>90</v>
          </cell>
          <cell r="R137">
            <v>90</v>
          </cell>
          <cell r="S137" t="str">
            <v>1)</v>
          </cell>
          <cell r="T137" t="str">
            <v>2)</v>
          </cell>
        </row>
        <row r="138">
          <cell r="A138" t="str">
            <v>Saflor</v>
          </cell>
          <cell r="B138" t="str">
            <v>-</v>
          </cell>
          <cell r="C138">
            <v>50</v>
          </cell>
          <cell r="D138" t="str">
            <v>-</v>
          </cell>
          <cell r="E138">
            <v>50</v>
          </cell>
          <cell r="F138">
            <v>40</v>
          </cell>
          <cell r="G138" t="str">
            <v>-</v>
          </cell>
          <cell r="H138">
            <v>50</v>
          </cell>
          <cell r="I138">
            <v>40</v>
          </cell>
          <cell r="J138" t="str">
            <v>-</v>
          </cell>
          <cell r="K138">
            <v>50</v>
          </cell>
          <cell r="L138" t="str">
            <v>-</v>
          </cell>
          <cell r="M138">
            <v>50</v>
          </cell>
          <cell r="N138">
            <v>75</v>
          </cell>
          <cell r="O138">
            <v>65</v>
          </cell>
          <cell r="P138">
            <v>50</v>
          </cell>
          <cell r="Q138">
            <v>50</v>
          </cell>
          <cell r="R138">
            <v>50</v>
          </cell>
          <cell r="S138" t="str">
            <v>1)</v>
          </cell>
          <cell r="T138" t="str">
            <v>2)</v>
          </cell>
        </row>
        <row r="139">
          <cell r="A139" t="str">
            <v>Salbei</v>
          </cell>
          <cell r="B139" t="str">
            <v>-</v>
          </cell>
          <cell r="C139">
            <v>150</v>
          </cell>
          <cell r="D139" t="str">
            <v>-</v>
          </cell>
          <cell r="E139">
            <v>150</v>
          </cell>
          <cell r="F139">
            <v>120</v>
          </cell>
          <cell r="G139" t="str">
            <v>-</v>
          </cell>
          <cell r="H139">
            <v>150</v>
          </cell>
          <cell r="I139">
            <v>120</v>
          </cell>
          <cell r="J139" t="str">
            <v>-</v>
          </cell>
          <cell r="K139">
            <v>150</v>
          </cell>
          <cell r="L139" t="str">
            <v>-</v>
          </cell>
          <cell r="M139">
            <v>150</v>
          </cell>
          <cell r="N139">
            <v>45</v>
          </cell>
          <cell r="O139">
            <v>40</v>
          </cell>
          <cell r="P139">
            <v>30</v>
          </cell>
          <cell r="Q139">
            <v>30</v>
          </cell>
          <cell r="R139">
            <v>30</v>
          </cell>
          <cell r="S139" t="str">
            <v>1)</v>
          </cell>
          <cell r="T139" t="str">
            <v>2)</v>
          </cell>
        </row>
        <row r="140">
          <cell r="A140" t="str">
            <v>Schabzigerklee</v>
          </cell>
          <cell r="B140" t="str">
            <v>-</v>
          </cell>
          <cell r="C140">
            <v>120</v>
          </cell>
          <cell r="D140" t="str">
            <v>-</v>
          </cell>
          <cell r="E140">
            <v>120</v>
          </cell>
          <cell r="F140">
            <v>110</v>
          </cell>
          <cell r="G140" t="str">
            <v>-</v>
          </cell>
          <cell r="H140">
            <v>120</v>
          </cell>
          <cell r="I140">
            <v>110</v>
          </cell>
          <cell r="J140" t="str">
            <v>-</v>
          </cell>
          <cell r="K140">
            <v>120</v>
          </cell>
          <cell r="L140" t="str">
            <v>-</v>
          </cell>
          <cell r="M140">
            <v>120</v>
          </cell>
          <cell r="N140">
            <v>45</v>
          </cell>
          <cell r="O140">
            <v>40</v>
          </cell>
          <cell r="P140">
            <v>30</v>
          </cell>
          <cell r="Q140">
            <v>30</v>
          </cell>
          <cell r="R140">
            <v>30</v>
          </cell>
          <cell r="S140" t="str">
            <v>1)</v>
          </cell>
          <cell r="T140" t="str">
            <v>2)</v>
          </cell>
        </row>
        <row r="141">
          <cell r="A141" t="str">
            <v>Schafgarbe</v>
          </cell>
          <cell r="B141" t="str">
            <v>-</v>
          </cell>
          <cell r="C141">
            <v>160</v>
          </cell>
          <cell r="D141" t="str">
            <v>-</v>
          </cell>
          <cell r="E141">
            <v>160</v>
          </cell>
          <cell r="F141">
            <v>120</v>
          </cell>
          <cell r="G141" t="str">
            <v>-</v>
          </cell>
          <cell r="H141">
            <v>160</v>
          </cell>
          <cell r="I141">
            <v>120</v>
          </cell>
          <cell r="J141" t="str">
            <v>-</v>
          </cell>
          <cell r="K141">
            <v>160</v>
          </cell>
          <cell r="L141" t="str">
            <v>-</v>
          </cell>
          <cell r="M141">
            <v>160</v>
          </cell>
          <cell r="N141">
            <v>120</v>
          </cell>
          <cell r="O141">
            <v>100</v>
          </cell>
          <cell r="P141">
            <v>80</v>
          </cell>
          <cell r="Q141">
            <v>80</v>
          </cell>
          <cell r="R141">
            <v>80</v>
          </cell>
          <cell r="S141" t="str">
            <v>1)</v>
          </cell>
          <cell r="T141" t="str">
            <v>2)</v>
          </cell>
        </row>
        <row r="142">
          <cell r="A142" t="str">
            <v>Schisandra</v>
          </cell>
          <cell r="B142" t="str">
            <v>-</v>
          </cell>
          <cell r="C142">
            <v>130</v>
          </cell>
          <cell r="D142" t="str">
            <v>-</v>
          </cell>
          <cell r="E142">
            <v>130</v>
          </cell>
          <cell r="F142">
            <v>110</v>
          </cell>
          <cell r="G142" t="str">
            <v>-</v>
          </cell>
          <cell r="H142">
            <v>130</v>
          </cell>
          <cell r="I142">
            <v>110</v>
          </cell>
          <cell r="J142" t="str">
            <v>-</v>
          </cell>
          <cell r="K142">
            <v>130</v>
          </cell>
          <cell r="L142" t="str">
            <v>-</v>
          </cell>
          <cell r="M142">
            <v>130</v>
          </cell>
          <cell r="N142">
            <v>30</v>
          </cell>
          <cell r="O142">
            <v>25</v>
          </cell>
          <cell r="P142">
            <v>20</v>
          </cell>
          <cell r="Q142">
            <v>20</v>
          </cell>
          <cell r="R142">
            <v>20</v>
          </cell>
          <cell r="S142" t="str">
            <v>1)</v>
          </cell>
          <cell r="T142" t="str">
            <v>2)</v>
          </cell>
        </row>
        <row r="143">
          <cell r="A143" t="str">
            <v>Schlüsselblume</v>
          </cell>
          <cell r="B143" t="str">
            <v>-</v>
          </cell>
          <cell r="C143">
            <v>100</v>
          </cell>
          <cell r="D143" t="str">
            <v>-</v>
          </cell>
          <cell r="E143">
            <v>100</v>
          </cell>
          <cell r="F143">
            <v>80</v>
          </cell>
          <cell r="G143" t="str">
            <v>-</v>
          </cell>
          <cell r="H143">
            <v>100</v>
          </cell>
          <cell r="I143">
            <v>80</v>
          </cell>
          <cell r="J143" t="str">
            <v>-</v>
          </cell>
          <cell r="K143">
            <v>100</v>
          </cell>
          <cell r="L143" t="str">
            <v>-</v>
          </cell>
          <cell r="M143">
            <v>100</v>
          </cell>
          <cell r="N143" t="str">
            <v>manuelle Eingabe erforderlich</v>
          </cell>
        </row>
        <row r="144">
          <cell r="A144" t="str">
            <v>Schöllkraut</v>
          </cell>
          <cell r="B144" t="str">
            <v>-</v>
          </cell>
          <cell r="C144">
            <v>80</v>
          </cell>
          <cell r="D144" t="str">
            <v>-</v>
          </cell>
          <cell r="E144">
            <v>80</v>
          </cell>
          <cell r="F144">
            <v>70</v>
          </cell>
          <cell r="G144" t="str">
            <v>-</v>
          </cell>
          <cell r="H144">
            <v>80</v>
          </cell>
          <cell r="I144">
            <v>70</v>
          </cell>
          <cell r="J144" t="str">
            <v>-</v>
          </cell>
          <cell r="K144">
            <v>80</v>
          </cell>
          <cell r="L144" t="str">
            <v>-</v>
          </cell>
          <cell r="M144">
            <v>80</v>
          </cell>
          <cell r="N144" t="str">
            <v>manuelle Eingabe erforderlich</v>
          </cell>
        </row>
        <row r="145">
          <cell r="A145" t="str">
            <v>Schwarzkümmel</v>
          </cell>
          <cell r="B145" t="str">
            <v>-</v>
          </cell>
          <cell r="C145">
            <v>80</v>
          </cell>
          <cell r="D145" t="str">
            <v>-</v>
          </cell>
          <cell r="E145">
            <v>80</v>
          </cell>
          <cell r="F145">
            <v>60</v>
          </cell>
          <cell r="G145" t="str">
            <v>-</v>
          </cell>
          <cell r="H145">
            <v>80</v>
          </cell>
          <cell r="I145">
            <v>60</v>
          </cell>
          <cell r="J145" t="str">
            <v>-</v>
          </cell>
          <cell r="K145">
            <v>80</v>
          </cell>
          <cell r="L145" t="str">
            <v>-</v>
          </cell>
          <cell r="M145">
            <v>80</v>
          </cell>
          <cell r="N145">
            <v>75</v>
          </cell>
          <cell r="O145">
            <v>65</v>
          </cell>
          <cell r="P145">
            <v>50</v>
          </cell>
          <cell r="Q145">
            <v>50</v>
          </cell>
          <cell r="R145">
            <v>50</v>
          </cell>
          <cell r="S145" t="str">
            <v>1)</v>
          </cell>
          <cell r="T145" t="str">
            <v>2)</v>
          </cell>
        </row>
        <row r="146">
          <cell r="A146" t="str">
            <v>Senf mit ÖPUL-Code "HAS"</v>
          </cell>
          <cell r="B146" t="str">
            <v>-</v>
          </cell>
          <cell r="C146">
            <v>100</v>
          </cell>
          <cell r="D146" t="str">
            <v>-</v>
          </cell>
          <cell r="E146">
            <v>100</v>
          </cell>
          <cell r="F146">
            <v>90</v>
          </cell>
          <cell r="G146" t="str">
            <v>-</v>
          </cell>
          <cell r="H146">
            <v>100</v>
          </cell>
          <cell r="I146">
            <v>90</v>
          </cell>
          <cell r="J146" t="str">
            <v>-</v>
          </cell>
          <cell r="K146">
            <v>100</v>
          </cell>
          <cell r="L146" t="str">
            <v>-</v>
          </cell>
          <cell r="M146">
            <v>100</v>
          </cell>
          <cell r="N146">
            <v>90</v>
          </cell>
          <cell r="O146">
            <v>75</v>
          </cell>
          <cell r="P146">
            <v>60</v>
          </cell>
          <cell r="Q146">
            <v>60</v>
          </cell>
          <cell r="R146">
            <v>60</v>
          </cell>
          <cell r="S146" t="str">
            <v>1)</v>
          </cell>
          <cell r="T146" t="str">
            <v>2)</v>
          </cell>
        </row>
        <row r="147">
          <cell r="A147" t="str">
            <v>Sonnenhut</v>
          </cell>
          <cell r="B147" t="str">
            <v>-</v>
          </cell>
          <cell r="C147">
            <v>120</v>
          </cell>
          <cell r="D147" t="str">
            <v>-</v>
          </cell>
          <cell r="E147">
            <v>120</v>
          </cell>
          <cell r="F147">
            <v>110</v>
          </cell>
          <cell r="G147" t="str">
            <v>-</v>
          </cell>
          <cell r="H147">
            <v>120</v>
          </cell>
          <cell r="I147">
            <v>110</v>
          </cell>
          <cell r="J147" t="str">
            <v>-</v>
          </cell>
          <cell r="K147">
            <v>120</v>
          </cell>
          <cell r="L147" t="str">
            <v>-</v>
          </cell>
          <cell r="M147">
            <v>120</v>
          </cell>
          <cell r="N147">
            <v>105</v>
          </cell>
          <cell r="O147">
            <v>90</v>
          </cell>
          <cell r="P147">
            <v>70</v>
          </cell>
          <cell r="Q147">
            <v>70</v>
          </cell>
          <cell r="R147">
            <v>70</v>
          </cell>
          <cell r="S147" t="str">
            <v>1)</v>
          </cell>
          <cell r="T147" t="str">
            <v>2)</v>
          </cell>
        </row>
        <row r="148">
          <cell r="A148" t="str">
            <v>Spitzwegerich</v>
          </cell>
          <cell r="B148" t="str">
            <v>-</v>
          </cell>
          <cell r="C148">
            <v>120</v>
          </cell>
          <cell r="D148" t="str">
            <v>-</v>
          </cell>
          <cell r="E148">
            <v>120</v>
          </cell>
          <cell r="F148">
            <v>80</v>
          </cell>
          <cell r="G148" t="str">
            <v>-</v>
          </cell>
          <cell r="H148">
            <v>120</v>
          </cell>
          <cell r="I148">
            <v>80</v>
          </cell>
          <cell r="J148" t="str">
            <v>-</v>
          </cell>
          <cell r="K148">
            <v>120</v>
          </cell>
          <cell r="L148" t="str">
            <v>-</v>
          </cell>
          <cell r="M148">
            <v>120</v>
          </cell>
          <cell r="N148">
            <v>75</v>
          </cell>
          <cell r="O148">
            <v>65</v>
          </cell>
          <cell r="P148">
            <v>50</v>
          </cell>
          <cell r="Q148">
            <v>50</v>
          </cell>
          <cell r="R148">
            <v>50</v>
          </cell>
          <cell r="S148" t="str">
            <v>1)</v>
          </cell>
          <cell r="T148" t="str">
            <v>2)</v>
          </cell>
        </row>
        <row r="149">
          <cell r="A149" t="str">
            <v>Stechapfel</v>
          </cell>
          <cell r="B149" t="str">
            <v>-</v>
          </cell>
          <cell r="C149">
            <v>120</v>
          </cell>
          <cell r="D149" t="str">
            <v>-</v>
          </cell>
          <cell r="E149">
            <v>120</v>
          </cell>
          <cell r="F149">
            <v>100</v>
          </cell>
          <cell r="G149" t="str">
            <v>-</v>
          </cell>
          <cell r="H149">
            <v>120</v>
          </cell>
          <cell r="I149">
            <v>100</v>
          </cell>
          <cell r="J149" t="str">
            <v>-</v>
          </cell>
          <cell r="K149">
            <v>120</v>
          </cell>
          <cell r="L149" t="str">
            <v>-</v>
          </cell>
          <cell r="M149">
            <v>120</v>
          </cell>
          <cell r="N149">
            <v>85</v>
          </cell>
          <cell r="O149">
            <v>70</v>
          </cell>
          <cell r="P149">
            <v>55</v>
          </cell>
          <cell r="Q149">
            <v>55</v>
          </cell>
          <cell r="R149">
            <v>55</v>
          </cell>
          <cell r="S149" t="str">
            <v>1)</v>
          </cell>
          <cell r="T149" t="str">
            <v>2)</v>
          </cell>
        </row>
        <row r="150">
          <cell r="A150" t="str">
            <v>Steinklee</v>
          </cell>
          <cell r="B150" t="str">
            <v>-</v>
          </cell>
          <cell r="C150">
            <v>0</v>
          </cell>
          <cell r="D150" t="str">
            <v>-</v>
          </cell>
          <cell r="E150">
            <v>0</v>
          </cell>
          <cell r="F150">
            <v>0</v>
          </cell>
          <cell r="G150" t="str">
            <v>-</v>
          </cell>
          <cell r="H150">
            <v>0</v>
          </cell>
          <cell r="I150">
            <v>0</v>
          </cell>
          <cell r="J150" t="str">
            <v>-</v>
          </cell>
          <cell r="K150">
            <v>0</v>
          </cell>
          <cell r="L150" t="str">
            <v>-</v>
          </cell>
          <cell r="M150">
            <v>0</v>
          </cell>
          <cell r="N150" t="str">
            <v>manuelle Eingabe erforderlich</v>
          </cell>
        </row>
        <row r="151">
          <cell r="A151" t="str">
            <v>Studentenblume</v>
          </cell>
          <cell r="B151" t="str">
            <v>-</v>
          </cell>
          <cell r="C151">
            <v>120</v>
          </cell>
          <cell r="D151" t="str">
            <v>-</v>
          </cell>
          <cell r="E151">
            <v>120</v>
          </cell>
          <cell r="F151">
            <v>110</v>
          </cell>
          <cell r="G151" t="str">
            <v>-</v>
          </cell>
          <cell r="H151">
            <v>120</v>
          </cell>
          <cell r="I151">
            <v>110</v>
          </cell>
          <cell r="J151" t="str">
            <v>-</v>
          </cell>
          <cell r="K151">
            <v>120</v>
          </cell>
          <cell r="L151" t="str">
            <v>-</v>
          </cell>
          <cell r="M151">
            <v>120</v>
          </cell>
          <cell r="N151">
            <v>180</v>
          </cell>
          <cell r="O151">
            <v>150</v>
          </cell>
          <cell r="P151">
            <v>120</v>
          </cell>
          <cell r="Q151">
            <v>120</v>
          </cell>
          <cell r="R151">
            <v>120</v>
          </cell>
          <cell r="S151" t="str">
            <v>1)</v>
          </cell>
          <cell r="T151" t="str">
            <v>2)</v>
          </cell>
        </row>
        <row r="152">
          <cell r="A152" t="str">
            <v>Thymian</v>
          </cell>
          <cell r="B152" t="str">
            <v>-</v>
          </cell>
          <cell r="C152">
            <v>70</v>
          </cell>
          <cell r="D152" t="str">
            <v>-</v>
          </cell>
          <cell r="E152">
            <v>70</v>
          </cell>
          <cell r="F152">
            <v>60</v>
          </cell>
          <cell r="G152" t="str">
            <v>-</v>
          </cell>
          <cell r="H152">
            <v>70</v>
          </cell>
          <cell r="I152">
            <v>60</v>
          </cell>
          <cell r="J152" t="str">
            <v>-</v>
          </cell>
          <cell r="K152">
            <v>70</v>
          </cell>
          <cell r="L152" t="str">
            <v>-</v>
          </cell>
          <cell r="M152">
            <v>70</v>
          </cell>
          <cell r="N152">
            <v>45</v>
          </cell>
          <cell r="O152">
            <v>40</v>
          </cell>
          <cell r="P152">
            <v>30</v>
          </cell>
          <cell r="Q152">
            <v>30</v>
          </cell>
          <cell r="R152">
            <v>30</v>
          </cell>
          <cell r="S152" t="str">
            <v>1)</v>
          </cell>
          <cell r="T152" t="str">
            <v>2)</v>
          </cell>
        </row>
        <row r="153">
          <cell r="A153" t="str">
            <v>Timothe</v>
          </cell>
          <cell r="B153" t="str">
            <v>-</v>
          </cell>
          <cell r="C153">
            <v>120</v>
          </cell>
          <cell r="D153" t="str">
            <v>-</v>
          </cell>
          <cell r="E153">
            <v>120</v>
          </cell>
          <cell r="F153">
            <v>100</v>
          </cell>
          <cell r="G153" t="str">
            <v>-</v>
          </cell>
          <cell r="H153">
            <v>120</v>
          </cell>
          <cell r="I153">
            <v>100</v>
          </cell>
          <cell r="J153" t="str">
            <v>-</v>
          </cell>
          <cell r="K153">
            <v>120</v>
          </cell>
          <cell r="L153" t="str">
            <v>-</v>
          </cell>
          <cell r="M153">
            <v>120</v>
          </cell>
          <cell r="N153" t="str">
            <v>manuelle Eingabe erforderlich</v>
          </cell>
        </row>
        <row r="154">
          <cell r="A154" t="str">
            <v>Tollkirsche</v>
          </cell>
          <cell r="B154" t="str">
            <v>-</v>
          </cell>
          <cell r="C154">
            <v>120</v>
          </cell>
          <cell r="D154" t="str">
            <v>-</v>
          </cell>
          <cell r="E154">
            <v>120</v>
          </cell>
          <cell r="F154">
            <v>110</v>
          </cell>
          <cell r="G154" t="str">
            <v>-</v>
          </cell>
          <cell r="H154">
            <v>120</v>
          </cell>
          <cell r="I154">
            <v>110</v>
          </cell>
          <cell r="J154" t="str">
            <v>-</v>
          </cell>
          <cell r="K154">
            <v>120</v>
          </cell>
          <cell r="L154" t="str">
            <v>-</v>
          </cell>
          <cell r="M154">
            <v>120</v>
          </cell>
          <cell r="N154">
            <v>90</v>
          </cell>
          <cell r="O154">
            <v>75</v>
          </cell>
          <cell r="P154">
            <v>60</v>
          </cell>
          <cell r="Q154">
            <v>60</v>
          </cell>
          <cell r="R154">
            <v>60</v>
          </cell>
          <cell r="S154" t="str">
            <v>1)</v>
          </cell>
          <cell r="T154" t="str">
            <v>2)</v>
          </cell>
        </row>
        <row r="155">
          <cell r="A155" t="str">
            <v>Wallwurz</v>
          </cell>
          <cell r="B155" t="str">
            <v>-</v>
          </cell>
          <cell r="C155">
            <v>100</v>
          </cell>
          <cell r="D155" t="str">
            <v>-</v>
          </cell>
          <cell r="E155">
            <v>100</v>
          </cell>
          <cell r="F155">
            <v>80</v>
          </cell>
          <cell r="G155" t="str">
            <v>-</v>
          </cell>
          <cell r="H155">
            <v>100</v>
          </cell>
          <cell r="I155">
            <v>80</v>
          </cell>
          <cell r="J155" t="str">
            <v>-</v>
          </cell>
          <cell r="K155">
            <v>100</v>
          </cell>
          <cell r="L155" t="str">
            <v>-</v>
          </cell>
          <cell r="M155">
            <v>100</v>
          </cell>
          <cell r="N155">
            <v>90</v>
          </cell>
          <cell r="O155">
            <v>75</v>
          </cell>
          <cell r="P155">
            <v>60</v>
          </cell>
          <cell r="Q155">
            <v>60</v>
          </cell>
          <cell r="R155">
            <v>60</v>
          </cell>
          <cell r="S155" t="str">
            <v>1)</v>
          </cell>
          <cell r="T155" t="str">
            <v>2)</v>
          </cell>
        </row>
        <row r="156">
          <cell r="A156" t="str">
            <v>Weidenröschen</v>
          </cell>
          <cell r="B156" t="str">
            <v>-</v>
          </cell>
          <cell r="C156">
            <v>80</v>
          </cell>
          <cell r="D156" t="str">
            <v>-</v>
          </cell>
          <cell r="E156">
            <v>80</v>
          </cell>
          <cell r="F156">
            <v>70</v>
          </cell>
          <cell r="G156" t="str">
            <v>-</v>
          </cell>
          <cell r="H156">
            <v>80</v>
          </cell>
          <cell r="I156">
            <v>70</v>
          </cell>
          <cell r="J156" t="str">
            <v>-</v>
          </cell>
          <cell r="K156">
            <v>80</v>
          </cell>
          <cell r="L156" t="str">
            <v>-</v>
          </cell>
          <cell r="M156">
            <v>80</v>
          </cell>
          <cell r="N156">
            <v>75</v>
          </cell>
          <cell r="O156">
            <v>65</v>
          </cell>
          <cell r="P156">
            <v>50</v>
          </cell>
          <cell r="Q156">
            <v>50</v>
          </cell>
          <cell r="R156">
            <v>50</v>
          </cell>
          <cell r="S156" t="str">
            <v>1)</v>
          </cell>
          <cell r="T156" t="str">
            <v>2)</v>
          </cell>
        </row>
        <row r="157">
          <cell r="A157" t="str">
            <v>Ysop</v>
          </cell>
          <cell r="B157" t="str">
            <v>-</v>
          </cell>
          <cell r="C157">
            <v>50</v>
          </cell>
          <cell r="D157" t="str">
            <v>-</v>
          </cell>
          <cell r="E157">
            <v>50</v>
          </cell>
          <cell r="F157">
            <v>40</v>
          </cell>
          <cell r="G157" t="str">
            <v>-</v>
          </cell>
          <cell r="H157">
            <v>50</v>
          </cell>
          <cell r="I157">
            <v>40</v>
          </cell>
          <cell r="J157" t="str">
            <v>-</v>
          </cell>
          <cell r="K157">
            <v>50</v>
          </cell>
          <cell r="L157" t="str">
            <v>-</v>
          </cell>
          <cell r="M157">
            <v>50</v>
          </cell>
          <cell r="N157">
            <v>90</v>
          </cell>
          <cell r="O157">
            <v>75</v>
          </cell>
          <cell r="P157">
            <v>60</v>
          </cell>
          <cell r="Q157">
            <v>60</v>
          </cell>
          <cell r="R157">
            <v>60</v>
          </cell>
          <cell r="S157" t="str">
            <v>1)</v>
          </cell>
          <cell r="T157" t="str">
            <v>2)</v>
          </cell>
        </row>
        <row r="158">
          <cell r="A158" t="str">
            <v>Zitronenmelisse</v>
          </cell>
          <cell r="B158" t="str">
            <v>-</v>
          </cell>
          <cell r="C158">
            <v>200</v>
          </cell>
          <cell r="D158" t="str">
            <v>-</v>
          </cell>
          <cell r="E158">
            <v>200</v>
          </cell>
          <cell r="F158">
            <v>170</v>
          </cell>
          <cell r="G158" t="str">
            <v>-</v>
          </cell>
          <cell r="H158">
            <v>200</v>
          </cell>
          <cell r="I158">
            <v>170</v>
          </cell>
          <cell r="J158" t="str">
            <v>-</v>
          </cell>
          <cell r="K158">
            <v>200</v>
          </cell>
          <cell r="L158" t="str">
            <v>-</v>
          </cell>
          <cell r="M158">
            <v>200</v>
          </cell>
          <cell r="N158">
            <v>135</v>
          </cell>
          <cell r="O158">
            <v>115</v>
          </cell>
          <cell r="P158">
            <v>90</v>
          </cell>
          <cell r="Q158">
            <v>90</v>
          </cell>
          <cell r="R158">
            <v>90</v>
          </cell>
          <cell r="S158" t="str">
            <v>1)</v>
          </cell>
          <cell r="T158" t="str">
            <v>2)</v>
          </cell>
        </row>
        <row r="159">
          <cell r="A159" t="str">
            <v>Gemüse: 6)</v>
          </cell>
        </row>
        <row r="160">
          <cell r="A160" t="str">
            <v>Artischocke</v>
          </cell>
          <cell r="B160" t="str">
            <v>&lt; 12</v>
          </cell>
          <cell r="C160">
            <v>112</v>
          </cell>
          <cell r="D160" t="str">
            <v>12 - 20</v>
          </cell>
          <cell r="E160">
            <v>130</v>
          </cell>
          <cell r="F160">
            <v>90</v>
          </cell>
          <cell r="G160" t="str">
            <v>&gt; 20</v>
          </cell>
          <cell r="H160">
            <v>153</v>
          </cell>
          <cell r="I160">
            <v>113</v>
          </cell>
          <cell r="J160" t="str">
            <v>&gt; 20</v>
          </cell>
          <cell r="K160">
            <v>153</v>
          </cell>
          <cell r="L160" t="str">
            <v>&gt; 20</v>
          </cell>
          <cell r="M160">
            <v>153</v>
          </cell>
          <cell r="N160">
            <v>60</v>
          </cell>
          <cell r="O160">
            <v>50</v>
          </cell>
          <cell r="P160">
            <v>30</v>
          </cell>
          <cell r="Q160">
            <v>40</v>
          </cell>
          <cell r="R160">
            <v>50</v>
          </cell>
          <cell r="S160">
            <v>20</v>
          </cell>
          <cell r="T160" t="str">
            <v>-</v>
          </cell>
        </row>
        <row r="161">
          <cell r="A161" t="str">
            <v>Brokkoli</v>
          </cell>
          <cell r="B161" t="str">
            <v>&lt; 15</v>
          </cell>
          <cell r="C161">
            <v>200</v>
          </cell>
          <cell r="D161" t="str">
            <v>15 - 20</v>
          </cell>
          <cell r="E161">
            <v>240</v>
          </cell>
          <cell r="F161">
            <v>200</v>
          </cell>
          <cell r="G161" t="str">
            <v>&gt; 20</v>
          </cell>
          <cell r="H161">
            <v>290</v>
          </cell>
          <cell r="I161">
            <v>250</v>
          </cell>
          <cell r="J161" t="str">
            <v>&gt; 20</v>
          </cell>
          <cell r="K161">
            <v>290</v>
          </cell>
          <cell r="L161" t="str">
            <v>&gt; 20</v>
          </cell>
          <cell r="M161">
            <v>290</v>
          </cell>
          <cell r="N161">
            <v>60</v>
          </cell>
          <cell r="O161">
            <v>50</v>
          </cell>
          <cell r="P161">
            <v>30</v>
          </cell>
          <cell r="Q161">
            <v>40</v>
          </cell>
          <cell r="R161">
            <v>50</v>
          </cell>
          <cell r="S161">
            <v>20</v>
          </cell>
          <cell r="T161" t="str">
            <v>-</v>
          </cell>
        </row>
        <row r="162">
          <cell r="A162" t="str">
            <v>Buschbohne (gedroschen)</v>
          </cell>
          <cell r="B162" t="str">
            <v>&lt; 8</v>
          </cell>
          <cell r="C162">
            <v>96</v>
          </cell>
          <cell r="D162" t="str">
            <v>8 - 12</v>
          </cell>
          <cell r="E162">
            <v>110</v>
          </cell>
          <cell r="F162">
            <v>70</v>
          </cell>
          <cell r="G162" t="str">
            <v>&gt; 12</v>
          </cell>
          <cell r="H162">
            <v>128</v>
          </cell>
          <cell r="I162">
            <v>88</v>
          </cell>
          <cell r="J162" t="str">
            <v>&gt; 12</v>
          </cell>
          <cell r="K162">
            <v>128</v>
          </cell>
          <cell r="L162" t="str">
            <v>&gt; 12</v>
          </cell>
          <cell r="M162">
            <v>128</v>
          </cell>
          <cell r="N162">
            <v>30</v>
          </cell>
          <cell r="O162">
            <v>25</v>
          </cell>
          <cell r="P162">
            <v>15</v>
          </cell>
          <cell r="Q162">
            <v>20</v>
          </cell>
          <cell r="R162">
            <v>25</v>
          </cell>
          <cell r="S162">
            <v>10</v>
          </cell>
          <cell r="T162" t="str">
            <v>-</v>
          </cell>
        </row>
        <row r="163">
          <cell r="A163" t="str">
            <v>Buschbohne (gepflückt)</v>
          </cell>
          <cell r="B163" t="str">
            <v>&lt; 8</v>
          </cell>
          <cell r="C163">
            <v>96</v>
          </cell>
          <cell r="D163" t="str">
            <v>8 - 12</v>
          </cell>
          <cell r="E163">
            <v>110</v>
          </cell>
          <cell r="F163">
            <v>70</v>
          </cell>
          <cell r="G163" t="str">
            <v>&gt; 12</v>
          </cell>
          <cell r="H163">
            <v>128</v>
          </cell>
          <cell r="I163">
            <v>88</v>
          </cell>
          <cell r="J163" t="str">
            <v>&gt; 12</v>
          </cell>
          <cell r="K163">
            <v>128</v>
          </cell>
          <cell r="L163" t="str">
            <v>&gt; 12</v>
          </cell>
          <cell r="M163">
            <v>128</v>
          </cell>
          <cell r="N163">
            <v>30</v>
          </cell>
          <cell r="O163">
            <v>25</v>
          </cell>
          <cell r="P163">
            <v>15</v>
          </cell>
          <cell r="Q163">
            <v>20</v>
          </cell>
          <cell r="R163">
            <v>25</v>
          </cell>
          <cell r="S163">
            <v>10</v>
          </cell>
          <cell r="T163" t="str">
            <v>-</v>
          </cell>
        </row>
        <row r="164">
          <cell r="A164" t="str">
            <v>Chicoree</v>
          </cell>
          <cell r="B164" t="str">
            <v>&lt; 20</v>
          </cell>
          <cell r="C164">
            <v>164</v>
          </cell>
          <cell r="D164" t="str">
            <v>20 - 45</v>
          </cell>
          <cell r="E164">
            <v>195</v>
          </cell>
          <cell r="F164">
            <v>155</v>
          </cell>
          <cell r="G164" t="str">
            <v>&gt; 45</v>
          </cell>
          <cell r="H164">
            <v>234</v>
          </cell>
          <cell r="I164">
            <v>194</v>
          </cell>
          <cell r="J164" t="str">
            <v>&gt; 45</v>
          </cell>
          <cell r="K164">
            <v>234</v>
          </cell>
          <cell r="L164" t="str">
            <v>&gt; 45</v>
          </cell>
          <cell r="M164">
            <v>234</v>
          </cell>
          <cell r="N164">
            <v>60</v>
          </cell>
          <cell r="O164">
            <v>50</v>
          </cell>
          <cell r="P164">
            <v>30</v>
          </cell>
          <cell r="Q164">
            <v>40</v>
          </cell>
          <cell r="R164">
            <v>50</v>
          </cell>
          <cell r="S164">
            <v>20</v>
          </cell>
          <cell r="T164" t="str">
            <v>-</v>
          </cell>
        </row>
        <row r="165">
          <cell r="A165" t="str">
            <v>Chinakohl</v>
          </cell>
          <cell r="B165" t="str">
            <v>&lt; 50</v>
          </cell>
          <cell r="C165">
            <v>200</v>
          </cell>
          <cell r="D165" t="str">
            <v>50 - 70</v>
          </cell>
          <cell r="E165">
            <v>240</v>
          </cell>
          <cell r="F165">
            <v>200</v>
          </cell>
          <cell r="G165" t="str">
            <v>&gt; 70</v>
          </cell>
          <cell r="H165">
            <v>290</v>
          </cell>
          <cell r="I165">
            <v>250</v>
          </cell>
          <cell r="J165" t="str">
            <v>&gt; 70</v>
          </cell>
          <cell r="K165">
            <v>290</v>
          </cell>
          <cell r="L165" t="str">
            <v>&gt; 70</v>
          </cell>
          <cell r="M165">
            <v>290</v>
          </cell>
          <cell r="N165">
            <v>90</v>
          </cell>
          <cell r="O165">
            <v>75</v>
          </cell>
          <cell r="P165">
            <v>50</v>
          </cell>
          <cell r="Q165">
            <v>60</v>
          </cell>
          <cell r="R165">
            <v>75</v>
          </cell>
          <cell r="S165">
            <v>30</v>
          </cell>
          <cell r="T165" t="str">
            <v>-</v>
          </cell>
        </row>
        <row r="166">
          <cell r="A166" t="str">
            <v>Dill</v>
          </cell>
          <cell r="B166" t="str">
            <v>&lt; 17</v>
          </cell>
          <cell r="C166">
            <v>112</v>
          </cell>
          <cell r="D166" t="str">
            <v>17 - 22</v>
          </cell>
          <cell r="E166">
            <v>130</v>
          </cell>
          <cell r="F166">
            <v>90</v>
          </cell>
          <cell r="G166" t="str">
            <v>&gt; 22</v>
          </cell>
          <cell r="H166">
            <v>153</v>
          </cell>
          <cell r="I166">
            <v>113</v>
          </cell>
          <cell r="J166" t="str">
            <v>&gt; 22</v>
          </cell>
          <cell r="K166">
            <v>153</v>
          </cell>
          <cell r="L166" t="str">
            <v>&gt; 22</v>
          </cell>
          <cell r="M166">
            <v>153</v>
          </cell>
          <cell r="N166">
            <v>25</v>
          </cell>
          <cell r="O166">
            <v>20</v>
          </cell>
          <cell r="P166">
            <v>10</v>
          </cell>
          <cell r="Q166">
            <v>15</v>
          </cell>
          <cell r="R166">
            <v>20</v>
          </cell>
          <cell r="S166">
            <v>10</v>
          </cell>
          <cell r="T166" t="str">
            <v>-</v>
          </cell>
        </row>
        <row r="167">
          <cell r="A167" t="str">
            <v>Eichblattsalat</v>
          </cell>
          <cell r="B167" t="str">
            <v>&lt; 25</v>
          </cell>
          <cell r="C167">
            <v>140</v>
          </cell>
          <cell r="D167" t="str">
            <v>25 - 35</v>
          </cell>
          <cell r="E167">
            <v>160</v>
          </cell>
          <cell r="F167">
            <v>100</v>
          </cell>
          <cell r="G167" t="str">
            <v>&gt; 35</v>
          </cell>
          <cell r="H167">
            <v>185</v>
          </cell>
          <cell r="I167">
            <v>125</v>
          </cell>
          <cell r="J167" t="str">
            <v>&gt; 35</v>
          </cell>
          <cell r="K167">
            <v>185</v>
          </cell>
          <cell r="L167" t="str">
            <v>&gt; 35</v>
          </cell>
          <cell r="M167">
            <v>185</v>
          </cell>
          <cell r="N167">
            <v>45</v>
          </cell>
          <cell r="O167">
            <v>40</v>
          </cell>
          <cell r="P167">
            <v>25</v>
          </cell>
          <cell r="Q167">
            <v>30</v>
          </cell>
          <cell r="R167">
            <v>40</v>
          </cell>
          <cell r="S167">
            <v>15</v>
          </cell>
          <cell r="T167" t="str">
            <v>-</v>
          </cell>
        </row>
        <row r="168">
          <cell r="A168" t="str">
            <v>Eichblattsalat (geschützt)</v>
          </cell>
          <cell r="B168" t="str">
            <v>&lt; 25</v>
          </cell>
          <cell r="C168">
            <v>140</v>
          </cell>
          <cell r="D168" t="str">
            <v>25 - 35</v>
          </cell>
          <cell r="E168">
            <v>160</v>
          </cell>
          <cell r="F168">
            <v>100</v>
          </cell>
          <cell r="G168" t="str">
            <v>&gt; 35</v>
          </cell>
          <cell r="H168">
            <v>185</v>
          </cell>
          <cell r="I168">
            <v>125</v>
          </cell>
          <cell r="J168" t="str">
            <v>&gt; 35</v>
          </cell>
          <cell r="K168">
            <v>185</v>
          </cell>
          <cell r="L168" t="str">
            <v>&gt; 35</v>
          </cell>
          <cell r="M168">
            <v>185</v>
          </cell>
          <cell r="N168">
            <v>45</v>
          </cell>
          <cell r="O168">
            <v>40</v>
          </cell>
          <cell r="P168">
            <v>25</v>
          </cell>
          <cell r="Q168">
            <v>30</v>
          </cell>
          <cell r="R168">
            <v>40</v>
          </cell>
          <cell r="S168">
            <v>15</v>
          </cell>
          <cell r="T168" t="str">
            <v>-</v>
          </cell>
        </row>
        <row r="169">
          <cell r="A169" t="str">
            <v>Eichblattsalat (Vlies)</v>
          </cell>
          <cell r="B169" t="str">
            <v>&lt; 25</v>
          </cell>
          <cell r="C169">
            <v>140</v>
          </cell>
          <cell r="D169" t="str">
            <v>25 - 35</v>
          </cell>
          <cell r="E169">
            <v>160</v>
          </cell>
          <cell r="F169">
            <v>100</v>
          </cell>
          <cell r="G169" t="str">
            <v>&gt; 35</v>
          </cell>
          <cell r="H169">
            <v>185</v>
          </cell>
          <cell r="I169">
            <v>125</v>
          </cell>
          <cell r="J169" t="str">
            <v>&gt; 35</v>
          </cell>
          <cell r="K169">
            <v>185</v>
          </cell>
          <cell r="L169" t="str">
            <v>&gt; 35</v>
          </cell>
          <cell r="M169">
            <v>185</v>
          </cell>
          <cell r="N169">
            <v>30</v>
          </cell>
          <cell r="O169">
            <v>25</v>
          </cell>
          <cell r="P169">
            <v>15</v>
          </cell>
          <cell r="Q169">
            <v>20</v>
          </cell>
          <cell r="R169">
            <v>25</v>
          </cell>
          <cell r="S169">
            <v>10</v>
          </cell>
          <cell r="T169" t="str">
            <v>-</v>
          </cell>
        </row>
        <row r="170">
          <cell r="A170" t="str">
            <v>Eissalat</v>
          </cell>
          <cell r="B170" t="str">
            <v>&lt; 30</v>
          </cell>
          <cell r="C170">
            <v>132</v>
          </cell>
          <cell r="D170" t="str">
            <v>30 - 35</v>
          </cell>
          <cell r="E170">
            <v>155</v>
          </cell>
          <cell r="F170">
            <v>115</v>
          </cell>
          <cell r="G170" t="str">
            <v>&gt; 35</v>
          </cell>
          <cell r="H170">
            <v>184</v>
          </cell>
          <cell r="I170">
            <v>144</v>
          </cell>
          <cell r="J170" t="str">
            <v>&gt; 35</v>
          </cell>
          <cell r="K170">
            <v>184</v>
          </cell>
          <cell r="L170" t="str">
            <v>&gt; 35</v>
          </cell>
          <cell r="M170">
            <v>184</v>
          </cell>
          <cell r="N170">
            <v>45</v>
          </cell>
          <cell r="O170">
            <v>40</v>
          </cell>
          <cell r="P170">
            <v>25</v>
          </cell>
          <cell r="Q170">
            <v>30</v>
          </cell>
          <cell r="R170">
            <v>40</v>
          </cell>
          <cell r="S170">
            <v>15</v>
          </cell>
          <cell r="T170" t="str">
            <v>-</v>
          </cell>
        </row>
        <row r="171">
          <cell r="A171" t="str">
            <v>Endivie</v>
          </cell>
          <cell r="B171" t="str">
            <v>&lt; 30</v>
          </cell>
          <cell r="C171">
            <v>160</v>
          </cell>
          <cell r="D171" t="str">
            <v>30 - 40</v>
          </cell>
          <cell r="E171">
            <v>190</v>
          </cell>
          <cell r="F171">
            <v>150</v>
          </cell>
          <cell r="G171" t="str">
            <v>&gt; 40</v>
          </cell>
          <cell r="H171">
            <v>228</v>
          </cell>
          <cell r="I171">
            <v>188</v>
          </cell>
          <cell r="J171" t="str">
            <v>&gt; 40</v>
          </cell>
          <cell r="K171">
            <v>228</v>
          </cell>
          <cell r="L171" t="str">
            <v>&gt; 40</v>
          </cell>
          <cell r="M171">
            <v>228</v>
          </cell>
          <cell r="N171">
            <v>55</v>
          </cell>
          <cell r="O171">
            <v>45</v>
          </cell>
          <cell r="P171">
            <v>30</v>
          </cell>
          <cell r="Q171">
            <v>35</v>
          </cell>
          <cell r="R171">
            <v>45</v>
          </cell>
          <cell r="S171">
            <v>20</v>
          </cell>
          <cell r="T171" t="str">
            <v>-</v>
          </cell>
        </row>
        <row r="172">
          <cell r="A172" t="str">
            <v>Erbsen</v>
          </cell>
          <cell r="B172" t="str">
            <v>&lt; 4</v>
          </cell>
          <cell r="C172">
            <v>100</v>
          </cell>
          <cell r="D172" t="str">
            <v>4 - 6</v>
          </cell>
          <cell r="E172">
            <v>110</v>
          </cell>
          <cell r="F172">
            <v>70</v>
          </cell>
          <cell r="G172" t="str">
            <v>&gt; 6</v>
          </cell>
          <cell r="H172">
            <v>130</v>
          </cell>
          <cell r="I172">
            <v>88</v>
          </cell>
          <cell r="J172" t="str">
            <v>&gt; 6</v>
          </cell>
          <cell r="K172">
            <v>130</v>
          </cell>
          <cell r="L172" t="str">
            <v>&gt; 6</v>
          </cell>
          <cell r="M172">
            <v>130</v>
          </cell>
          <cell r="N172">
            <v>30</v>
          </cell>
          <cell r="O172">
            <v>25</v>
          </cell>
          <cell r="P172">
            <v>15</v>
          </cell>
          <cell r="Q172">
            <v>20</v>
          </cell>
          <cell r="R172">
            <v>25</v>
          </cell>
          <cell r="S172">
            <v>10</v>
          </cell>
          <cell r="T172" t="str">
            <v>-</v>
          </cell>
        </row>
        <row r="173">
          <cell r="A173" t="str">
            <v>Grünkohl</v>
          </cell>
          <cell r="B173" t="str">
            <v>&lt; 40</v>
          </cell>
          <cell r="C173">
            <v>240</v>
          </cell>
          <cell r="D173" t="str">
            <v>40 - 50</v>
          </cell>
          <cell r="E173">
            <v>290</v>
          </cell>
          <cell r="F173">
            <v>250</v>
          </cell>
          <cell r="G173" t="str">
            <v>&gt; 50</v>
          </cell>
          <cell r="H173">
            <v>353</v>
          </cell>
          <cell r="I173">
            <v>313</v>
          </cell>
          <cell r="J173" t="str">
            <v>&gt; 50</v>
          </cell>
          <cell r="K173">
            <v>353</v>
          </cell>
          <cell r="L173" t="str">
            <v>&gt; 50</v>
          </cell>
          <cell r="M173">
            <v>353</v>
          </cell>
          <cell r="N173">
            <v>60</v>
          </cell>
          <cell r="O173">
            <v>50</v>
          </cell>
          <cell r="P173">
            <v>30</v>
          </cell>
          <cell r="Q173">
            <v>40</v>
          </cell>
          <cell r="R173">
            <v>50</v>
          </cell>
          <cell r="S173">
            <v>20</v>
          </cell>
          <cell r="T173" t="str">
            <v>-</v>
          </cell>
        </row>
        <row r="174">
          <cell r="A174" t="str">
            <v>Grünsoja</v>
          </cell>
          <cell r="B174" t="str">
            <v>&lt; 3,5</v>
          </cell>
          <cell r="C174">
            <v>96</v>
          </cell>
          <cell r="D174" t="str">
            <v>3,5 - 5</v>
          </cell>
          <cell r="E174">
            <v>110</v>
          </cell>
          <cell r="F174">
            <v>70</v>
          </cell>
          <cell r="G174" t="str">
            <v>&gt; 5</v>
          </cell>
          <cell r="H174">
            <v>128</v>
          </cell>
          <cell r="I174">
            <v>88</v>
          </cell>
          <cell r="J174" t="str">
            <v>&gt; 5</v>
          </cell>
          <cell r="K174">
            <v>128</v>
          </cell>
          <cell r="L174" t="str">
            <v>&gt; 5</v>
          </cell>
          <cell r="M174">
            <v>128</v>
          </cell>
          <cell r="N174">
            <v>45</v>
          </cell>
          <cell r="O174">
            <v>40</v>
          </cell>
          <cell r="P174">
            <v>25</v>
          </cell>
          <cell r="Q174">
            <v>30</v>
          </cell>
          <cell r="R174">
            <v>40</v>
          </cell>
          <cell r="S174">
            <v>15</v>
          </cell>
          <cell r="T174" t="str">
            <v>-</v>
          </cell>
        </row>
        <row r="175">
          <cell r="A175" t="str">
            <v>Gurke (Einlegegurke)</v>
          </cell>
          <cell r="B175" t="str">
            <v>&lt; 40</v>
          </cell>
          <cell r="C175">
            <v>184</v>
          </cell>
          <cell r="D175" t="str">
            <v>40 - 50</v>
          </cell>
          <cell r="E175">
            <v>220</v>
          </cell>
          <cell r="F175">
            <v>180</v>
          </cell>
          <cell r="G175" t="str">
            <v>&gt; 50</v>
          </cell>
          <cell r="H175">
            <v>265</v>
          </cell>
          <cell r="I175">
            <v>225</v>
          </cell>
          <cell r="J175" t="str">
            <v>&gt; 50</v>
          </cell>
          <cell r="K175">
            <v>265</v>
          </cell>
          <cell r="L175" t="str">
            <v>&gt; 50</v>
          </cell>
          <cell r="M175">
            <v>265</v>
          </cell>
          <cell r="N175">
            <v>60</v>
          </cell>
          <cell r="O175">
            <v>50</v>
          </cell>
          <cell r="P175">
            <v>30</v>
          </cell>
          <cell r="Q175">
            <v>40</v>
          </cell>
          <cell r="R175">
            <v>50</v>
          </cell>
          <cell r="S175">
            <v>20</v>
          </cell>
          <cell r="T175" t="str">
            <v>-</v>
          </cell>
        </row>
        <row r="176">
          <cell r="A176" t="str">
            <v>Gurke (Einlegegurke Tröpfchenbewässerung)</v>
          </cell>
          <cell r="B176" t="str">
            <v>&lt; 40</v>
          </cell>
          <cell r="C176">
            <v>184</v>
          </cell>
          <cell r="D176" t="str">
            <v>40 - 50</v>
          </cell>
          <cell r="E176">
            <v>220</v>
          </cell>
          <cell r="F176">
            <v>180</v>
          </cell>
          <cell r="G176" t="str">
            <v>&gt; 50</v>
          </cell>
          <cell r="H176">
            <v>265</v>
          </cell>
          <cell r="I176">
            <v>225</v>
          </cell>
          <cell r="J176" t="str">
            <v>&gt; 50</v>
          </cell>
          <cell r="K176">
            <v>265</v>
          </cell>
          <cell r="L176" t="str">
            <v>&gt; 50</v>
          </cell>
          <cell r="M176">
            <v>265</v>
          </cell>
          <cell r="N176">
            <v>75</v>
          </cell>
          <cell r="O176">
            <v>65</v>
          </cell>
          <cell r="P176">
            <v>40</v>
          </cell>
          <cell r="Q176">
            <v>50</v>
          </cell>
          <cell r="R176">
            <v>65</v>
          </cell>
          <cell r="S176">
            <v>25</v>
          </cell>
          <cell r="T176" t="str">
            <v>-</v>
          </cell>
        </row>
        <row r="177">
          <cell r="A177" t="str">
            <v>Gurken (Salat-) (Freiland)</v>
          </cell>
          <cell r="B177" t="str">
            <v>&lt; 40</v>
          </cell>
          <cell r="C177">
            <v>184</v>
          </cell>
          <cell r="D177" t="str">
            <v>40 - 50</v>
          </cell>
          <cell r="E177">
            <v>220</v>
          </cell>
          <cell r="F177">
            <v>180</v>
          </cell>
          <cell r="G177" t="str">
            <v>&gt; 50</v>
          </cell>
          <cell r="H177">
            <v>265</v>
          </cell>
          <cell r="I177">
            <v>225</v>
          </cell>
          <cell r="J177" t="str">
            <v>&gt; 50</v>
          </cell>
          <cell r="K177">
            <v>265</v>
          </cell>
          <cell r="L177" t="str">
            <v>&gt; 50</v>
          </cell>
          <cell r="M177">
            <v>265</v>
          </cell>
          <cell r="N177">
            <v>60</v>
          </cell>
          <cell r="O177">
            <v>50</v>
          </cell>
          <cell r="P177">
            <v>30</v>
          </cell>
          <cell r="Q177">
            <v>40</v>
          </cell>
          <cell r="R177">
            <v>50</v>
          </cell>
          <cell r="S177">
            <v>20</v>
          </cell>
          <cell r="T177" t="str">
            <v>-</v>
          </cell>
        </row>
        <row r="178">
          <cell r="A178" t="str">
            <v>Gurken (Salat-) (ungeheizt, Kurzkultur)</v>
          </cell>
          <cell r="B178" t="str">
            <v>&lt; 40</v>
          </cell>
          <cell r="C178">
            <v>184</v>
          </cell>
          <cell r="D178" t="str">
            <v>40 - 50</v>
          </cell>
          <cell r="E178">
            <v>220</v>
          </cell>
          <cell r="F178">
            <v>180</v>
          </cell>
          <cell r="G178" t="str">
            <v>&gt; 50</v>
          </cell>
          <cell r="H178">
            <v>265</v>
          </cell>
          <cell r="I178">
            <v>225</v>
          </cell>
          <cell r="J178" t="str">
            <v>&gt; 50</v>
          </cell>
          <cell r="K178">
            <v>265</v>
          </cell>
          <cell r="L178" t="str">
            <v>&gt; 50</v>
          </cell>
          <cell r="M178">
            <v>265</v>
          </cell>
          <cell r="N178">
            <v>120</v>
          </cell>
          <cell r="O178">
            <v>100</v>
          </cell>
          <cell r="P178">
            <v>65</v>
          </cell>
          <cell r="Q178">
            <v>80</v>
          </cell>
          <cell r="R178">
            <v>100</v>
          </cell>
          <cell r="S178">
            <v>40</v>
          </cell>
          <cell r="T178" t="str">
            <v>-</v>
          </cell>
        </row>
        <row r="179">
          <cell r="A179" t="str">
            <v>Karfiol</v>
          </cell>
          <cell r="B179" t="str">
            <v>&lt; 20</v>
          </cell>
          <cell r="C179">
            <v>220</v>
          </cell>
          <cell r="D179" t="str">
            <v>20 - 30</v>
          </cell>
          <cell r="E179">
            <v>260</v>
          </cell>
          <cell r="F179">
            <v>200</v>
          </cell>
          <cell r="G179" t="str">
            <v>&gt; 30</v>
          </cell>
          <cell r="H179">
            <v>310</v>
          </cell>
          <cell r="I179">
            <v>250</v>
          </cell>
          <cell r="J179" t="str">
            <v>&gt; 30</v>
          </cell>
          <cell r="K179">
            <v>310</v>
          </cell>
          <cell r="L179" t="str">
            <v>&gt; 30</v>
          </cell>
          <cell r="M179">
            <v>310</v>
          </cell>
          <cell r="N179">
            <v>55</v>
          </cell>
          <cell r="O179">
            <v>45</v>
          </cell>
          <cell r="P179">
            <v>30</v>
          </cell>
          <cell r="Q179">
            <v>35</v>
          </cell>
          <cell r="R179">
            <v>45</v>
          </cell>
          <cell r="S179">
            <v>20</v>
          </cell>
          <cell r="T179" t="str">
            <v>-</v>
          </cell>
        </row>
        <row r="180">
          <cell r="A180" t="str">
            <v>Karotten (Bund oder Vlies)</v>
          </cell>
          <cell r="B180" t="str">
            <v>&lt; 45</v>
          </cell>
          <cell r="C180">
            <v>128</v>
          </cell>
          <cell r="D180" t="str">
            <v>45 - 55</v>
          </cell>
          <cell r="E180">
            <v>150</v>
          </cell>
          <cell r="F180">
            <v>110</v>
          </cell>
          <cell r="G180" t="str">
            <v>&gt; 55</v>
          </cell>
          <cell r="H180">
            <v>178</v>
          </cell>
          <cell r="I180">
            <v>138</v>
          </cell>
          <cell r="J180" t="str">
            <v>&gt; 55</v>
          </cell>
          <cell r="K180">
            <v>178</v>
          </cell>
          <cell r="L180" t="str">
            <v>&gt; 55</v>
          </cell>
          <cell r="M180">
            <v>178</v>
          </cell>
          <cell r="N180">
            <v>45</v>
          </cell>
          <cell r="O180">
            <v>40</v>
          </cell>
          <cell r="P180">
            <v>25</v>
          </cell>
          <cell r="Q180">
            <v>30</v>
          </cell>
          <cell r="R180">
            <v>40</v>
          </cell>
          <cell r="S180">
            <v>15</v>
          </cell>
          <cell r="T180" t="str">
            <v>-</v>
          </cell>
        </row>
        <row r="181">
          <cell r="A181" t="str">
            <v>Karotten (Industrie)</v>
          </cell>
          <cell r="B181" t="str">
            <v>&lt; 70</v>
          </cell>
          <cell r="C181">
            <v>180</v>
          </cell>
          <cell r="D181" t="str">
            <v>70 - 85</v>
          </cell>
          <cell r="E181">
            <v>210</v>
          </cell>
          <cell r="F181">
            <v>150</v>
          </cell>
          <cell r="G181" t="str">
            <v>&gt; 85</v>
          </cell>
          <cell r="H181">
            <v>255</v>
          </cell>
          <cell r="I181">
            <v>188</v>
          </cell>
          <cell r="J181" t="str">
            <v>&gt; 85</v>
          </cell>
          <cell r="K181">
            <v>255</v>
          </cell>
          <cell r="L181" t="str">
            <v>&gt; 85</v>
          </cell>
          <cell r="M181">
            <v>255</v>
          </cell>
          <cell r="N181">
            <v>75</v>
          </cell>
          <cell r="O181">
            <v>65</v>
          </cell>
          <cell r="P181">
            <v>40</v>
          </cell>
          <cell r="Q181">
            <v>50</v>
          </cell>
          <cell r="R181">
            <v>65</v>
          </cell>
          <cell r="S181">
            <v>25</v>
          </cell>
          <cell r="T181" t="str">
            <v>-</v>
          </cell>
        </row>
        <row r="182">
          <cell r="A182" t="str">
            <v>Karotten (Lager)</v>
          </cell>
          <cell r="B182" t="str">
            <v>&lt; 70</v>
          </cell>
          <cell r="C182">
            <v>180</v>
          </cell>
          <cell r="D182" t="str">
            <v>70 - 85</v>
          </cell>
          <cell r="E182">
            <v>210</v>
          </cell>
          <cell r="F182">
            <v>150</v>
          </cell>
          <cell r="G182" t="str">
            <v>&gt; 85</v>
          </cell>
          <cell r="H182">
            <v>255</v>
          </cell>
          <cell r="I182">
            <v>188</v>
          </cell>
          <cell r="J182" t="str">
            <v>&gt; 85</v>
          </cell>
          <cell r="K182">
            <v>255</v>
          </cell>
          <cell r="L182" t="str">
            <v>&gt; 85</v>
          </cell>
          <cell r="M182">
            <v>255</v>
          </cell>
          <cell r="N182">
            <v>75</v>
          </cell>
          <cell r="O182">
            <v>65</v>
          </cell>
          <cell r="P182">
            <v>40</v>
          </cell>
          <cell r="Q182">
            <v>50</v>
          </cell>
          <cell r="R182">
            <v>65</v>
          </cell>
          <cell r="S182">
            <v>25</v>
          </cell>
          <cell r="T182" t="str">
            <v>-</v>
          </cell>
        </row>
        <row r="183">
          <cell r="A183" t="str">
            <v>Kerbel</v>
          </cell>
          <cell r="B183" t="str">
            <v>-</v>
          </cell>
          <cell r="C183">
            <v>120</v>
          </cell>
          <cell r="D183" t="str">
            <v>-</v>
          </cell>
          <cell r="E183">
            <v>120</v>
          </cell>
          <cell r="F183">
            <v>120</v>
          </cell>
          <cell r="G183" t="str">
            <v>-</v>
          </cell>
          <cell r="H183">
            <v>120</v>
          </cell>
          <cell r="I183">
            <v>150</v>
          </cell>
          <cell r="J183" t="str">
            <v>-</v>
          </cell>
          <cell r="K183">
            <v>120</v>
          </cell>
          <cell r="L183" t="str">
            <v>-</v>
          </cell>
          <cell r="M183">
            <v>120</v>
          </cell>
          <cell r="N183">
            <v>75</v>
          </cell>
          <cell r="O183">
            <v>65</v>
          </cell>
          <cell r="P183">
            <v>50</v>
          </cell>
          <cell r="Q183">
            <v>50</v>
          </cell>
          <cell r="R183">
            <v>50</v>
          </cell>
          <cell r="S183">
            <v>20</v>
          </cell>
          <cell r="T183" t="str">
            <v>-</v>
          </cell>
        </row>
        <row r="184">
          <cell r="A184" t="str">
            <v>Knoblauch (Frühjahr)</v>
          </cell>
          <cell r="B184" t="str">
            <v>&lt; 4</v>
          </cell>
          <cell r="C184">
            <v>80</v>
          </cell>
          <cell r="D184" t="str">
            <v>4 - 5</v>
          </cell>
          <cell r="E184">
            <v>115</v>
          </cell>
          <cell r="F184">
            <v>75</v>
          </cell>
          <cell r="G184" t="str">
            <v>&gt; 5</v>
          </cell>
          <cell r="H184">
            <v>134</v>
          </cell>
          <cell r="I184">
            <v>94</v>
          </cell>
          <cell r="J184" t="str">
            <v>&gt; 5</v>
          </cell>
          <cell r="K184">
            <v>134</v>
          </cell>
          <cell r="L184" t="str">
            <v>&gt; 5</v>
          </cell>
          <cell r="M184">
            <v>134</v>
          </cell>
          <cell r="N184">
            <v>45</v>
          </cell>
          <cell r="O184">
            <v>40</v>
          </cell>
          <cell r="P184">
            <v>25</v>
          </cell>
          <cell r="Q184">
            <v>30</v>
          </cell>
          <cell r="R184">
            <v>40</v>
          </cell>
          <cell r="S184">
            <v>15</v>
          </cell>
          <cell r="T184" t="str">
            <v>-</v>
          </cell>
        </row>
        <row r="185">
          <cell r="A185" t="str">
            <v>Knoblauch (Herbst)</v>
          </cell>
          <cell r="B185" t="str">
            <v>&lt; 5</v>
          </cell>
          <cell r="C185">
            <v>92</v>
          </cell>
          <cell r="D185" t="str">
            <v>5 - 9</v>
          </cell>
          <cell r="E185">
            <v>110</v>
          </cell>
          <cell r="F185">
            <v>90</v>
          </cell>
          <cell r="G185" t="str">
            <v>&gt; 9</v>
          </cell>
          <cell r="H185">
            <v>133</v>
          </cell>
          <cell r="I185">
            <v>113</v>
          </cell>
          <cell r="J185" t="str">
            <v>&gt; 9</v>
          </cell>
          <cell r="K185">
            <v>133</v>
          </cell>
          <cell r="L185" t="str">
            <v>&gt; 9</v>
          </cell>
          <cell r="M185">
            <v>133</v>
          </cell>
          <cell r="N185">
            <v>45</v>
          </cell>
          <cell r="O185">
            <v>40</v>
          </cell>
          <cell r="P185">
            <v>25</v>
          </cell>
          <cell r="Q185">
            <v>30</v>
          </cell>
          <cell r="R185">
            <v>40</v>
          </cell>
          <cell r="S185">
            <v>15</v>
          </cell>
          <cell r="T185" t="str">
            <v>-</v>
          </cell>
        </row>
        <row r="186">
          <cell r="A186" t="str">
            <v>Knollenfenchel</v>
          </cell>
          <cell r="B186" t="str">
            <v>&lt; 25</v>
          </cell>
          <cell r="C186">
            <v>160</v>
          </cell>
          <cell r="D186" t="str">
            <v>25 - 30</v>
          </cell>
          <cell r="E186">
            <v>190</v>
          </cell>
          <cell r="F186">
            <v>150</v>
          </cell>
          <cell r="G186" t="str">
            <v>&gt; 30</v>
          </cell>
          <cell r="H186">
            <v>228</v>
          </cell>
          <cell r="I186">
            <v>188</v>
          </cell>
          <cell r="J186" t="str">
            <v>&gt; 30</v>
          </cell>
          <cell r="K186">
            <v>228</v>
          </cell>
          <cell r="L186" t="str">
            <v>&gt; 30</v>
          </cell>
          <cell r="M186">
            <v>228</v>
          </cell>
          <cell r="N186">
            <v>30</v>
          </cell>
          <cell r="O186">
            <v>25</v>
          </cell>
          <cell r="P186">
            <v>15</v>
          </cell>
          <cell r="Q186">
            <v>20</v>
          </cell>
          <cell r="R186">
            <v>25</v>
          </cell>
          <cell r="S186">
            <v>10</v>
          </cell>
          <cell r="T186" t="str">
            <v>-</v>
          </cell>
        </row>
        <row r="187">
          <cell r="A187" t="str">
            <v>Kochsalat</v>
          </cell>
          <cell r="B187" t="str">
            <v>&lt; 45</v>
          </cell>
          <cell r="C187">
            <v>168</v>
          </cell>
          <cell r="D187" t="str">
            <v>45 - 55</v>
          </cell>
          <cell r="E187">
            <v>200</v>
          </cell>
          <cell r="F187">
            <v>160</v>
          </cell>
          <cell r="G187" t="str">
            <v>&gt; 55</v>
          </cell>
          <cell r="H187">
            <v>240</v>
          </cell>
          <cell r="I187">
            <v>200</v>
          </cell>
          <cell r="J187" t="str">
            <v>&gt; 55</v>
          </cell>
          <cell r="K187">
            <v>240</v>
          </cell>
          <cell r="L187" t="str">
            <v>&gt; 55</v>
          </cell>
          <cell r="M187">
            <v>240</v>
          </cell>
          <cell r="N187">
            <v>90</v>
          </cell>
          <cell r="O187">
            <v>75</v>
          </cell>
          <cell r="P187">
            <v>50</v>
          </cell>
          <cell r="Q187">
            <v>60</v>
          </cell>
          <cell r="R187">
            <v>75</v>
          </cell>
          <cell r="S187">
            <v>30</v>
          </cell>
          <cell r="T187" t="str">
            <v>-</v>
          </cell>
        </row>
        <row r="188">
          <cell r="A188" t="str">
            <v>Kohl (Herbst)</v>
          </cell>
          <cell r="B188" t="str">
            <v>&lt; 40</v>
          </cell>
          <cell r="C188">
            <v>240</v>
          </cell>
          <cell r="D188" t="str">
            <v>40 - 50</v>
          </cell>
          <cell r="E188">
            <v>290</v>
          </cell>
          <cell r="F188">
            <v>250</v>
          </cell>
          <cell r="G188" t="str">
            <v>&gt; 50</v>
          </cell>
          <cell r="H188">
            <v>353</v>
          </cell>
          <cell r="I188">
            <v>313</v>
          </cell>
          <cell r="J188" t="str">
            <v>&gt; 50</v>
          </cell>
          <cell r="K188">
            <v>353</v>
          </cell>
          <cell r="L188" t="str">
            <v>&gt; 50</v>
          </cell>
          <cell r="M188">
            <v>353</v>
          </cell>
          <cell r="N188">
            <v>75</v>
          </cell>
          <cell r="O188">
            <v>65</v>
          </cell>
          <cell r="P188">
            <v>40</v>
          </cell>
          <cell r="Q188">
            <v>50</v>
          </cell>
          <cell r="R188">
            <v>65</v>
          </cell>
          <cell r="S188">
            <v>25</v>
          </cell>
          <cell r="T188" t="str">
            <v>-</v>
          </cell>
        </row>
        <row r="189">
          <cell r="A189" t="str">
            <v>Kohl (Vlies, Sommer)</v>
          </cell>
          <cell r="B189" t="str">
            <v>&lt; 40</v>
          </cell>
          <cell r="C189">
            <v>240</v>
          </cell>
          <cell r="D189" t="str">
            <v>40 - 50</v>
          </cell>
          <cell r="E189">
            <v>290</v>
          </cell>
          <cell r="F189">
            <v>250</v>
          </cell>
          <cell r="G189" t="str">
            <v>&gt; 50</v>
          </cell>
          <cell r="H189">
            <v>353</v>
          </cell>
          <cell r="I189">
            <v>313</v>
          </cell>
          <cell r="J189" t="str">
            <v>&gt; 50</v>
          </cell>
          <cell r="K189">
            <v>353</v>
          </cell>
          <cell r="L189" t="str">
            <v>&gt; 50</v>
          </cell>
          <cell r="M189">
            <v>353</v>
          </cell>
          <cell r="N189">
            <v>60</v>
          </cell>
          <cell r="O189">
            <v>50</v>
          </cell>
          <cell r="P189">
            <v>30</v>
          </cell>
          <cell r="Q189">
            <v>40</v>
          </cell>
          <cell r="R189">
            <v>50</v>
          </cell>
          <cell r="S189">
            <v>20</v>
          </cell>
          <cell r="T189" t="str">
            <v>-</v>
          </cell>
        </row>
        <row r="190">
          <cell r="A190" t="str">
            <v>Kohlrabi</v>
          </cell>
          <cell r="B190" t="str">
            <v>&lt; 25</v>
          </cell>
          <cell r="C190">
            <v>168</v>
          </cell>
          <cell r="D190" t="str">
            <v>25 - 35</v>
          </cell>
          <cell r="E190">
            <v>200</v>
          </cell>
          <cell r="F190">
            <v>160</v>
          </cell>
          <cell r="G190" t="str">
            <v>&gt; 35</v>
          </cell>
          <cell r="H190">
            <v>240</v>
          </cell>
          <cell r="I190">
            <v>200</v>
          </cell>
          <cell r="J190" t="str">
            <v>&gt; 35</v>
          </cell>
          <cell r="K190">
            <v>240</v>
          </cell>
          <cell r="L190" t="str">
            <v>&gt; 35</v>
          </cell>
          <cell r="M190">
            <v>240</v>
          </cell>
          <cell r="N190">
            <v>60</v>
          </cell>
          <cell r="O190">
            <v>50</v>
          </cell>
          <cell r="P190">
            <v>30</v>
          </cell>
          <cell r="Q190">
            <v>40</v>
          </cell>
          <cell r="R190">
            <v>50</v>
          </cell>
          <cell r="S190">
            <v>20</v>
          </cell>
          <cell r="T190" t="str">
            <v>-</v>
          </cell>
        </row>
        <row r="191">
          <cell r="A191" t="str">
            <v>Kohlrabi (geschützt, Herbst)</v>
          </cell>
          <cell r="B191" t="str">
            <v>&lt; 25</v>
          </cell>
          <cell r="C191">
            <v>168</v>
          </cell>
          <cell r="D191" t="str">
            <v>25 - 35</v>
          </cell>
          <cell r="E191">
            <v>200</v>
          </cell>
          <cell r="F191">
            <v>160</v>
          </cell>
          <cell r="G191" t="str">
            <v>&gt; 35</v>
          </cell>
          <cell r="H191">
            <v>240</v>
          </cell>
          <cell r="I191">
            <v>200</v>
          </cell>
          <cell r="J191" t="str">
            <v>&gt; 35</v>
          </cell>
          <cell r="K191">
            <v>240</v>
          </cell>
          <cell r="L191" t="str">
            <v>&gt; 35</v>
          </cell>
          <cell r="M191">
            <v>240</v>
          </cell>
          <cell r="N191">
            <v>60</v>
          </cell>
          <cell r="O191">
            <v>50</v>
          </cell>
          <cell r="P191">
            <v>30</v>
          </cell>
          <cell r="Q191">
            <v>40</v>
          </cell>
          <cell r="R191">
            <v>50</v>
          </cell>
          <cell r="S191">
            <v>20</v>
          </cell>
          <cell r="T191" t="str">
            <v>-</v>
          </cell>
        </row>
        <row r="192">
          <cell r="A192" t="str">
            <v>Kohlrabi (Industrie)</v>
          </cell>
          <cell r="B192" t="str">
            <v>&lt; 50</v>
          </cell>
          <cell r="C192">
            <v>208</v>
          </cell>
          <cell r="D192" t="str">
            <v>50 - 70</v>
          </cell>
          <cell r="E192">
            <v>250</v>
          </cell>
          <cell r="F192">
            <v>210</v>
          </cell>
          <cell r="G192" t="str">
            <v>&gt; 70</v>
          </cell>
          <cell r="H192">
            <v>303</v>
          </cell>
          <cell r="I192">
            <v>263</v>
          </cell>
          <cell r="J192" t="str">
            <v>&gt; 70</v>
          </cell>
          <cell r="K192">
            <v>303</v>
          </cell>
          <cell r="L192" t="str">
            <v>&gt; 70</v>
          </cell>
          <cell r="M192">
            <v>303</v>
          </cell>
          <cell r="N192">
            <v>90</v>
          </cell>
          <cell r="O192">
            <v>75</v>
          </cell>
          <cell r="P192">
            <v>50</v>
          </cell>
          <cell r="Q192">
            <v>60</v>
          </cell>
          <cell r="R192">
            <v>75</v>
          </cell>
          <cell r="S192">
            <v>30</v>
          </cell>
          <cell r="T192" t="str">
            <v>-</v>
          </cell>
        </row>
        <row r="193">
          <cell r="A193" t="str">
            <v>Kohlrabi (Vlies)</v>
          </cell>
          <cell r="B193" t="str">
            <v>&lt; 25</v>
          </cell>
          <cell r="C193">
            <v>180</v>
          </cell>
          <cell r="D193" t="str">
            <v>25 - 35</v>
          </cell>
          <cell r="E193">
            <v>210</v>
          </cell>
          <cell r="F193">
            <v>150</v>
          </cell>
          <cell r="G193" t="str">
            <v>&gt; 35</v>
          </cell>
          <cell r="H193">
            <v>248</v>
          </cell>
          <cell r="I193">
            <v>188</v>
          </cell>
          <cell r="J193" t="str">
            <v>&gt; 35</v>
          </cell>
          <cell r="K193">
            <v>248</v>
          </cell>
          <cell r="L193" t="str">
            <v>&gt; 35</v>
          </cell>
          <cell r="M193">
            <v>248</v>
          </cell>
          <cell r="N193">
            <v>55</v>
          </cell>
          <cell r="O193">
            <v>45</v>
          </cell>
          <cell r="P193">
            <v>30</v>
          </cell>
          <cell r="Q193">
            <v>35</v>
          </cell>
          <cell r="R193">
            <v>45</v>
          </cell>
          <cell r="S193">
            <v>20</v>
          </cell>
          <cell r="T193" t="str">
            <v>-</v>
          </cell>
        </row>
        <row r="194">
          <cell r="A194" t="str">
            <v>Kopfsalat</v>
          </cell>
          <cell r="B194" t="str">
            <v>&lt; 25</v>
          </cell>
          <cell r="C194">
            <v>140</v>
          </cell>
          <cell r="D194" t="str">
            <v>25 - 35</v>
          </cell>
          <cell r="E194">
            <v>160</v>
          </cell>
          <cell r="F194">
            <v>100</v>
          </cell>
          <cell r="G194" t="str">
            <v>&gt; 35</v>
          </cell>
          <cell r="H194">
            <v>185</v>
          </cell>
          <cell r="I194">
            <v>125</v>
          </cell>
          <cell r="J194" t="str">
            <v>&gt; 35</v>
          </cell>
          <cell r="K194">
            <v>185</v>
          </cell>
          <cell r="L194" t="str">
            <v>&gt; 35</v>
          </cell>
          <cell r="M194">
            <v>185</v>
          </cell>
          <cell r="N194">
            <v>45</v>
          </cell>
          <cell r="O194">
            <v>40</v>
          </cell>
          <cell r="P194">
            <v>25</v>
          </cell>
          <cell r="Q194">
            <v>30</v>
          </cell>
          <cell r="R194">
            <v>40</v>
          </cell>
          <cell r="S194">
            <v>15</v>
          </cell>
          <cell r="T194" t="str">
            <v>-</v>
          </cell>
        </row>
        <row r="195">
          <cell r="A195" t="str">
            <v>Kopfsalat (geschützt)</v>
          </cell>
          <cell r="B195" t="str">
            <v>&lt; 25</v>
          </cell>
          <cell r="C195">
            <v>140</v>
          </cell>
          <cell r="D195" t="str">
            <v>25 - 35</v>
          </cell>
          <cell r="E195">
            <v>160</v>
          </cell>
          <cell r="F195">
            <v>100</v>
          </cell>
          <cell r="G195" t="str">
            <v>&gt; 35</v>
          </cell>
          <cell r="H195">
            <v>185</v>
          </cell>
          <cell r="I195">
            <v>125</v>
          </cell>
          <cell r="J195" t="str">
            <v>&gt; 35</v>
          </cell>
          <cell r="K195">
            <v>185</v>
          </cell>
          <cell r="L195" t="str">
            <v>&gt; 35</v>
          </cell>
          <cell r="M195">
            <v>185</v>
          </cell>
          <cell r="N195">
            <v>45</v>
          </cell>
          <cell r="O195">
            <v>40</v>
          </cell>
          <cell r="P195">
            <v>25</v>
          </cell>
          <cell r="Q195">
            <v>30</v>
          </cell>
          <cell r="R195">
            <v>40</v>
          </cell>
          <cell r="S195">
            <v>15</v>
          </cell>
          <cell r="T195" t="str">
            <v>-</v>
          </cell>
        </row>
        <row r="196">
          <cell r="A196" t="str">
            <v>Kopfsalat (Vlies)</v>
          </cell>
          <cell r="B196" t="str">
            <v>&lt; 25</v>
          </cell>
          <cell r="C196">
            <v>140</v>
          </cell>
          <cell r="D196" t="str">
            <v>25 - 35</v>
          </cell>
          <cell r="E196">
            <v>160</v>
          </cell>
          <cell r="F196">
            <v>100</v>
          </cell>
          <cell r="G196" t="str">
            <v>&gt; 35</v>
          </cell>
          <cell r="H196">
            <v>185</v>
          </cell>
          <cell r="I196">
            <v>125</v>
          </cell>
          <cell r="J196" t="str">
            <v>&gt; 35</v>
          </cell>
          <cell r="K196">
            <v>185</v>
          </cell>
          <cell r="L196" t="str">
            <v>&gt; 35</v>
          </cell>
          <cell r="M196">
            <v>185</v>
          </cell>
          <cell r="N196">
            <v>45</v>
          </cell>
          <cell r="O196">
            <v>40</v>
          </cell>
          <cell r="P196">
            <v>25</v>
          </cell>
          <cell r="Q196">
            <v>30</v>
          </cell>
          <cell r="R196">
            <v>40</v>
          </cell>
          <cell r="S196">
            <v>15</v>
          </cell>
          <cell r="T196" t="str">
            <v>-</v>
          </cell>
        </row>
        <row r="197">
          <cell r="A197" t="str">
            <v>Kraut (Früh, Vlies)</v>
          </cell>
          <cell r="B197" t="str">
            <v>&lt; 25</v>
          </cell>
          <cell r="C197">
            <v>220</v>
          </cell>
          <cell r="D197" t="str">
            <v>25 - 35</v>
          </cell>
          <cell r="E197">
            <v>260</v>
          </cell>
          <cell r="F197">
            <v>200</v>
          </cell>
          <cell r="G197" t="str">
            <v>&gt; 35</v>
          </cell>
          <cell r="H197">
            <v>310</v>
          </cell>
          <cell r="I197">
            <v>250</v>
          </cell>
          <cell r="J197" t="str">
            <v>&gt; 35</v>
          </cell>
          <cell r="K197">
            <v>310</v>
          </cell>
          <cell r="L197" t="str">
            <v>&gt; 35</v>
          </cell>
          <cell r="M197">
            <v>310</v>
          </cell>
          <cell r="N197">
            <v>60</v>
          </cell>
          <cell r="O197">
            <v>50</v>
          </cell>
          <cell r="P197">
            <v>30</v>
          </cell>
          <cell r="Q197">
            <v>40</v>
          </cell>
          <cell r="R197">
            <v>50</v>
          </cell>
          <cell r="S197">
            <v>20</v>
          </cell>
          <cell r="T197" t="str">
            <v>-</v>
          </cell>
        </row>
        <row r="198">
          <cell r="A198" t="str">
            <v>Kraut (Herbst)</v>
          </cell>
          <cell r="B198" t="str">
            <v>&lt; 65</v>
          </cell>
          <cell r="C198">
            <v>252</v>
          </cell>
          <cell r="D198" t="str">
            <v>65 - 75</v>
          </cell>
          <cell r="E198">
            <v>305</v>
          </cell>
          <cell r="G198" t="str">
            <v>&gt; 75</v>
          </cell>
          <cell r="H198">
            <v>371</v>
          </cell>
          <cell r="J198" t="str">
            <v>&gt; 75</v>
          </cell>
          <cell r="K198">
            <v>371</v>
          </cell>
          <cell r="L198" t="str">
            <v>&gt; 75</v>
          </cell>
          <cell r="M198">
            <v>371</v>
          </cell>
          <cell r="N198">
            <v>90</v>
          </cell>
          <cell r="O198">
            <v>75</v>
          </cell>
          <cell r="P198">
            <v>50</v>
          </cell>
          <cell r="Q198">
            <v>60</v>
          </cell>
          <cell r="R198">
            <v>75</v>
          </cell>
          <cell r="S198">
            <v>30</v>
          </cell>
          <cell r="T198" t="str">
            <v>-</v>
          </cell>
        </row>
        <row r="199">
          <cell r="A199" t="str">
            <v>Kraut (Industrie, früh)</v>
          </cell>
          <cell r="B199" t="str">
            <v>&lt; 90</v>
          </cell>
          <cell r="C199">
            <v>310</v>
          </cell>
          <cell r="D199" t="str">
            <v>90 - 110</v>
          </cell>
          <cell r="E199">
            <v>380</v>
          </cell>
          <cell r="F199">
            <v>320</v>
          </cell>
          <cell r="G199" t="str">
            <v>&gt; 110</v>
          </cell>
          <cell r="H199">
            <v>465</v>
          </cell>
          <cell r="I199">
            <v>400</v>
          </cell>
          <cell r="J199" t="str">
            <v>&gt; 110</v>
          </cell>
          <cell r="K199">
            <v>465</v>
          </cell>
          <cell r="L199" t="str">
            <v>&gt; 110</v>
          </cell>
          <cell r="M199">
            <v>465</v>
          </cell>
          <cell r="N199">
            <v>105</v>
          </cell>
          <cell r="O199">
            <v>90</v>
          </cell>
          <cell r="P199">
            <v>55</v>
          </cell>
          <cell r="Q199">
            <v>70</v>
          </cell>
          <cell r="R199">
            <v>90</v>
          </cell>
          <cell r="S199">
            <v>35</v>
          </cell>
          <cell r="T199" t="str">
            <v>-</v>
          </cell>
        </row>
        <row r="200">
          <cell r="A200" t="str">
            <v>Kraut (Industrie, spät)</v>
          </cell>
          <cell r="B200" t="str">
            <v>&lt; 90</v>
          </cell>
          <cell r="C200">
            <v>310</v>
          </cell>
          <cell r="D200" t="str">
            <v>90 - 110</v>
          </cell>
          <cell r="E200">
            <v>380</v>
          </cell>
          <cell r="F200">
            <v>320</v>
          </cell>
          <cell r="G200" t="str">
            <v>&gt; 110</v>
          </cell>
          <cell r="H200">
            <v>465</v>
          </cell>
          <cell r="I200">
            <v>400</v>
          </cell>
          <cell r="J200" t="str">
            <v>&gt; 110</v>
          </cell>
          <cell r="K200">
            <v>465</v>
          </cell>
          <cell r="L200" t="str">
            <v>&gt; 110</v>
          </cell>
          <cell r="M200">
            <v>465</v>
          </cell>
          <cell r="N200">
            <v>120</v>
          </cell>
          <cell r="O200">
            <v>100</v>
          </cell>
          <cell r="P200">
            <v>65</v>
          </cell>
          <cell r="Q200">
            <v>80</v>
          </cell>
          <cell r="R200">
            <v>100</v>
          </cell>
          <cell r="S200">
            <v>40</v>
          </cell>
          <cell r="T200" t="str">
            <v>-</v>
          </cell>
        </row>
        <row r="201">
          <cell r="A201" t="str">
            <v>Kraut (Lager)</v>
          </cell>
          <cell r="B201" t="str">
            <v>&lt; 65</v>
          </cell>
          <cell r="C201">
            <v>252</v>
          </cell>
          <cell r="D201" t="str">
            <v>65 - 75</v>
          </cell>
          <cell r="E201">
            <v>305</v>
          </cell>
          <cell r="F201">
            <v>265</v>
          </cell>
          <cell r="G201" t="str">
            <v>&gt; 75</v>
          </cell>
          <cell r="H201">
            <v>371</v>
          </cell>
          <cell r="I201">
            <v>331</v>
          </cell>
          <cell r="J201" t="str">
            <v>&gt; 75</v>
          </cell>
          <cell r="K201">
            <v>371</v>
          </cell>
          <cell r="L201" t="str">
            <v>&gt; 75</v>
          </cell>
          <cell r="M201">
            <v>371</v>
          </cell>
          <cell r="N201">
            <v>105</v>
          </cell>
          <cell r="O201">
            <v>90</v>
          </cell>
          <cell r="P201">
            <v>55</v>
          </cell>
          <cell r="Q201">
            <v>70</v>
          </cell>
          <cell r="R201">
            <v>90</v>
          </cell>
          <cell r="S201">
            <v>35</v>
          </cell>
          <cell r="T201" t="str">
            <v>-</v>
          </cell>
        </row>
        <row r="202">
          <cell r="A202" t="str">
            <v>Kraut (Sommer)</v>
          </cell>
          <cell r="B202" t="str">
            <v>&lt; 65</v>
          </cell>
          <cell r="C202">
            <v>252</v>
          </cell>
          <cell r="D202" t="str">
            <v>65 - 75</v>
          </cell>
          <cell r="E202">
            <v>305</v>
          </cell>
          <cell r="G202" t="str">
            <v>&gt; 75</v>
          </cell>
          <cell r="H202">
            <v>371</v>
          </cell>
          <cell r="J202" t="str">
            <v>&gt; 75</v>
          </cell>
          <cell r="K202">
            <v>371</v>
          </cell>
          <cell r="L202" t="str">
            <v>&gt; 75</v>
          </cell>
          <cell r="M202">
            <v>371</v>
          </cell>
          <cell r="N202">
            <v>75</v>
          </cell>
          <cell r="O202">
            <v>65</v>
          </cell>
          <cell r="P202">
            <v>40</v>
          </cell>
          <cell r="Q202">
            <v>50</v>
          </cell>
          <cell r="R202">
            <v>65</v>
          </cell>
          <cell r="S202">
            <v>25</v>
          </cell>
          <cell r="T202" t="str">
            <v>-</v>
          </cell>
        </row>
        <row r="203">
          <cell r="A203" t="str">
            <v>Kren (Meerettich)</v>
          </cell>
          <cell r="B203" t="str">
            <v>&lt; 8</v>
          </cell>
          <cell r="C203">
            <v>200</v>
          </cell>
          <cell r="D203" t="str">
            <v>8 - 10</v>
          </cell>
          <cell r="E203">
            <v>240</v>
          </cell>
          <cell r="F203">
            <v>200</v>
          </cell>
          <cell r="G203" t="str">
            <v>&gt; 10</v>
          </cell>
          <cell r="H203">
            <v>290</v>
          </cell>
          <cell r="I203">
            <v>250</v>
          </cell>
          <cell r="J203" t="str">
            <v>&gt; 10</v>
          </cell>
          <cell r="K203">
            <v>290</v>
          </cell>
          <cell r="L203" t="str">
            <v>&gt; 10</v>
          </cell>
          <cell r="M203">
            <v>290</v>
          </cell>
          <cell r="N203">
            <v>90</v>
          </cell>
          <cell r="O203">
            <v>75</v>
          </cell>
          <cell r="P203">
            <v>50</v>
          </cell>
          <cell r="Q203">
            <v>60</v>
          </cell>
          <cell r="R203">
            <v>75</v>
          </cell>
          <cell r="S203">
            <v>30</v>
          </cell>
          <cell r="T203" t="str">
            <v>-</v>
          </cell>
        </row>
        <row r="204">
          <cell r="A204" t="str">
            <v>Lollo</v>
          </cell>
          <cell r="B204" t="str">
            <v>&lt; 25</v>
          </cell>
          <cell r="C204">
            <v>140</v>
          </cell>
          <cell r="D204" t="str">
            <v>25 - 35</v>
          </cell>
          <cell r="E204">
            <v>160</v>
          </cell>
          <cell r="F204">
            <v>100</v>
          </cell>
          <cell r="G204" t="str">
            <v>&gt; 35</v>
          </cell>
          <cell r="H204">
            <v>185</v>
          </cell>
          <cell r="I204">
            <v>125</v>
          </cell>
          <cell r="J204" t="str">
            <v>&gt; 35</v>
          </cell>
          <cell r="K204">
            <v>185</v>
          </cell>
          <cell r="L204" t="str">
            <v>&gt; 35</v>
          </cell>
          <cell r="M204">
            <v>185</v>
          </cell>
          <cell r="N204">
            <v>45</v>
          </cell>
          <cell r="O204">
            <v>40</v>
          </cell>
          <cell r="P204">
            <v>25</v>
          </cell>
          <cell r="Q204">
            <v>30</v>
          </cell>
          <cell r="R204">
            <v>40</v>
          </cell>
          <cell r="S204">
            <v>15</v>
          </cell>
          <cell r="T204" t="str">
            <v>-</v>
          </cell>
        </row>
        <row r="205">
          <cell r="A205" t="str">
            <v>Lollo (geschützt)</v>
          </cell>
          <cell r="B205" t="str">
            <v>&lt; 25</v>
          </cell>
          <cell r="C205">
            <v>140</v>
          </cell>
          <cell r="D205" t="str">
            <v>25 - 35</v>
          </cell>
          <cell r="E205">
            <v>160</v>
          </cell>
          <cell r="F205">
            <v>100</v>
          </cell>
          <cell r="G205" t="str">
            <v>&gt; 35</v>
          </cell>
          <cell r="H205">
            <v>185</v>
          </cell>
          <cell r="I205">
            <v>125</v>
          </cell>
          <cell r="J205" t="str">
            <v>&gt; 35</v>
          </cell>
          <cell r="K205">
            <v>185</v>
          </cell>
          <cell r="L205" t="str">
            <v>&gt; 35</v>
          </cell>
          <cell r="M205">
            <v>185</v>
          </cell>
          <cell r="N205">
            <v>45</v>
          </cell>
          <cell r="O205">
            <v>40</v>
          </cell>
          <cell r="P205">
            <v>25</v>
          </cell>
          <cell r="Q205">
            <v>30</v>
          </cell>
          <cell r="R205">
            <v>40</v>
          </cell>
          <cell r="S205">
            <v>15</v>
          </cell>
          <cell r="T205" t="str">
            <v>-</v>
          </cell>
        </row>
        <row r="206">
          <cell r="A206" t="str">
            <v>Lollo (Vlies)</v>
          </cell>
          <cell r="B206" t="str">
            <v>&lt; 25</v>
          </cell>
          <cell r="C206">
            <v>140</v>
          </cell>
          <cell r="D206" t="str">
            <v>25 - 35</v>
          </cell>
          <cell r="E206">
            <v>160</v>
          </cell>
          <cell r="F206">
            <v>100</v>
          </cell>
          <cell r="G206" t="str">
            <v>&gt; 35</v>
          </cell>
          <cell r="H206">
            <v>185</v>
          </cell>
          <cell r="I206">
            <v>125</v>
          </cell>
          <cell r="J206" t="str">
            <v>&gt; 35</v>
          </cell>
          <cell r="K206">
            <v>185</v>
          </cell>
          <cell r="L206" t="str">
            <v>&gt; 35</v>
          </cell>
          <cell r="M206">
            <v>185</v>
          </cell>
          <cell r="N206">
            <v>45</v>
          </cell>
          <cell r="O206">
            <v>40</v>
          </cell>
          <cell r="P206">
            <v>25</v>
          </cell>
          <cell r="Q206">
            <v>30</v>
          </cell>
          <cell r="R206">
            <v>40</v>
          </cell>
          <cell r="S206">
            <v>15</v>
          </cell>
          <cell r="T206" t="str">
            <v>-</v>
          </cell>
        </row>
        <row r="207">
          <cell r="A207" t="str">
            <v>Mangold</v>
          </cell>
          <cell r="B207" t="str">
            <v>&lt; 15</v>
          </cell>
          <cell r="C207">
            <v>152</v>
          </cell>
          <cell r="D207" t="str">
            <v>15 - 20</v>
          </cell>
          <cell r="E207">
            <v>180</v>
          </cell>
          <cell r="F207">
            <v>140</v>
          </cell>
          <cell r="G207" t="str">
            <v>&gt; 20</v>
          </cell>
          <cell r="H207">
            <v>215</v>
          </cell>
          <cell r="I207">
            <v>175</v>
          </cell>
          <cell r="J207" t="str">
            <v>&gt; 20</v>
          </cell>
          <cell r="K207">
            <v>215</v>
          </cell>
          <cell r="L207" t="str">
            <v>&gt; 20</v>
          </cell>
          <cell r="M207">
            <v>215</v>
          </cell>
          <cell r="N207">
            <v>60</v>
          </cell>
          <cell r="O207">
            <v>50</v>
          </cell>
          <cell r="P207">
            <v>30</v>
          </cell>
          <cell r="Q207">
            <v>40</v>
          </cell>
          <cell r="R207">
            <v>50</v>
          </cell>
          <cell r="S207">
            <v>20</v>
          </cell>
          <cell r="T207" t="str">
            <v>-</v>
          </cell>
        </row>
        <row r="208">
          <cell r="A208" t="str">
            <v>Melanzani, Aubergine (Freiland)</v>
          </cell>
          <cell r="B208" t="str">
            <v>-</v>
          </cell>
          <cell r="C208">
            <v>240</v>
          </cell>
          <cell r="D208" t="str">
            <v>-</v>
          </cell>
          <cell r="E208">
            <v>300</v>
          </cell>
          <cell r="F208">
            <v>300</v>
          </cell>
          <cell r="G208" t="str">
            <v>-</v>
          </cell>
          <cell r="H208">
            <v>375</v>
          </cell>
          <cell r="I208">
            <v>375</v>
          </cell>
          <cell r="J208" t="str">
            <v>-</v>
          </cell>
          <cell r="K208">
            <v>375</v>
          </cell>
          <cell r="L208" t="str">
            <v>-</v>
          </cell>
          <cell r="M208">
            <v>375</v>
          </cell>
          <cell r="N208">
            <v>45</v>
          </cell>
          <cell r="O208">
            <v>40</v>
          </cell>
          <cell r="P208">
            <v>25</v>
          </cell>
          <cell r="Q208">
            <v>30</v>
          </cell>
          <cell r="R208">
            <v>40</v>
          </cell>
          <cell r="S208">
            <v>15</v>
          </cell>
          <cell r="T208" t="str">
            <v>-</v>
          </cell>
        </row>
        <row r="209">
          <cell r="A209" t="str">
            <v>Melanzani, Aubergine (geschützt)</v>
          </cell>
          <cell r="B209" t="str">
            <v>-</v>
          </cell>
          <cell r="C209">
            <v>240</v>
          </cell>
          <cell r="D209" t="str">
            <v>-</v>
          </cell>
          <cell r="E209">
            <v>300</v>
          </cell>
          <cell r="F209">
            <v>300</v>
          </cell>
          <cell r="G209" t="str">
            <v>-</v>
          </cell>
          <cell r="H209">
            <v>375</v>
          </cell>
          <cell r="I209">
            <v>375</v>
          </cell>
          <cell r="J209" t="str">
            <v>-</v>
          </cell>
          <cell r="K209">
            <v>375</v>
          </cell>
          <cell r="L209" t="str">
            <v>-</v>
          </cell>
          <cell r="M209">
            <v>375</v>
          </cell>
          <cell r="N209">
            <v>75</v>
          </cell>
          <cell r="O209">
            <v>65</v>
          </cell>
          <cell r="P209">
            <v>40</v>
          </cell>
          <cell r="Q209">
            <v>50</v>
          </cell>
          <cell r="R209">
            <v>65</v>
          </cell>
          <cell r="S209">
            <v>25</v>
          </cell>
          <cell r="T209" t="str">
            <v>-</v>
          </cell>
        </row>
        <row r="210">
          <cell r="A210" t="str">
            <v>Melone</v>
          </cell>
          <cell r="B210" t="str">
            <v>&lt; 15</v>
          </cell>
          <cell r="C210">
            <v>156</v>
          </cell>
          <cell r="D210" t="str">
            <v>15 - 25</v>
          </cell>
          <cell r="E210">
            <v>185</v>
          </cell>
          <cell r="F210">
            <v>145</v>
          </cell>
          <cell r="G210" t="str">
            <v>&gt; 25</v>
          </cell>
          <cell r="H210">
            <v>221</v>
          </cell>
          <cell r="I210">
            <v>181</v>
          </cell>
          <cell r="J210" t="str">
            <v>&gt; 25</v>
          </cell>
          <cell r="K210">
            <v>221</v>
          </cell>
          <cell r="L210" t="str">
            <v>&gt; 25</v>
          </cell>
          <cell r="M210">
            <v>221</v>
          </cell>
          <cell r="N210">
            <v>75</v>
          </cell>
          <cell r="O210">
            <v>65</v>
          </cell>
          <cell r="P210">
            <v>40</v>
          </cell>
          <cell r="Q210">
            <v>50</v>
          </cell>
          <cell r="R210">
            <v>65</v>
          </cell>
          <cell r="S210">
            <v>25</v>
          </cell>
          <cell r="T210" t="str">
            <v>-</v>
          </cell>
        </row>
        <row r="211">
          <cell r="A211" t="str">
            <v>Ölkürbis</v>
          </cell>
          <cell r="B211" t="str">
            <v>&lt; 0,4</v>
          </cell>
          <cell r="C211">
            <v>105</v>
          </cell>
          <cell r="D211" t="str">
            <v>0,4 - 0,7</v>
          </cell>
          <cell r="E211">
            <v>120</v>
          </cell>
          <cell r="F211">
            <v>80</v>
          </cell>
          <cell r="G211" t="str">
            <v>&gt; 0,7</v>
          </cell>
          <cell r="H211">
            <v>140</v>
          </cell>
          <cell r="I211">
            <v>100</v>
          </cell>
          <cell r="J211" t="str">
            <v>&gt; 0,7</v>
          </cell>
          <cell r="K211">
            <v>140</v>
          </cell>
          <cell r="L211" t="str">
            <v>&gt; 0,7</v>
          </cell>
          <cell r="M211">
            <v>140</v>
          </cell>
          <cell r="N211">
            <v>75</v>
          </cell>
          <cell r="O211">
            <v>65</v>
          </cell>
          <cell r="P211">
            <v>40</v>
          </cell>
          <cell r="Q211">
            <v>50</v>
          </cell>
          <cell r="R211">
            <v>65</v>
          </cell>
          <cell r="S211">
            <v>25</v>
          </cell>
          <cell r="T211" t="str">
            <v>-</v>
          </cell>
        </row>
        <row r="212">
          <cell r="A212" t="str">
            <v>Paprika</v>
          </cell>
          <cell r="B212" t="str">
            <v>&lt; 40</v>
          </cell>
          <cell r="C212">
            <v>240</v>
          </cell>
          <cell r="D212" t="str">
            <v>40 - 60</v>
          </cell>
          <cell r="E212">
            <v>290</v>
          </cell>
          <cell r="F212">
            <v>250</v>
          </cell>
          <cell r="G212" t="str">
            <v>&gt; 60</v>
          </cell>
          <cell r="H212">
            <v>353</v>
          </cell>
          <cell r="I212">
            <v>313</v>
          </cell>
          <cell r="J212" t="str">
            <v>&gt; 60</v>
          </cell>
          <cell r="K212">
            <v>353</v>
          </cell>
          <cell r="L212" t="str">
            <v>&gt; 60</v>
          </cell>
          <cell r="M212">
            <v>353</v>
          </cell>
          <cell r="N212">
            <v>75</v>
          </cell>
          <cell r="O212">
            <v>65</v>
          </cell>
          <cell r="P212">
            <v>40</v>
          </cell>
          <cell r="Q212">
            <v>50</v>
          </cell>
          <cell r="R212">
            <v>65</v>
          </cell>
          <cell r="S212">
            <v>25</v>
          </cell>
          <cell r="T212" t="str">
            <v>-</v>
          </cell>
        </row>
        <row r="213">
          <cell r="A213" t="str">
            <v>Pastinak</v>
          </cell>
          <cell r="B213" t="str">
            <v>&lt; 40</v>
          </cell>
          <cell r="C213">
            <v>144</v>
          </cell>
          <cell r="D213" t="str">
            <v>40 - 50</v>
          </cell>
          <cell r="E213">
            <v>170</v>
          </cell>
          <cell r="F213">
            <v>130</v>
          </cell>
          <cell r="G213" t="str">
            <v>&gt; 50</v>
          </cell>
          <cell r="H213">
            <v>203</v>
          </cell>
          <cell r="I213">
            <v>163</v>
          </cell>
          <cell r="J213" t="str">
            <v>&gt; 50</v>
          </cell>
          <cell r="K213">
            <v>203</v>
          </cell>
          <cell r="L213" t="str">
            <v>&gt; 50</v>
          </cell>
          <cell r="M213">
            <v>203</v>
          </cell>
          <cell r="N213">
            <v>45</v>
          </cell>
          <cell r="O213">
            <v>40</v>
          </cell>
          <cell r="P213">
            <v>25</v>
          </cell>
          <cell r="Q213">
            <v>30</v>
          </cell>
          <cell r="R213">
            <v>40</v>
          </cell>
          <cell r="S213">
            <v>15</v>
          </cell>
          <cell r="T213" t="str">
            <v>-</v>
          </cell>
        </row>
        <row r="214">
          <cell r="A214" t="str">
            <v>Petersilie</v>
          </cell>
          <cell r="B214" t="str">
            <v>&lt; 25</v>
          </cell>
          <cell r="C214">
            <v>144</v>
          </cell>
          <cell r="D214" t="str">
            <v>25 - 35</v>
          </cell>
          <cell r="E214">
            <v>170</v>
          </cell>
          <cell r="F214">
            <v>130</v>
          </cell>
          <cell r="G214" t="str">
            <v>&gt; 35</v>
          </cell>
          <cell r="H214">
            <v>203</v>
          </cell>
          <cell r="I214">
            <v>163</v>
          </cell>
          <cell r="J214" t="str">
            <v>&gt; 35</v>
          </cell>
          <cell r="K214">
            <v>203</v>
          </cell>
          <cell r="L214" t="str">
            <v>&gt; 35</v>
          </cell>
          <cell r="M214">
            <v>203</v>
          </cell>
          <cell r="N214">
            <v>45</v>
          </cell>
          <cell r="O214">
            <v>40</v>
          </cell>
          <cell r="P214">
            <v>25</v>
          </cell>
          <cell r="Q214">
            <v>30</v>
          </cell>
          <cell r="R214">
            <v>40</v>
          </cell>
          <cell r="S214">
            <v>15</v>
          </cell>
          <cell r="T214" t="str">
            <v>-</v>
          </cell>
        </row>
        <row r="215">
          <cell r="A215" t="str">
            <v>Porree (früh, Folie)</v>
          </cell>
          <cell r="B215" t="str">
            <v>&lt; 30</v>
          </cell>
          <cell r="C215">
            <v>212</v>
          </cell>
          <cell r="D215" t="str">
            <v>30 - 45</v>
          </cell>
          <cell r="E215">
            <v>250</v>
          </cell>
          <cell r="F215">
            <v>190</v>
          </cell>
          <cell r="G215" t="str">
            <v>&gt; 45</v>
          </cell>
          <cell r="H215">
            <v>298</v>
          </cell>
          <cell r="I215">
            <v>238</v>
          </cell>
          <cell r="J215" t="str">
            <v>&gt; 45</v>
          </cell>
          <cell r="K215">
            <v>298</v>
          </cell>
          <cell r="L215" t="str">
            <v>&gt; 45</v>
          </cell>
          <cell r="M215">
            <v>298</v>
          </cell>
          <cell r="N215">
            <v>45</v>
          </cell>
          <cell r="O215">
            <v>40</v>
          </cell>
          <cell r="P215">
            <v>25</v>
          </cell>
          <cell r="Q215">
            <v>30</v>
          </cell>
          <cell r="R215">
            <v>40</v>
          </cell>
          <cell r="S215">
            <v>15</v>
          </cell>
          <cell r="T215" t="str">
            <v>-</v>
          </cell>
        </row>
        <row r="216">
          <cell r="A216" t="str">
            <v>Porree (Herbst, Winter)</v>
          </cell>
          <cell r="B216" t="str">
            <v>&lt; 30</v>
          </cell>
          <cell r="C216">
            <v>212</v>
          </cell>
          <cell r="D216" t="str">
            <v>30 - 45</v>
          </cell>
          <cell r="E216">
            <v>250</v>
          </cell>
          <cell r="F216">
            <v>190</v>
          </cell>
          <cell r="G216" t="str">
            <v>&gt; 45</v>
          </cell>
          <cell r="H216">
            <v>298</v>
          </cell>
          <cell r="I216">
            <v>238</v>
          </cell>
          <cell r="J216" t="str">
            <v>&gt; 45</v>
          </cell>
          <cell r="K216">
            <v>298</v>
          </cell>
          <cell r="L216" t="str">
            <v>&gt; 45</v>
          </cell>
          <cell r="M216">
            <v>298</v>
          </cell>
          <cell r="N216">
            <v>75</v>
          </cell>
          <cell r="O216">
            <v>65</v>
          </cell>
          <cell r="P216">
            <v>40</v>
          </cell>
          <cell r="Q216">
            <v>50</v>
          </cell>
          <cell r="R216">
            <v>65</v>
          </cell>
          <cell r="S216">
            <v>25</v>
          </cell>
          <cell r="T216" t="str">
            <v>-</v>
          </cell>
        </row>
        <row r="217">
          <cell r="A217" t="str">
            <v>Porree (Hybrid)</v>
          </cell>
          <cell r="B217" t="str">
            <v>&lt; 30</v>
          </cell>
          <cell r="C217">
            <v>212</v>
          </cell>
          <cell r="D217" t="str">
            <v>30 - 45</v>
          </cell>
          <cell r="E217">
            <v>250</v>
          </cell>
          <cell r="F217">
            <v>190</v>
          </cell>
          <cell r="G217" t="str">
            <v>&gt; 45</v>
          </cell>
          <cell r="H217">
            <v>298</v>
          </cell>
          <cell r="I217">
            <v>238</v>
          </cell>
          <cell r="J217" t="str">
            <v>&gt; 45</v>
          </cell>
          <cell r="K217">
            <v>298</v>
          </cell>
          <cell r="L217" t="str">
            <v>&gt; 45</v>
          </cell>
          <cell r="M217">
            <v>298</v>
          </cell>
          <cell r="N217">
            <v>60</v>
          </cell>
          <cell r="O217">
            <v>50</v>
          </cell>
          <cell r="P217">
            <v>30</v>
          </cell>
          <cell r="Q217">
            <v>40</v>
          </cell>
          <cell r="R217">
            <v>50</v>
          </cell>
          <cell r="S217">
            <v>20</v>
          </cell>
          <cell r="T217" t="str">
            <v>-</v>
          </cell>
        </row>
        <row r="218">
          <cell r="A218" t="str">
            <v>Radicchio</v>
          </cell>
          <cell r="B218" t="str">
            <v>&lt; 25</v>
          </cell>
          <cell r="C218">
            <v>120</v>
          </cell>
          <cell r="D218" t="str">
            <v>25 - 35</v>
          </cell>
          <cell r="E218">
            <v>140</v>
          </cell>
          <cell r="F218">
            <v>100</v>
          </cell>
          <cell r="G218" t="str">
            <v>&gt; 35</v>
          </cell>
          <cell r="H218">
            <v>165</v>
          </cell>
          <cell r="I218">
            <v>125</v>
          </cell>
          <cell r="J218" t="str">
            <v>&gt; 35</v>
          </cell>
          <cell r="K218">
            <v>165</v>
          </cell>
          <cell r="L218" t="str">
            <v>&gt; 35</v>
          </cell>
          <cell r="M218">
            <v>165</v>
          </cell>
          <cell r="N218">
            <v>45</v>
          </cell>
          <cell r="O218">
            <v>40</v>
          </cell>
          <cell r="P218">
            <v>25</v>
          </cell>
          <cell r="Q218">
            <v>30</v>
          </cell>
          <cell r="R218">
            <v>40</v>
          </cell>
          <cell r="S218">
            <v>15</v>
          </cell>
          <cell r="T218" t="str">
            <v>-</v>
          </cell>
        </row>
        <row r="219">
          <cell r="A219" t="str">
            <v>Radieschen (Frühjahr)</v>
          </cell>
          <cell r="B219" t="str">
            <v>&lt; 15</v>
          </cell>
          <cell r="C219">
            <v>105</v>
          </cell>
          <cell r="D219" t="str">
            <v>15 - 20</v>
          </cell>
          <cell r="E219">
            <v>120</v>
          </cell>
          <cell r="F219">
            <v>80</v>
          </cell>
          <cell r="G219" t="str">
            <v>&gt; 20</v>
          </cell>
          <cell r="H219">
            <v>140</v>
          </cell>
          <cell r="I219">
            <v>100</v>
          </cell>
          <cell r="J219" t="str">
            <v>&gt; 20</v>
          </cell>
          <cell r="K219">
            <v>140</v>
          </cell>
          <cell r="L219" t="str">
            <v>&gt; 20</v>
          </cell>
          <cell r="M219">
            <v>140</v>
          </cell>
          <cell r="N219">
            <v>30</v>
          </cell>
          <cell r="O219">
            <v>25</v>
          </cell>
          <cell r="P219">
            <v>15</v>
          </cell>
          <cell r="Q219">
            <v>20</v>
          </cell>
          <cell r="R219">
            <v>25</v>
          </cell>
          <cell r="S219">
            <v>10</v>
          </cell>
          <cell r="T219" t="str">
            <v>-</v>
          </cell>
        </row>
        <row r="220">
          <cell r="A220" t="str">
            <v>Radieschen (Frühjahr/Herbst)</v>
          </cell>
          <cell r="B220" t="str">
            <v>&lt; 15</v>
          </cell>
          <cell r="C220">
            <v>105</v>
          </cell>
          <cell r="D220" t="str">
            <v>15 - 20</v>
          </cell>
          <cell r="E220">
            <v>120</v>
          </cell>
          <cell r="F220">
            <v>80</v>
          </cell>
          <cell r="G220" t="str">
            <v>&gt; 20</v>
          </cell>
          <cell r="H220">
            <v>140</v>
          </cell>
          <cell r="I220">
            <v>100</v>
          </cell>
          <cell r="J220" t="str">
            <v>&gt; 20</v>
          </cell>
          <cell r="K220">
            <v>140</v>
          </cell>
          <cell r="L220" t="str">
            <v>&gt; 20</v>
          </cell>
          <cell r="M220">
            <v>140</v>
          </cell>
          <cell r="N220">
            <v>30</v>
          </cell>
          <cell r="O220">
            <v>25</v>
          </cell>
          <cell r="P220">
            <v>15</v>
          </cell>
          <cell r="Q220">
            <v>20</v>
          </cell>
          <cell r="R220">
            <v>25</v>
          </cell>
          <cell r="S220">
            <v>10</v>
          </cell>
          <cell r="T220" t="str">
            <v>-</v>
          </cell>
        </row>
        <row r="221">
          <cell r="A221" t="str">
            <v>Radieschen (Sommer)</v>
          </cell>
          <cell r="B221" t="str">
            <v>&lt; 15</v>
          </cell>
          <cell r="C221">
            <v>105</v>
          </cell>
          <cell r="D221" t="str">
            <v>15 - 20</v>
          </cell>
          <cell r="E221">
            <v>120</v>
          </cell>
          <cell r="F221">
            <v>80</v>
          </cell>
          <cell r="G221" t="str">
            <v>&gt; 20</v>
          </cell>
          <cell r="H221">
            <v>140</v>
          </cell>
          <cell r="I221">
            <v>100</v>
          </cell>
          <cell r="J221" t="str">
            <v>&gt; 20</v>
          </cell>
          <cell r="K221">
            <v>140</v>
          </cell>
          <cell r="L221" t="str">
            <v>&gt; 20</v>
          </cell>
          <cell r="M221">
            <v>140</v>
          </cell>
          <cell r="N221">
            <v>30</v>
          </cell>
          <cell r="O221">
            <v>25</v>
          </cell>
          <cell r="P221">
            <v>15</v>
          </cell>
          <cell r="Q221">
            <v>20</v>
          </cell>
          <cell r="R221">
            <v>25</v>
          </cell>
          <cell r="S221">
            <v>10</v>
          </cell>
          <cell r="T221" t="str">
            <v>-</v>
          </cell>
        </row>
        <row r="222">
          <cell r="A222" t="str">
            <v>Rettich schwarz</v>
          </cell>
          <cell r="B222" t="str">
            <v>&lt; 25</v>
          </cell>
          <cell r="C222">
            <v>136</v>
          </cell>
          <cell r="D222" t="str">
            <v>25 - 35</v>
          </cell>
          <cell r="E222">
            <v>160</v>
          </cell>
          <cell r="F222">
            <v>120</v>
          </cell>
          <cell r="G222" t="str">
            <v>&gt; 35</v>
          </cell>
          <cell r="H222">
            <v>190</v>
          </cell>
          <cell r="I222">
            <v>150</v>
          </cell>
          <cell r="J222" t="str">
            <v>&gt; 35</v>
          </cell>
          <cell r="K222">
            <v>190</v>
          </cell>
          <cell r="L222" t="str">
            <v>&gt; 35</v>
          </cell>
          <cell r="M222">
            <v>190</v>
          </cell>
          <cell r="N222">
            <v>60</v>
          </cell>
          <cell r="O222">
            <v>50</v>
          </cell>
          <cell r="P222">
            <v>30</v>
          </cell>
          <cell r="Q222">
            <v>40</v>
          </cell>
          <cell r="R222">
            <v>50</v>
          </cell>
          <cell r="S222">
            <v>20</v>
          </cell>
          <cell r="T222" t="str">
            <v>-</v>
          </cell>
        </row>
        <row r="223">
          <cell r="A223" t="str">
            <v>Rettich schwarz (ungeheizt, Frühjahr)</v>
          </cell>
          <cell r="B223" t="str">
            <v>&lt; 25</v>
          </cell>
          <cell r="C223">
            <v>136</v>
          </cell>
          <cell r="D223" t="str">
            <v>25 - 35</v>
          </cell>
          <cell r="E223">
            <v>160</v>
          </cell>
          <cell r="F223">
            <v>120</v>
          </cell>
          <cell r="G223" t="str">
            <v>&gt; 35</v>
          </cell>
          <cell r="H223">
            <v>190</v>
          </cell>
          <cell r="I223">
            <v>150</v>
          </cell>
          <cell r="J223" t="str">
            <v>&gt; 35</v>
          </cell>
          <cell r="K223">
            <v>190</v>
          </cell>
          <cell r="L223" t="str">
            <v>&gt; 35</v>
          </cell>
          <cell r="M223">
            <v>190</v>
          </cell>
          <cell r="N223">
            <v>60</v>
          </cell>
          <cell r="O223">
            <v>50</v>
          </cell>
          <cell r="P223">
            <v>30</v>
          </cell>
          <cell r="Q223">
            <v>40</v>
          </cell>
          <cell r="R223">
            <v>50</v>
          </cell>
          <cell r="S223">
            <v>20</v>
          </cell>
          <cell r="T223" t="str">
            <v>-</v>
          </cell>
        </row>
        <row r="224">
          <cell r="A224" t="str">
            <v>Rettich weiß (Bierrettich)</v>
          </cell>
          <cell r="B224" t="str">
            <v>&lt; 45</v>
          </cell>
          <cell r="C224">
            <v>152</v>
          </cell>
          <cell r="D224" t="str">
            <v>45 - 55</v>
          </cell>
          <cell r="E224">
            <v>180</v>
          </cell>
          <cell r="F224">
            <v>140</v>
          </cell>
          <cell r="G224" t="str">
            <v>&gt; 55</v>
          </cell>
          <cell r="H224">
            <v>215</v>
          </cell>
          <cell r="I224">
            <v>175</v>
          </cell>
          <cell r="J224" t="str">
            <v>&gt; 55</v>
          </cell>
          <cell r="K224">
            <v>215</v>
          </cell>
          <cell r="L224" t="str">
            <v>&gt; 55</v>
          </cell>
          <cell r="M224">
            <v>215</v>
          </cell>
          <cell r="N224">
            <v>60</v>
          </cell>
          <cell r="O224">
            <v>50</v>
          </cell>
          <cell r="P224">
            <v>30</v>
          </cell>
          <cell r="Q224">
            <v>40</v>
          </cell>
          <cell r="R224">
            <v>50</v>
          </cell>
          <cell r="S224">
            <v>20</v>
          </cell>
          <cell r="T224" t="str">
            <v>-</v>
          </cell>
        </row>
        <row r="225">
          <cell r="A225" t="str">
            <v>Rettich weiß (ungeheizt, Frühjahr)</v>
          </cell>
          <cell r="B225" t="str">
            <v>&lt; 45</v>
          </cell>
          <cell r="C225">
            <v>152</v>
          </cell>
          <cell r="D225" t="str">
            <v>45 - 55</v>
          </cell>
          <cell r="E225">
            <v>180</v>
          </cell>
          <cell r="F225">
            <v>140</v>
          </cell>
          <cell r="G225" t="str">
            <v>&gt; 55</v>
          </cell>
          <cell r="H225">
            <v>215</v>
          </cell>
          <cell r="I225">
            <v>175</v>
          </cell>
          <cell r="J225" t="str">
            <v>&gt; 55</v>
          </cell>
          <cell r="K225">
            <v>215</v>
          </cell>
          <cell r="L225" t="str">
            <v>&gt; 55</v>
          </cell>
          <cell r="M225">
            <v>215</v>
          </cell>
          <cell r="N225">
            <v>60</v>
          </cell>
          <cell r="O225">
            <v>50</v>
          </cell>
          <cell r="P225">
            <v>30</v>
          </cell>
          <cell r="Q225">
            <v>40</v>
          </cell>
          <cell r="R225">
            <v>50</v>
          </cell>
          <cell r="S225">
            <v>20</v>
          </cell>
          <cell r="T225" t="str">
            <v>-</v>
          </cell>
        </row>
        <row r="226">
          <cell r="A226" t="str">
            <v>Rhabarber</v>
          </cell>
          <cell r="B226" t="str">
            <v>&lt; 20</v>
          </cell>
          <cell r="C226">
            <v>130</v>
          </cell>
          <cell r="D226" t="str">
            <v>20 - 30</v>
          </cell>
          <cell r="E226">
            <v>155</v>
          </cell>
          <cell r="F226">
            <v>125</v>
          </cell>
          <cell r="G226" t="str">
            <v>&gt; 30</v>
          </cell>
          <cell r="H226">
            <v>186</v>
          </cell>
          <cell r="I226">
            <v>156</v>
          </cell>
          <cell r="J226" t="str">
            <v>&gt; 30</v>
          </cell>
          <cell r="K226">
            <v>186</v>
          </cell>
          <cell r="L226" t="str">
            <v>&gt; 30</v>
          </cell>
          <cell r="M226">
            <v>186</v>
          </cell>
          <cell r="N226">
            <v>90</v>
          </cell>
          <cell r="O226">
            <v>75</v>
          </cell>
          <cell r="P226">
            <v>50</v>
          </cell>
          <cell r="Q226">
            <v>60</v>
          </cell>
          <cell r="R226">
            <v>75</v>
          </cell>
          <cell r="S226">
            <v>30</v>
          </cell>
          <cell r="T226" t="str">
            <v>-</v>
          </cell>
        </row>
        <row r="227">
          <cell r="A227" t="str">
            <v>Rote Rüben (Frischmarkt)</v>
          </cell>
          <cell r="B227" t="str">
            <v>&lt; 45</v>
          </cell>
          <cell r="C227">
            <v>170</v>
          </cell>
          <cell r="D227" t="str">
            <v>45 - 80</v>
          </cell>
          <cell r="E227">
            <v>200</v>
          </cell>
          <cell r="F227">
            <v>150</v>
          </cell>
          <cell r="G227" t="str">
            <v>&gt; 80</v>
          </cell>
          <cell r="H227">
            <v>238</v>
          </cell>
          <cell r="I227">
            <v>188</v>
          </cell>
          <cell r="J227" t="str">
            <v>&gt; 80</v>
          </cell>
          <cell r="K227">
            <v>238</v>
          </cell>
          <cell r="L227" t="str">
            <v>&gt; 80</v>
          </cell>
          <cell r="M227">
            <v>238</v>
          </cell>
          <cell r="N227">
            <v>75</v>
          </cell>
          <cell r="O227">
            <v>65</v>
          </cell>
          <cell r="P227">
            <v>40</v>
          </cell>
          <cell r="Q227">
            <v>50</v>
          </cell>
          <cell r="R227">
            <v>65</v>
          </cell>
          <cell r="S227">
            <v>25</v>
          </cell>
          <cell r="T227" t="str">
            <v>-</v>
          </cell>
        </row>
        <row r="228">
          <cell r="A228" t="str">
            <v>Rote Rüben (Industrie)</v>
          </cell>
          <cell r="B228" t="str">
            <v>&lt; 45</v>
          </cell>
          <cell r="C228">
            <v>170</v>
          </cell>
          <cell r="D228" t="str">
            <v>45 - 80</v>
          </cell>
          <cell r="E228">
            <v>200</v>
          </cell>
          <cell r="F228">
            <v>150</v>
          </cell>
          <cell r="G228" t="str">
            <v>&gt; 80</v>
          </cell>
          <cell r="H228">
            <v>238</v>
          </cell>
          <cell r="I228">
            <v>188</v>
          </cell>
          <cell r="J228" t="str">
            <v>&gt; 80</v>
          </cell>
          <cell r="K228">
            <v>238</v>
          </cell>
          <cell r="L228" t="str">
            <v>&gt; 80</v>
          </cell>
          <cell r="M228">
            <v>238</v>
          </cell>
          <cell r="N228">
            <v>75</v>
          </cell>
          <cell r="O228">
            <v>65</v>
          </cell>
          <cell r="P228">
            <v>40</v>
          </cell>
          <cell r="Q228">
            <v>50</v>
          </cell>
          <cell r="R228">
            <v>65</v>
          </cell>
          <cell r="S228">
            <v>25</v>
          </cell>
          <cell r="T228" t="str">
            <v>-</v>
          </cell>
        </row>
        <row r="229">
          <cell r="A229" t="str">
            <v>Rucola</v>
          </cell>
          <cell r="B229" t="str">
            <v>&lt; 25</v>
          </cell>
          <cell r="C229">
            <v>140</v>
          </cell>
          <cell r="D229" t="str">
            <v>25 - 35</v>
          </cell>
          <cell r="E229">
            <v>160</v>
          </cell>
          <cell r="F229">
            <v>100</v>
          </cell>
          <cell r="G229" t="str">
            <v>&gt; 35</v>
          </cell>
          <cell r="H229">
            <v>185</v>
          </cell>
          <cell r="I229">
            <v>125</v>
          </cell>
          <cell r="J229" t="str">
            <v>&gt; 35</v>
          </cell>
          <cell r="K229">
            <v>185</v>
          </cell>
          <cell r="L229" t="str">
            <v>&gt; 35</v>
          </cell>
          <cell r="M229">
            <v>185</v>
          </cell>
          <cell r="N229">
            <v>60</v>
          </cell>
          <cell r="O229">
            <v>50</v>
          </cell>
          <cell r="P229">
            <v>30</v>
          </cell>
          <cell r="Q229">
            <v>40</v>
          </cell>
          <cell r="R229">
            <v>50</v>
          </cell>
          <cell r="S229">
            <v>20</v>
          </cell>
          <cell r="T229" t="str">
            <v>-</v>
          </cell>
        </row>
        <row r="230">
          <cell r="A230" t="str">
            <v>Schnittlauch</v>
          </cell>
          <cell r="B230" t="str">
            <v>&lt; 30</v>
          </cell>
          <cell r="C230">
            <v>210</v>
          </cell>
          <cell r="D230" t="str">
            <v>30 - 40</v>
          </cell>
          <cell r="E230">
            <v>250</v>
          </cell>
          <cell r="F230">
            <v>200</v>
          </cell>
          <cell r="G230" t="str">
            <v>&gt; 40</v>
          </cell>
          <cell r="H230">
            <v>300</v>
          </cell>
          <cell r="I230">
            <v>250</v>
          </cell>
          <cell r="J230" t="str">
            <v>&gt; 40</v>
          </cell>
          <cell r="K230">
            <v>300</v>
          </cell>
          <cell r="L230" t="str">
            <v>&gt; 40</v>
          </cell>
          <cell r="M230">
            <v>300</v>
          </cell>
          <cell r="N230">
            <v>75</v>
          </cell>
          <cell r="O230">
            <v>65</v>
          </cell>
          <cell r="P230">
            <v>40</v>
          </cell>
          <cell r="Q230">
            <v>50</v>
          </cell>
          <cell r="R230">
            <v>65</v>
          </cell>
          <cell r="S230">
            <v>25</v>
          </cell>
          <cell r="T230" t="str">
            <v>-</v>
          </cell>
        </row>
        <row r="231">
          <cell r="A231" t="str">
            <v>Schwarzwurzel</v>
          </cell>
          <cell r="B231" t="str">
            <v>&lt; 22</v>
          </cell>
          <cell r="C231">
            <v>164</v>
          </cell>
          <cell r="D231" t="str">
            <v>22 - 28</v>
          </cell>
          <cell r="E231">
            <v>195</v>
          </cell>
          <cell r="F231">
            <v>155</v>
          </cell>
          <cell r="G231" t="str">
            <v>&gt; 28</v>
          </cell>
          <cell r="H231">
            <v>234</v>
          </cell>
          <cell r="I231">
            <v>194</v>
          </cell>
          <cell r="J231" t="str">
            <v>&gt; 28</v>
          </cell>
          <cell r="K231">
            <v>234</v>
          </cell>
          <cell r="L231" t="str">
            <v>&gt; 28</v>
          </cell>
          <cell r="M231">
            <v>234</v>
          </cell>
          <cell r="N231">
            <v>90</v>
          </cell>
          <cell r="O231">
            <v>75</v>
          </cell>
          <cell r="P231">
            <v>50</v>
          </cell>
          <cell r="Q231">
            <v>60</v>
          </cell>
          <cell r="R231">
            <v>75</v>
          </cell>
          <cell r="S231">
            <v>30</v>
          </cell>
          <cell r="T231" t="str">
            <v>-</v>
          </cell>
        </row>
        <row r="232">
          <cell r="A232" t="str">
            <v>Sellerie (Knollen)</v>
          </cell>
          <cell r="B232" t="str">
            <v>&lt; 40</v>
          </cell>
          <cell r="C232">
            <v>210</v>
          </cell>
          <cell r="D232" t="str">
            <v>40 - 50</v>
          </cell>
          <cell r="E232">
            <v>250</v>
          </cell>
          <cell r="F232">
            <v>200</v>
          </cell>
          <cell r="G232" t="str">
            <v>&gt; 50</v>
          </cell>
          <cell r="H232">
            <v>300</v>
          </cell>
          <cell r="I232">
            <v>250</v>
          </cell>
          <cell r="J232" t="str">
            <v>&gt; 50</v>
          </cell>
          <cell r="K232">
            <v>300</v>
          </cell>
          <cell r="L232" t="str">
            <v>&gt; 50</v>
          </cell>
          <cell r="M232">
            <v>300</v>
          </cell>
          <cell r="N232">
            <v>120</v>
          </cell>
          <cell r="O232">
            <v>100</v>
          </cell>
          <cell r="P232">
            <v>65</v>
          </cell>
          <cell r="Q232">
            <v>80</v>
          </cell>
          <cell r="R232">
            <v>100</v>
          </cell>
          <cell r="S232">
            <v>40</v>
          </cell>
          <cell r="T232" t="str">
            <v>-</v>
          </cell>
        </row>
        <row r="233">
          <cell r="A233" t="str">
            <v>Sellerie (Stangen-, Bleich-)</v>
          </cell>
          <cell r="B233" t="str">
            <v>&lt; 20</v>
          </cell>
          <cell r="C233">
            <v>162</v>
          </cell>
          <cell r="D233" t="str">
            <v>20 - 25</v>
          </cell>
          <cell r="E233">
            <v>190</v>
          </cell>
          <cell r="F233">
            <v>140</v>
          </cell>
          <cell r="G233" t="str">
            <v>&gt; 25</v>
          </cell>
          <cell r="H233">
            <v>225</v>
          </cell>
          <cell r="I233">
            <v>175</v>
          </cell>
          <cell r="J233" t="str">
            <v>&gt; 25</v>
          </cell>
          <cell r="K233">
            <v>225</v>
          </cell>
          <cell r="L233" t="str">
            <v>&gt; 25</v>
          </cell>
          <cell r="M233">
            <v>225</v>
          </cell>
          <cell r="N233">
            <v>90</v>
          </cell>
          <cell r="O233">
            <v>75</v>
          </cell>
          <cell r="P233">
            <v>50</v>
          </cell>
          <cell r="Q233">
            <v>60</v>
          </cell>
          <cell r="R233">
            <v>75</v>
          </cell>
          <cell r="S233">
            <v>30</v>
          </cell>
          <cell r="T233" t="str">
            <v>-</v>
          </cell>
        </row>
        <row r="234">
          <cell r="A234" t="str">
            <v>Sonstige Flächen: Geschützter Anbau</v>
          </cell>
          <cell r="B234" t="str">
            <v>-</v>
          </cell>
          <cell r="C234">
            <v>0</v>
          </cell>
          <cell r="D234" t="str">
            <v>-</v>
          </cell>
          <cell r="E234">
            <v>0</v>
          </cell>
          <cell r="F234">
            <v>0</v>
          </cell>
          <cell r="G234" t="str">
            <v>-</v>
          </cell>
          <cell r="H234">
            <v>0</v>
          </cell>
          <cell r="I234">
            <v>0</v>
          </cell>
          <cell r="J234" t="str">
            <v>-</v>
          </cell>
          <cell r="K234">
            <v>0</v>
          </cell>
          <cell r="L234" t="str">
            <v>-</v>
          </cell>
          <cell r="M234">
            <v>0</v>
          </cell>
          <cell r="N234">
            <v>0</v>
          </cell>
          <cell r="O234">
            <v>0</v>
          </cell>
          <cell r="P234">
            <v>0</v>
          </cell>
          <cell r="Q234">
            <v>0</v>
          </cell>
          <cell r="R234">
            <v>0</v>
          </cell>
          <cell r="S234" t="str">
            <v xml:space="preserve"> -</v>
          </cell>
          <cell r="T234" t="str">
            <v xml:space="preserve"> -</v>
          </cell>
        </row>
        <row r="235">
          <cell r="A235" t="str">
            <v>Spargel (Ertragsanlage)</v>
          </cell>
          <cell r="B235" t="str">
            <v>&lt; 4</v>
          </cell>
          <cell r="C235">
            <v>120</v>
          </cell>
          <cell r="D235" t="str">
            <v>4 - 7</v>
          </cell>
          <cell r="E235">
            <v>140</v>
          </cell>
          <cell r="F235">
            <v>100</v>
          </cell>
          <cell r="G235" t="str">
            <v>&gt; 7</v>
          </cell>
          <cell r="H235">
            <v>165</v>
          </cell>
          <cell r="I235">
            <v>125</v>
          </cell>
          <cell r="J235" t="str">
            <v>&gt; 7</v>
          </cell>
          <cell r="K235">
            <v>165</v>
          </cell>
          <cell r="L235" t="str">
            <v>&gt; 7</v>
          </cell>
          <cell r="M235">
            <v>165</v>
          </cell>
          <cell r="N235">
            <v>90</v>
          </cell>
          <cell r="O235">
            <v>75</v>
          </cell>
          <cell r="P235">
            <v>50</v>
          </cell>
          <cell r="Q235">
            <v>60</v>
          </cell>
          <cell r="R235">
            <v>75</v>
          </cell>
          <cell r="S235">
            <v>30</v>
          </cell>
          <cell r="T235" t="str">
            <v>-</v>
          </cell>
        </row>
        <row r="236">
          <cell r="A236" t="str">
            <v>Speisekürbis, Zierkürbis</v>
          </cell>
          <cell r="B236" t="str">
            <v>&lt; 20</v>
          </cell>
          <cell r="C236">
            <v>198</v>
          </cell>
          <cell r="D236" t="str">
            <v>20 - 45</v>
          </cell>
          <cell r="E236">
            <v>235</v>
          </cell>
          <cell r="F236">
            <v>185</v>
          </cell>
          <cell r="G236" t="str">
            <v>&gt; 45</v>
          </cell>
          <cell r="H236">
            <v>281</v>
          </cell>
          <cell r="I236">
            <v>231</v>
          </cell>
          <cell r="J236" t="str">
            <v>&gt; 45</v>
          </cell>
          <cell r="K236">
            <v>281</v>
          </cell>
          <cell r="L236" t="str">
            <v>&gt; 45</v>
          </cell>
          <cell r="M236">
            <v>281</v>
          </cell>
          <cell r="N236">
            <v>75</v>
          </cell>
          <cell r="O236">
            <v>65</v>
          </cell>
          <cell r="P236">
            <v>40</v>
          </cell>
          <cell r="Q236">
            <v>50</v>
          </cell>
          <cell r="R236">
            <v>65</v>
          </cell>
          <cell r="S236">
            <v>25</v>
          </cell>
          <cell r="T236" t="str">
            <v>-</v>
          </cell>
        </row>
        <row r="237">
          <cell r="A237" t="str">
            <v>Spinat (Blattspinat)</v>
          </cell>
          <cell r="B237" t="str">
            <v>&lt; 20</v>
          </cell>
          <cell r="C237">
            <v>190</v>
          </cell>
          <cell r="D237" t="str">
            <v>20 - 28</v>
          </cell>
          <cell r="E237">
            <v>230</v>
          </cell>
          <cell r="F237">
            <v>140</v>
          </cell>
          <cell r="G237" t="str">
            <v>&gt; 28</v>
          </cell>
          <cell r="H237">
            <v>280</v>
          </cell>
          <cell r="I237">
            <v>175</v>
          </cell>
          <cell r="J237" t="str">
            <v>&gt; 28</v>
          </cell>
          <cell r="K237">
            <v>280</v>
          </cell>
          <cell r="L237" t="str">
            <v>&gt; 28</v>
          </cell>
          <cell r="M237">
            <v>280</v>
          </cell>
          <cell r="N237">
            <v>60</v>
          </cell>
          <cell r="O237">
            <v>50</v>
          </cell>
          <cell r="P237">
            <v>30</v>
          </cell>
          <cell r="Q237">
            <v>40</v>
          </cell>
          <cell r="R237">
            <v>50</v>
          </cell>
          <cell r="S237">
            <v>20</v>
          </cell>
          <cell r="T237" t="str">
            <v>-</v>
          </cell>
        </row>
        <row r="238">
          <cell r="A238" t="str">
            <v>Spinat (Passierspinat)</v>
          </cell>
          <cell r="B238" t="str">
            <v>&lt; 20</v>
          </cell>
          <cell r="C238">
            <v>190</v>
          </cell>
          <cell r="D238" t="str">
            <v>20 - 28</v>
          </cell>
          <cell r="E238">
            <v>230</v>
          </cell>
          <cell r="F238">
            <v>190</v>
          </cell>
          <cell r="G238" t="str">
            <v>&gt; 28</v>
          </cell>
          <cell r="H238">
            <v>280</v>
          </cell>
          <cell r="I238">
            <v>238</v>
          </cell>
          <cell r="J238" t="str">
            <v>&gt; 28</v>
          </cell>
          <cell r="K238">
            <v>280</v>
          </cell>
          <cell r="L238" t="str">
            <v>&gt; 28</v>
          </cell>
          <cell r="M238">
            <v>280</v>
          </cell>
          <cell r="N238">
            <v>60</v>
          </cell>
          <cell r="O238">
            <v>50</v>
          </cell>
          <cell r="P238">
            <v>30</v>
          </cell>
          <cell r="Q238">
            <v>40</v>
          </cell>
          <cell r="R238">
            <v>50</v>
          </cell>
          <cell r="S238">
            <v>20</v>
          </cell>
          <cell r="T238" t="str">
            <v>-</v>
          </cell>
        </row>
        <row r="239">
          <cell r="A239" t="str">
            <v>Spinat (Überwinterung)</v>
          </cell>
          <cell r="B239" t="str">
            <v>&lt; 20</v>
          </cell>
          <cell r="C239">
            <v>190</v>
          </cell>
          <cell r="D239" t="str">
            <v>20 - 28</v>
          </cell>
          <cell r="E239">
            <v>230</v>
          </cell>
          <cell r="G239" t="str">
            <v>&gt; 28</v>
          </cell>
          <cell r="H239">
            <v>280</v>
          </cell>
          <cell r="J239" t="str">
            <v>&gt; 28</v>
          </cell>
          <cell r="K239">
            <v>280</v>
          </cell>
          <cell r="L239" t="str">
            <v>&gt; 28</v>
          </cell>
          <cell r="M239">
            <v>280</v>
          </cell>
          <cell r="N239">
            <v>60</v>
          </cell>
          <cell r="O239">
            <v>50</v>
          </cell>
          <cell r="P239">
            <v>30</v>
          </cell>
          <cell r="Q239">
            <v>40</v>
          </cell>
          <cell r="R239">
            <v>50</v>
          </cell>
          <cell r="S239">
            <v>20</v>
          </cell>
          <cell r="T239" t="str">
            <v>-</v>
          </cell>
        </row>
        <row r="240">
          <cell r="A240" t="str">
            <v>Sprossenkohl</v>
          </cell>
          <cell r="B240" t="str">
            <v>&lt; 10</v>
          </cell>
          <cell r="C240">
            <v>240</v>
          </cell>
          <cell r="D240" t="str">
            <v>10 - 15</v>
          </cell>
          <cell r="E240">
            <v>290</v>
          </cell>
          <cell r="F240">
            <v>250</v>
          </cell>
          <cell r="G240" t="str">
            <v>&gt; 15</v>
          </cell>
          <cell r="H240">
            <v>353</v>
          </cell>
          <cell r="I240">
            <v>313</v>
          </cell>
          <cell r="J240" t="str">
            <v>&gt; 15</v>
          </cell>
          <cell r="K240">
            <v>353</v>
          </cell>
          <cell r="L240" t="str">
            <v>&gt; 15</v>
          </cell>
          <cell r="M240">
            <v>353</v>
          </cell>
          <cell r="N240">
            <v>75</v>
          </cell>
          <cell r="O240">
            <v>65</v>
          </cell>
          <cell r="P240">
            <v>40</v>
          </cell>
          <cell r="Q240">
            <v>50</v>
          </cell>
          <cell r="R240">
            <v>65</v>
          </cell>
          <cell r="S240">
            <v>25</v>
          </cell>
          <cell r="T240" t="str">
            <v>-</v>
          </cell>
        </row>
        <row r="241">
          <cell r="A241" t="str">
            <v>Stangenbohne frisch (Fisole)</v>
          </cell>
          <cell r="B241" t="str">
            <v>&lt; 23</v>
          </cell>
          <cell r="C241">
            <v>136</v>
          </cell>
          <cell r="D241" t="str">
            <v>23 - 27</v>
          </cell>
          <cell r="E241">
            <v>160</v>
          </cell>
          <cell r="F241">
            <v>120</v>
          </cell>
          <cell r="G241" t="str">
            <v>&gt; 27</v>
          </cell>
          <cell r="H241">
            <v>190</v>
          </cell>
          <cell r="I241">
            <v>150</v>
          </cell>
          <cell r="J241" t="str">
            <v>&gt; 27</v>
          </cell>
          <cell r="K241">
            <v>190</v>
          </cell>
          <cell r="L241" t="str">
            <v>&gt; 27</v>
          </cell>
          <cell r="M241">
            <v>190</v>
          </cell>
          <cell r="N241">
            <v>60</v>
          </cell>
          <cell r="O241">
            <v>50</v>
          </cell>
          <cell r="P241">
            <v>30</v>
          </cell>
          <cell r="Q241">
            <v>40</v>
          </cell>
          <cell r="R241">
            <v>50</v>
          </cell>
          <cell r="S241">
            <v>20</v>
          </cell>
          <cell r="T241" t="str">
            <v>-</v>
          </cell>
        </row>
        <row r="242">
          <cell r="A242" t="str">
            <v>Stangenbohne, Käferbohne (trocken)</v>
          </cell>
          <cell r="B242" t="str">
            <v>&lt; 1,8</v>
          </cell>
          <cell r="C242">
            <v>152</v>
          </cell>
          <cell r="D242" t="str">
            <v>1,8 - 2,2</v>
          </cell>
          <cell r="E242">
            <v>180</v>
          </cell>
          <cell r="F242">
            <v>140</v>
          </cell>
          <cell r="G242" t="str">
            <v>&gt; 2,2</v>
          </cell>
          <cell r="H242">
            <v>215</v>
          </cell>
          <cell r="I242">
            <v>175</v>
          </cell>
          <cell r="J242" t="str">
            <v>&gt; 2,2</v>
          </cell>
          <cell r="K242">
            <v>215</v>
          </cell>
          <cell r="L242" t="str">
            <v>&gt; 2,2</v>
          </cell>
          <cell r="M242">
            <v>215</v>
          </cell>
          <cell r="N242">
            <v>60</v>
          </cell>
          <cell r="O242">
            <v>50</v>
          </cell>
          <cell r="P242">
            <v>30</v>
          </cell>
          <cell r="Q242">
            <v>40</v>
          </cell>
          <cell r="R242">
            <v>50</v>
          </cell>
          <cell r="S242">
            <v>20</v>
          </cell>
          <cell r="T242" t="str">
            <v>-</v>
          </cell>
        </row>
        <row r="243">
          <cell r="A243" t="str">
            <v>Tomate, Paradeiser (Freiland)</v>
          </cell>
          <cell r="B243" t="str">
            <v>&lt; 50</v>
          </cell>
          <cell r="C243">
            <v>230</v>
          </cell>
          <cell r="D243" t="str">
            <v>50 - 80</v>
          </cell>
          <cell r="E243">
            <v>275</v>
          </cell>
          <cell r="F243">
            <v>225</v>
          </cell>
          <cell r="G243" t="str">
            <v>&gt; 80</v>
          </cell>
          <cell r="H243">
            <v>331</v>
          </cell>
          <cell r="I243">
            <v>281</v>
          </cell>
          <cell r="J243" t="str">
            <v>&gt; 80</v>
          </cell>
          <cell r="K243">
            <v>331</v>
          </cell>
          <cell r="L243" t="str">
            <v>&gt; 80</v>
          </cell>
          <cell r="M243">
            <v>331</v>
          </cell>
          <cell r="N243">
            <v>60</v>
          </cell>
          <cell r="O243">
            <v>50</v>
          </cell>
          <cell r="P243">
            <v>30</v>
          </cell>
          <cell r="Q243">
            <v>40</v>
          </cell>
          <cell r="R243">
            <v>50</v>
          </cell>
          <cell r="S243">
            <v>20</v>
          </cell>
          <cell r="T243" t="str">
            <v>-</v>
          </cell>
        </row>
        <row r="244">
          <cell r="A244" t="str">
            <v>Tomate, Paradeiser (geschützt)</v>
          </cell>
          <cell r="B244" t="str">
            <v>&lt; 50</v>
          </cell>
          <cell r="C244">
            <v>230</v>
          </cell>
          <cell r="D244" t="str">
            <v>50 - 80</v>
          </cell>
          <cell r="E244">
            <v>275</v>
          </cell>
          <cell r="F244">
            <v>225</v>
          </cell>
          <cell r="G244" t="str">
            <v>&gt; 80</v>
          </cell>
          <cell r="H244">
            <v>331</v>
          </cell>
          <cell r="I244">
            <v>281</v>
          </cell>
          <cell r="J244" t="str">
            <v>&gt; 80</v>
          </cell>
          <cell r="K244">
            <v>331</v>
          </cell>
          <cell r="L244" t="str">
            <v>&gt; 80</v>
          </cell>
          <cell r="M244">
            <v>331</v>
          </cell>
          <cell r="N244">
            <v>90</v>
          </cell>
          <cell r="O244">
            <v>75</v>
          </cell>
          <cell r="P244">
            <v>50</v>
          </cell>
          <cell r="Q244">
            <v>60</v>
          </cell>
          <cell r="R244">
            <v>75</v>
          </cell>
          <cell r="S244">
            <v>30</v>
          </cell>
          <cell r="T244" t="str">
            <v>-</v>
          </cell>
        </row>
        <row r="245">
          <cell r="A245" t="str">
            <v>Vogerlsalat (Rapunzel)</v>
          </cell>
          <cell r="B245" t="str">
            <v>&lt; 6,5</v>
          </cell>
          <cell r="C245">
            <v>68</v>
          </cell>
          <cell r="D245" t="str">
            <v>6,5 - 8,5</v>
          </cell>
          <cell r="E245">
            <v>80</v>
          </cell>
          <cell r="F245">
            <v>60</v>
          </cell>
          <cell r="G245" t="str">
            <v>&gt; 8,5</v>
          </cell>
          <cell r="H245">
            <v>95</v>
          </cell>
          <cell r="I245">
            <v>75</v>
          </cell>
          <cell r="J245" t="str">
            <v>&gt; 8,5</v>
          </cell>
          <cell r="K245">
            <v>95</v>
          </cell>
          <cell r="L245" t="str">
            <v>&gt; 8,5</v>
          </cell>
          <cell r="M245">
            <v>95</v>
          </cell>
          <cell r="N245">
            <v>15</v>
          </cell>
          <cell r="O245">
            <v>15</v>
          </cell>
          <cell r="P245">
            <v>10</v>
          </cell>
          <cell r="Q245">
            <v>10</v>
          </cell>
          <cell r="R245">
            <v>15</v>
          </cell>
          <cell r="S245">
            <v>5</v>
          </cell>
          <cell r="T245" t="str">
            <v>-</v>
          </cell>
        </row>
        <row r="246">
          <cell r="A246" t="str">
            <v>Zucchini</v>
          </cell>
          <cell r="B246" t="str">
            <v>&lt; 35</v>
          </cell>
          <cell r="C246">
            <v>194</v>
          </cell>
          <cell r="D246" t="str">
            <v>35 - 45</v>
          </cell>
          <cell r="E246">
            <v>230</v>
          </cell>
          <cell r="F246">
            <v>180</v>
          </cell>
          <cell r="G246" t="str">
            <v>&gt; 45</v>
          </cell>
          <cell r="H246">
            <v>275</v>
          </cell>
          <cell r="I246">
            <v>225</v>
          </cell>
          <cell r="J246" t="str">
            <v>&gt; 45</v>
          </cell>
          <cell r="K246">
            <v>275</v>
          </cell>
          <cell r="L246" t="str">
            <v>&gt; 45</v>
          </cell>
          <cell r="M246">
            <v>275</v>
          </cell>
          <cell r="N246">
            <v>75</v>
          </cell>
          <cell r="O246">
            <v>65</v>
          </cell>
          <cell r="P246">
            <v>40</v>
          </cell>
          <cell r="Q246">
            <v>50</v>
          </cell>
          <cell r="R246">
            <v>65</v>
          </cell>
          <cell r="S246">
            <v>25</v>
          </cell>
          <cell r="T246" t="str">
            <v>-</v>
          </cell>
        </row>
        <row r="247">
          <cell r="A247" t="str">
            <v>Zuckerhut</v>
          </cell>
          <cell r="B247" t="str">
            <v>&lt; 40</v>
          </cell>
          <cell r="C247">
            <v>136</v>
          </cell>
          <cell r="D247" t="str">
            <v>40 - 50</v>
          </cell>
          <cell r="E247">
            <v>160</v>
          </cell>
          <cell r="F247">
            <v>120</v>
          </cell>
          <cell r="G247" t="str">
            <v>&gt; 50</v>
          </cell>
          <cell r="H247">
            <v>190</v>
          </cell>
          <cell r="I247">
            <v>150</v>
          </cell>
          <cell r="J247" t="str">
            <v>&gt; 50</v>
          </cell>
          <cell r="K247">
            <v>190</v>
          </cell>
          <cell r="L247" t="str">
            <v>&gt; 50</v>
          </cell>
          <cell r="M247">
            <v>190</v>
          </cell>
          <cell r="N247">
            <v>45</v>
          </cell>
          <cell r="O247">
            <v>40</v>
          </cell>
          <cell r="P247">
            <v>25</v>
          </cell>
          <cell r="Q247">
            <v>30</v>
          </cell>
          <cell r="R247">
            <v>40</v>
          </cell>
          <cell r="S247">
            <v>15</v>
          </cell>
          <cell r="T247" t="str">
            <v>-</v>
          </cell>
        </row>
        <row r="248">
          <cell r="A248" t="str">
            <v>Zuckermais (Körner)</v>
          </cell>
          <cell r="B248" t="str">
            <v>&lt; 12</v>
          </cell>
          <cell r="C248">
            <v>170</v>
          </cell>
          <cell r="D248" t="str">
            <v>12 - 14</v>
          </cell>
          <cell r="E248">
            <v>200</v>
          </cell>
          <cell r="F248">
            <v>160</v>
          </cell>
          <cell r="G248" t="str">
            <v>&gt; 14</v>
          </cell>
          <cell r="H248">
            <v>240</v>
          </cell>
          <cell r="I248">
            <v>200</v>
          </cell>
          <cell r="J248" t="str">
            <v>&gt; 14</v>
          </cell>
          <cell r="K248">
            <v>240</v>
          </cell>
          <cell r="L248" t="str">
            <v>&gt; 14</v>
          </cell>
          <cell r="M248">
            <v>240</v>
          </cell>
          <cell r="N248">
            <v>60</v>
          </cell>
          <cell r="O248">
            <v>50</v>
          </cell>
          <cell r="P248">
            <v>30</v>
          </cell>
          <cell r="Q248">
            <v>40</v>
          </cell>
          <cell r="R248">
            <v>50</v>
          </cell>
          <cell r="S248">
            <v>20</v>
          </cell>
          <cell r="T248" t="str">
            <v>-</v>
          </cell>
        </row>
        <row r="249">
          <cell r="A249" t="str">
            <v>Zwiebel (Bund, Frühjahr)</v>
          </cell>
          <cell r="B249" t="str">
            <v>&lt; 40</v>
          </cell>
          <cell r="C249">
            <v>145</v>
          </cell>
          <cell r="D249" t="str">
            <v>40 - 55</v>
          </cell>
          <cell r="E249">
            <v>170</v>
          </cell>
          <cell r="F249">
            <v>75</v>
          </cell>
          <cell r="G249" t="str">
            <v>&gt; 55</v>
          </cell>
          <cell r="H249">
            <v>205</v>
          </cell>
          <cell r="I249">
            <v>94</v>
          </cell>
          <cell r="J249" t="str">
            <v>&gt; 55</v>
          </cell>
          <cell r="K249">
            <v>205</v>
          </cell>
          <cell r="L249" t="str">
            <v>&gt; 55</v>
          </cell>
          <cell r="M249">
            <v>205</v>
          </cell>
          <cell r="N249">
            <v>60</v>
          </cell>
          <cell r="O249">
            <v>50</v>
          </cell>
          <cell r="P249">
            <v>30</v>
          </cell>
          <cell r="Q249">
            <v>40</v>
          </cell>
          <cell r="R249">
            <v>50</v>
          </cell>
          <cell r="S249">
            <v>20</v>
          </cell>
          <cell r="T249" t="str">
            <v>-</v>
          </cell>
        </row>
        <row r="250">
          <cell r="A250" t="str">
            <v>Zwiebel (Bund, Sommer)</v>
          </cell>
          <cell r="B250" t="str">
            <v>&lt; 40</v>
          </cell>
          <cell r="C250">
            <v>145</v>
          </cell>
          <cell r="D250" t="str">
            <v>40 - 55</v>
          </cell>
          <cell r="E250">
            <v>170</v>
          </cell>
          <cell r="F250">
            <v>75</v>
          </cell>
          <cell r="G250" t="str">
            <v>&gt; 55</v>
          </cell>
          <cell r="H250">
            <v>205</v>
          </cell>
          <cell r="I250">
            <v>94</v>
          </cell>
          <cell r="J250" t="str">
            <v>&gt; 55</v>
          </cell>
          <cell r="K250">
            <v>205</v>
          </cell>
          <cell r="L250" t="str">
            <v>&gt; 55</v>
          </cell>
          <cell r="M250">
            <v>205</v>
          </cell>
          <cell r="N250">
            <v>60</v>
          </cell>
          <cell r="O250">
            <v>50</v>
          </cell>
          <cell r="P250">
            <v>30</v>
          </cell>
          <cell r="Q250">
            <v>40</v>
          </cell>
          <cell r="R250">
            <v>50</v>
          </cell>
          <cell r="S250">
            <v>20</v>
          </cell>
          <cell r="T250" t="str">
            <v>-</v>
          </cell>
        </row>
        <row r="251">
          <cell r="A251" t="str">
            <v>Zwiebel (Bund, Überwinterung)</v>
          </cell>
          <cell r="B251" t="str">
            <v>&lt; 40</v>
          </cell>
          <cell r="C251">
            <v>145</v>
          </cell>
          <cell r="D251" t="str">
            <v>40 - 55</v>
          </cell>
          <cell r="E251">
            <v>170</v>
          </cell>
          <cell r="F251">
            <v>75</v>
          </cell>
          <cell r="G251" t="str">
            <v>&gt; 55</v>
          </cell>
          <cell r="H251">
            <v>205</v>
          </cell>
          <cell r="I251">
            <v>94</v>
          </cell>
          <cell r="J251" t="str">
            <v>&gt; 55</v>
          </cell>
          <cell r="K251">
            <v>205</v>
          </cell>
          <cell r="L251" t="str">
            <v>&gt; 55</v>
          </cell>
          <cell r="M251">
            <v>205</v>
          </cell>
          <cell r="N251">
            <v>60</v>
          </cell>
          <cell r="O251">
            <v>50</v>
          </cell>
          <cell r="P251">
            <v>30</v>
          </cell>
          <cell r="Q251">
            <v>40</v>
          </cell>
          <cell r="R251">
            <v>50</v>
          </cell>
          <cell r="S251">
            <v>20</v>
          </cell>
          <cell r="T251" t="str">
            <v>-</v>
          </cell>
        </row>
        <row r="252">
          <cell r="A252" t="str">
            <v>Zwiebel (Sommer, trocken)</v>
          </cell>
          <cell r="B252" t="str">
            <v>&lt; 40</v>
          </cell>
          <cell r="C252">
            <v>145</v>
          </cell>
          <cell r="D252" t="str">
            <v>40 - 55</v>
          </cell>
          <cell r="E252">
            <v>170</v>
          </cell>
          <cell r="F252">
            <v>130</v>
          </cell>
          <cell r="G252" t="str">
            <v>&gt; 55</v>
          </cell>
          <cell r="H252">
            <v>205</v>
          </cell>
          <cell r="I252">
            <v>163</v>
          </cell>
          <cell r="J252" t="str">
            <v>&gt; 55</v>
          </cell>
          <cell r="K252">
            <v>205</v>
          </cell>
          <cell r="L252" t="str">
            <v>&gt; 55</v>
          </cell>
          <cell r="M252">
            <v>205</v>
          </cell>
          <cell r="N252">
            <v>60</v>
          </cell>
          <cell r="O252">
            <v>50</v>
          </cell>
          <cell r="P252">
            <v>30</v>
          </cell>
          <cell r="Q252">
            <v>40</v>
          </cell>
          <cell r="R252">
            <v>50</v>
          </cell>
          <cell r="S252">
            <v>20</v>
          </cell>
          <cell r="T252" t="str">
            <v>-</v>
          </cell>
        </row>
        <row r="253">
          <cell r="A253" t="str">
            <v>Zwiebel (Winter, trocken)</v>
          </cell>
          <cell r="B253" t="str">
            <v>&lt; 40</v>
          </cell>
          <cell r="C253">
            <v>145</v>
          </cell>
          <cell r="D253" t="str">
            <v>40 - 55</v>
          </cell>
          <cell r="E253">
            <v>170</v>
          </cell>
          <cell r="F253">
            <v>130</v>
          </cell>
          <cell r="G253" t="str">
            <v>&gt; 55</v>
          </cell>
          <cell r="H253">
            <v>205</v>
          </cell>
          <cell r="I253">
            <v>163</v>
          </cell>
          <cell r="J253" t="str">
            <v>&gt; 55</v>
          </cell>
          <cell r="K253">
            <v>205</v>
          </cell>
          <cell r="L253" t="str">
            <v>&gt; 55</v>
          </cell>
          <cell r="M253">
            <v>205</v>
          </cell>
          <cell r="N253">
            <v>60</v>
          </cell>
          <cell r="O253">
            <v>50</v>
          </cell>
          <cell r="P253">
            <v>30</v>
          </cell>
          <cell r="Q253">
            <v>40</v>
          </cell>
          <cell r="R253">
            <v>50</v>
          </cell>
          <cell r="S253">
            <v>20</v>
          </cell>
          <cell r="T253" t="str">
            <v>-</v>
          </cell>
        </row>
        <row r="254">
          <cell r="A254" t="str">
            <v>Grünland- und Ackerfutternutzungen (Klee, Wechselwiese, Energiegras,…), Sämereienvermehrung: 7)</v>
          </cell>
        </row>
        <row r="255">
          <cell r="A255" t="str">
            <v>Almfutterfläche</v>
          </cell>
          <cell r="B255" t="str">
            <v>-</v>
          </cell>
          <cell r="C255">
            <v>20</v>
          </cell>
          <cell r="D255" t="str">
            <v>-</v>
          </cell>
          <cell r="E255">
            <v>20</v>
          </cell>
          <cell r="F255">
            <v>20</v>
          </cell>
          <cell r="G255" t="str">
            <v>-</v>
          </cell>
          <cell r="H255">
            <v>20</v>
          </cell>
          <cell r="I255">
            <v>40</v>
          </cell>
          <cell r="J255" t="str">
            <v>-</v>
          </cell>
          <cell r="K255">
            <v>20</v>
          </cell>
          <cell r="L255" t="str">
            <v>-</v>
          </cell>
          <cell r="M255">
            <v>20</v>
          </cell>
          <cell r="N255">
            <v>30</v>
          </cell>
          <cell r="O255">
            <v>25</v>
          </cell>
          <cell r="P255">
            <v>20</v>
          </cell>
          <cell r="Q255">
            <v>20</v>
          </cell>
          <cell r="R255">
            <v>20</v>
          </cell>
          <cell r="S255" t="str">
            <v>3)</v>
          </cell>
          <cell r="T255" t="str">
            <v>3)</v>
          </cell>
        </row>
        <row r="256">
          <cell r="A256" t="str">
            <v>Bergmähder mit Code "BM0"</v>
          </cell>
          <cell r="B256" t="str">
            <v>-</v>
          </cell>
          <cell r="C256">
            <v>0</v>
          </cell>
          <cell r="D256" t="str">
            <v>-</v>
          </cell>
          <cell r="E256">
            <v>0</v>
          </cell>
          <cell r="F256">
            <v>0</v>
          </cell>
          <cell r="G256" t="str">
            <v>-</v>
          </cell>
          <cell r="H256">
            <v>0</v>
          </cell>
          <cell r="I256">
            <v>0</v>
          </cell>
          <cell r="J256" t="str">
            <v>-</v>
          </cell>
          <cell r="K256">
            <v>0</v>
          </cell>
          <cell r="L256" t="str">
            <v>-</v>
          </cell>
          <cell r="M256">
            <v>0</v>
          </cell>
          <cell r="N256">
            <v>0</v>
          </cell>
          <cell r="O256">
            <v>0</v>
          </cell>
          <cell r="P256">
            <v>0</v>
          </cell>
          <cell r="Q256">
            <v>0</v>
          </cell>
          <cell r="R256">
            <v>0</v>
          </cell>
          <cell r="S256" t="str">
            <v>-</v>
          </cell>
          <cell r="T256" t="str">
            <v>-</v>
          </cell>
        </row>
        <row r="257">
          <cell r="A257" t="str">
            <v>Bergmähder</v>
          </cell>
          <cell r="B257" t="str">
            <v>-</v>
          </cell>
          <cell r="C257">
            <v>20</v>
          </cell>
          <cell r="D257" t="str">
            <v>-</v>
          </cell>
          <cell r="E257">
            <v>90</v>
          </cell>
          <cell r="F257">
            <v>30</v>
          </cell>
          <cell r="G257" t="str">
            <v>-</v>
          </cell>
          <cell r="H257">
            <v>90</v>
          </cell>
          <cell r="I257">
            <v>30</v>
          </cell>
          <cell r="J257" t="str">
            <v>-</v>
          </cell>
          <cell r="K257">
            <v>90</v>
          </cell>
          <cell r="L257" t="str">
            <v>-</v>
          </cell>
          <cell r="M257">
            <v>90</v>
          </cell>
          <cell r="N257">
            <v>40</v>
          </cell>
          <cell r="O257">
            <v>35</v>
          </cell>
          <cell r="P257">
            <v>30</v>
          </cell>
          <cell r="Q257">
            <v>30</v>
          </cell>
          <cell r="R257">
            <v>30</v>
          </cell>
          <cell r="S257" t="str">
            <v>3)</v>
          </cell>
          <cell r="T257" t="str">
            <v>3)</v>
          </cell>
        </row>
        <row r="258">
          <cell r="A258" t="str">
            <v>Dauerweide</v>
          </cell>
          <cell r="B258" t="str">
            <v>-</v>
          </cell>
          <cell r="C258">
            <v>100</v>
          </cell>
          <cell r="D258" t="str">
            <v>-</v>
          </cell>
          <cell r="E258">
            <v>140</v>
          </cell>
          <cell r="F258">
            <v>100</v>
          </cell>
          <cell r="G258" t="str">
            <v>-</v>
          </cell>
          <cell r="H258">
            <v>140</v>
          </cell>
          <cell r="I258">
            <v>140</v>
          </cell>
          <cell r="J258" t="str">
            <v>-</v>
          </cell>
          <cell r="K258">
            <v>140</v>
          </cell>
          <cell r="L258" t="str">
            <v>-</v>
          </cell>
          <cell r="M258">
            <v>140</v>
          </cell>
          <cell r="N258">
            <v>50</v>
          </cell>
          <cell r="O258">
            <v>40</v>
          </cell>
          <cell r="P258">
            <v>35</v>
          </cell>
          <cell r="Q258">
            <v>35</v>
          </cell>
          <cell r="R258">
            <v>35</v>
          </cell>
          <cell r="S258" t="str">
            <v>3)</v>
          </cell>
          <cell r="T258" t="str">
            <v>3)</v>
          </cell>
        </row>
        <row r="259">
          <cell r="A259" t="str">
            <v>Einmähdige Wiese</v>
          </cell>
          <cell r="B259" t="str">
            <v>-</v>
          </cell>
          <cell r="C259">
            <v>20</v>
          </cell>
          <cell r="D259" t="str">
            <v>-</v>
          </cell>
          <cell r="E259">
            <v>90</v>
          </cell>
          <cell r="F259">
            <v>30</v>
          </cell>
          <cell r="G259" t="str">
            <v>-</v>
          </cell>
          <cell r="H259">
            <v>90</v>
          </cell>
          <cell r="I259">
            <v>30</v>
          </cell>
          <cell r="J259" t="str">
            <v>-</v>
          </cell>
          <cell r="K259">
            <v>90</v>
          </cell>
          <cell r="L259" t="str">
            <v>-</v>
          </cell>
          <cell r="M259">
            <v>90</v>
          </cell>
          <cell r="N259">
            <v>40</v>
          </cell>
          <cell r="O259">
            <v>35</v>
          </cell>
          <cell r="P259">
            <v>30</v>
          </cell>
          <cell r="Q259">
            <v>30</v>
          </cell>
          <cell r="R259">
            <v>30</v>
          </cell>
          <cell r="S259" t="str">
            <v>3)</v>
          </cell>
          <cell r="T259" t="str">
            <v>3)</v>
          </cell>
        </row>
        <row r="260">
          <cell r="A260" t="str">
            <v>Energieholz G</v>
          </cell>
          <cell r="B260" t="str">
            <v>-</v>
          </cell>
          <cell r="C260">
            <v>0</v>
          </cell>
          <cell r="D260" t="str">
            <v>-</v>
          </cell>
          <cell r="E260">
            <v>0</v>
          </cell>
          <cell r="G260" t="str">
            <v>-</v>
          </cell>
          <cell r="H260">
            <v>0</v>
          </cell>
          <cell r="J260" t="str">
            <v>-</v>
          </cell>
          <cell r="K260">
            <v>0</v>
          </cell>
          <cell r="L260" t="str">
            <v>-</v>
          </cell>
          <cell r="M260">
            <v>0</v>
          </cell>
          <cell r="N260">
            <v>0</v>
          </cell>
          <cell r="O260">
            <v>0</v>
          </cell>
          <cell r="P260">
            <v>0</v>
          </cell>
          <cell r="Q260">
            <v>0</v>
          </cell>
          <cell r="R260">
            <v>0</v>
          </cell>
          <cell r="S260" t="str">
            <v>-</v>
          </cell>
          <cell r="T260" t="str">
            <v>-</v>
          </cell>
        </row>
        <row r="261">
          <cell r="A261" t="str">
            <v>GLÖZ G</v>
          </cell>
          <cell r="B261" t="str">
            <v>-</v>
          </cell>
          <cell r="C261">
            <v>0</v>
          </cell>
          <cell r="D261" t="str">
            <v>-</v>
          </cell>
          <cell r="E261">
            <v>0</v>
          </cell>
          <cell r="F261">
            <v>0</v>
          </cell>
          <cell r="G261" t="str">
            <v>-</v>
          </cell>
          <cell r="H261">
            <v>0</v>
          </cell>
          <cell r="I261">
            <v>0</v>
          </cell>
          <cell r="J261" t="str">
            <v>-</v>
          </cell>
          <cell r="K261">
            <v>0</v>
          </cell>
          <cell r="L261" t="str">
            <v>-</v>
          </cell>
          <cell r="M261">
            <v>0</v>
          </cell>
          <cell r="N261">
            <v>0</v>
          </cell>
          <cell r="O261">
            <v>0</v>
          </cell>
          <cell r="P261">
            <v>0</v>
          </cell>
          <cell r="Q261">
            <v>0</v>
          </cell>
          <cell r="R261">
            <v>0</v>
          </cell>
          <cell r="S261" t="str">
            <v>-</v>
          </cell>
          <cell r="T261" t="str">
            <v>-</v>
          </cell>
        </row>
        <row r="262">
          <cell r="A262" t="str">
            <v>Hutweide</v>
          </cell>
          <cell r="B262" t="str">
            <v>-</v>
          </cell>
          <cell r="C262">
            <v>30</v>
          </cell>
          <cell r="D262" t="str">
            <v>-</v>
          </cell>
          <cell r="E262">
            <v>30</v>
          </cell>
          <cell r="F262">
            <v>30</v>
          </cell>
          <cell r="G262" t="str">
            <v>-</v>
          </cell>
          <cell r="H262">
            <v>30</v>
          </cell>
          <cell r="I262">
            <v>30</v>
          </cell>
          <cell r="J262" t="str">
            <v>-</v>
          </cell>
          <cell r="K262">
            <v>30</v>
          </cell>
          <cell r="L262" t="str">
            <v>-</v>
          </cell>
          <cell r="M262">
            <v>30</v>
          </cell>
          <cell r="N262">
            <v>30</v>
          </cell>
          <cell r="O262">
            <v>25</v>
          </cell>
          <cell r="P262">
            <v>20</v>
          </cell>
          <cell r="Q262">
            <v>20</v>
          </cell>
          <cell r="R262">
            <v>20</v>
          </cell>
          <cell r="S262" t="str">
            <v>3)</v>
          </cell>
          <cell r="T262" t="str">
            <v>3)</v>
          </cell>
        </row>
        <row r="263">
          <cell r="A263" t="str">
            <v>Landschaftselement G</v>
          </cell>
          <cell r="B263" t="str">
            <v>-</v>
          </cell>
          <cell r="C263">
            <v>0</v>
          </cell>
          <cell r="D263" t="str">
            <v>-</v>
          </cell>
          <cell r="E263">
            <v>0</v>
          </cell>
          <cell r="F263">
            <v>0</v>
          </cell>
          <cell r="G263" t="str">
            <v>-</v>
          </cell>
          <cell r="H263">
            <v>0</v>
          </cell>
          <cell r="I263">
            <v>0</v>
          </cell>
          <cell r="J263" t="str">
            <v>-</v>
          </cell>
          <cell r="K263">
            <v>0</v>
          </cell>
          <cell r="L263" t="str">
            <v>-</v>
          </cell>
          <cell r="M263">
            <v>0</v>
          </cell>
          <cell r="N263">
            <v>0</v>
          </cell>
          <cell r="O263">
            <v>0</v>
          </cell>
          <cell r="P263">
            <v>0</v>
          </cell>
          <cell r="Q263">
            <v>0</v>
          </cell>
          <cell r="R263">
            <v>0</v>
          </cell>
          <cell r="S263" t="str">
            <v>-</v>
          </cell>
          <cell r="T263" t="str">
            <v>-</v>
          </cell>
        </row>
        <row r="264">
          <cell r="A264" t="str">
            <v>Mähwiese/-weide zwei Nutzungen &lt; 40 % Leguminosenanteil</v>
          </cell>
          <cell r="B264" t="str">
            <v>-</v>
          </cell>
          <cell r="C264">
            <v>60</v>
          </cell>
          <cell r="D264" t="str">
            <v>-</v>
          </cell>
          <cell r="E264">
            <v>90</v>
          </cell>
          <cell r="F264">
            <v>90</v>
          </cell>
          <cell r="G264" t="str">
            <v>-</v>
          </cell>
          <cell r="H264">
            <v>90</v>
          </cell>
          <cell r="I264">
            <v>90</v>
          </cell>
          <cell r="J264" t="str">
            <v>-</v>
          </cell>
          <cell r="K264">
            <v>90</v>
          </cell>
          <cell r="L264" t="str">
            <v>-</v>
          </cell>
          <cell r="M264">
            <v>90</v>
          </cell>
          <cell r="N264">
            <v>65</v>
          </cell>
          <cell r="O264">
            <v>55</v>
          </cell>
          <cell r="P264">
            <v>45</v>
          </cell>
          <cell r="Q264">
            <v>45</v>
          </cell>
          <cell r="R264">
            <v>45</v>
          </cell>
          <cell r="S264" t="str">
            <v>3)</v>
          </cell>
          <cell r="T264" t="str">
            <v>3)</v>
          </cell>
        </row>
        <row r="265">
          <cell r="A265" t="str">
            <v>Mähwiese/-weide drei Nutzungen &lt; 40 % Leguminosenanteil</v>
          </cell>
          <cell r="B265" t="str">
            <v>-</v>
          </cell>
          <cell r="C265">
            <v>120</v>
          </cell>
          <cell r="D265" t="str">
            <v>-</v>
          </cell>
          <cell r="E265">
            <v>150</v>
          </cell>
          <cell r="F265">
            <v>120</v>
          </cell>
          <cell r="G265" t="str">
            <v>-</v>
          </cell>
          <cell r="H265">
            <v>150</v>
          </cell>
          <cell r="I265">
            <v>140</v>
          </cell>
          <cell r="J265" t="str">
            <v>-</v>
          </cell>
          <cell r="K265">
            <v>150</v>
          </cell>
          <cell r="L265" t="str">
            <v>-</v>
          </cell>
          <cell r="M265">
            <v>150</v>
          </cell>
          <cell r="N265">
            <v>90</v>
          </cell>
          <cell r="O265">
            <v>80</v>
          </cell>
          <cell r="P265">
            <v>65</v>
          </cell>
          <cell r="Q265">
            <v>65</v>
          </cell>
          <cell r="R265">
            <v>80</v>
          </cell>
          <cell r="S265" t="str">
            <v>3)</v>
          </cell>
          <cell r="T265" t="str">
            <v>3)</v>
          </cell>
        </row>
        <row r="266">
          <cell r="A266" t="str">
            <v>Mähwiese/-weide vier Nutzungen &lt; 40 % Leguminosenanteil</v>
          </cell>
          <cell r="B266" t="str">
            <v>-</v>
          </cell>
          <cell r="C266">
            <v>160</v>
          </cell>
          <cell r="D266" t="str">
            <v>-</v>
          </cell>
          <cell r="E266">
            <v>200</v>
          </cell>
          <cell r="F266">
            <v>160</v>
          </cell>
          <cell r="G266" t="str">
            <v>-</v>
          </cell>
          <cell r="H266">
            <v>200</v>
          </cell>
          <cell r="I266">
            <v>190</v>
          </cell>
          <cell r="J266" t="str">
            <v>-</v>
          </cell>
          <cell r="K266">
            <v>200</v>
          </cell>
          <cell r="L266" t="str">
            <v>-</v>
          </cell>
          <cell r="M266">
            <v>200</v>
          </cell>
          <cell r="N266">
            <v>110</v>
          </cell>
          <cell r="O266">
            <v>95</v>
          </cell>
          <cell r="P266">
            <v>80</v>
          </cell>
          <cell r="Q266">
            <v>80</v>
          </cell>
          <cell r="R266">
            <v>90</v>
          </cell>
          <cell r="S266" t="str">
            <v>3)</v>
          </cell>
          <cell r="T266" t="str">
            <v>3)</v>
          </cell>
        </row>
        <row r="267">
          <cell r="A267" t="str">
            <v>Mähwiese/-weide fünf Nutzungen &lt; 40 % Leguminosenanteil</v>
          </cell>
          <cell r="B267" t="str">
            <v>-</v>
          </cell>
          <cell r="C267">
            <v>200</v>
          </cell>
          <cell r="D267" t="str">
            <v>-</v>
          </cell>
          <cell r="E267">
            <v>250</v>
          </cell>
          <cell r="F267">
            <v>210</v>
          </cell>
          <cell r="G267" t="str">
            <v>-</v>
          </cell>
          <cell r="H267">
            <v>250</v>
          </cell>
          <cell r="I267">
            <v>210</v>
          </cell>
          <cell r="J267" t="str">
            <v>-</v>
          </cell>
          <cell r="K267">
            <v>250</v>
          </cell>
          <cell r="L267" t="str">
            <v>-</v>
          </cell>
          <cell r="M267">
            <v>250</v>
          </cell>
          <cell r="N267">
            <v>120</v>
          </cell>
          <cell r="O267">
            <v>100</v>
          </cell>
          <cell r="P267">
            <v>85</v>
          </cell>
          <cell r="Q267">
            <v>85</v>
          </cell>
          <cell r="R267">
            <v>105</v>
          </cell>
          <cell r="S267" t="str">
            <v>3)</v>
          </cell>
          <cell r="T267" t="str">
            <v>3)</v>
          </cell>
        </row>
        <row r="268">
          <cell r="A268" t="str">
            <v>Naturdenkmal Alm</v>
          </cell>
          <cell r="B268" t="str">
            <v>-</v>
          </cell>
          <cell r="C268">
            <v>0</v>
          </cell>
          <cell r="D268" t="str">
            <v>-</v>
          </cell>
          <cell r="E268">
            <v>0</v>
          </cell>
          <cell r="F268">
            <v>0</v>
          </cell>
          <cell r="G268" t="str">
            <v>-</v>
          </cell>
          <cell r="H268">
            <v>0</v>
          </cell>
          <cell r="I268">
            <v>0</v>
          </cell>
          <cell r="J268" t="str">
            <v>-</v>
          </cell>
          <cell r="K268">
            <v>0</v>
          </cell>
          <cell r="L268" t="str">
            <v>-</v>
          </cell>
          <cell r="M268">
            <v>0</v>
          </cell>
          <cell r="N268">
            <v>0</v>
          </cell>
          <cell r="O268">
            <v>0</v>
          </cell>
          <cell r="P268">
            <v>0</v>
          </cell>
          <cell r="Q268">
            <v>0</v>
          </cell>
          <cell r="R268">
            <v>0</v>
          </cell>
          <cell r="S268" t="str">
            <v>-</v>
          </cell>
          <cell r="T268" t="str">
            <v>-</v>
          </cell>
        </row>
        <row r="269">
          <cell r="A269" t="str">
            <v>Naturdenkmal G</v>
          </cell>
          <cell r="B269" t="str">
            <v>-</v>
          </cell>
          <cell r="C269">
            <v>0</v>
          </cell>
          <cell r="D269" t="str">
            <v>-</v>
          </cell>
          <cell r="E269">
            <v>0</v>
          </cell>
          <cell r="F269">
            <v>0</v>
          </cell>
          <cell r="G269" t="str">
            <v>-</v>
          </cell>
          <cell r="H269">
            <v>0</v>
          </cell>
          <cell r="I269">
            <v>0</v>
          </cell>
          <cell r="J269" t="str">
            <v>-</v>
          </cell>
          <cell r="K269">
            <v>0</v>
          </cell>
          <cell r="L269" t="str">
            <v>-</v>
          </cell>
          <cell r="M269">
            <v>0</v>
          </cell>
          <cell r="N269">
            <v>0</v>
          </cell>
          <cell r="O269">
            <v>0</v>
          </cell>
          <cell r="P269">
            <v>0</v>
          </cell>
          <cell r="Q269">
            <v>0</v>
          </cell>
          <cell r="R269">
            <v>0</v>
          </cell>
          <cell r="S269" t="str">
            <v>-</v>
          </cell>
          <cell r="T269" t="str">
            <v>-</v>
          </cell>
        </row>
        <row r="270">
          <cell r="A270" t="str">
            <v>Sämereienvermehrung mit Alpingräser</v>
          </cell>
          <cell r="B270" t="str">
            <v>&lt; 0,1</v>
          </cell>
          <cell r="C270">
            <v>80</v>
          </cell>
          <cell r="D270" t="str">
            <v>0,1 - 0,4</v>
          </cell>
          <cell r="E270">
            <v>110</v>
          </cell>
          <cell r="G270" t="str">
            <v>0,4 - 0,5</v>
          </cell>
          <cell r="H270">
            <v>130</v>
          </cell>
          <cell r="J270" t="str">
            <v>0,5 - 0,6</v>
          </cell>
          <cell r="K270">
            <v>140</v>
          </cell>
          <cell r="L270" t="str">
            <v>&gt; 0,6</v>
          </cell>
          <cell r="M270">
            <v>150</v>
          </cell>
          <cell r="N270">
            <v>85</v>
          </cell>
          <cell r="O270">
            <v>70</v>
          </cell>
          <cell r="P270">
            <v>60</v>
          </cell>
          <cell r="Q270">
            <v>60</v>
          </cell>
          <cell r="R270">
            <v>60</v>
          </cell>
          <cell r="S270" t="str">
            <v>3)</v>
          </cell>
          <cell r="T270" t="str">
            <v>3)</v>
          </cell>
        </row>
        <row r="271">
          <cell r="A271" t="str">
            <v>Sämereienvermehrung mit Gräser für Wirtschaftsgrünland</v>
          </cell>
          <cell r="B271" t="str">
            <v>&lt; 0,2</v>
          </cell>
          <cell r="C271">
            <v>88</v>
          </cell>
          <cell r="D271" t="str">
            <v>0,2 - 0,7</v>
          </cell>
          <cell r="E271">
            <v>121</v>
          </cell>
          <cell r="G271" t="str">
            <v>0,7 - 0,9</v>
          </cell>
          <cell r="H271">
            <v>143</v>
          </cell>
          <cell r="J271" t="str">
            <v>0,9 - 1,1</v>
          </cell>
          <cell r="K271">
            <v>154</v>
          </cell>
          <cell r="L271" t="str">
            <v>&gt; 1,1</v>
          </cell>
          <cell r="M271">
            <v>165</v>
          </cell>
          <cell r="N271">
            <v>110</v>
          </cell>
          <cell r="O271">
            <v>95</v>
          </cell>
          <cell r="P271">
            <v>80</v>
          </cell>
          <cell r="Q271">
            <v>80</v>
          </cell>
          <cell r="R271">
            <v>100</v>
          </cell>
          <cell r="S271" t="str">
            <v>3)</v>
          </cell>
          <cell r="T271" t="str">
            <v>3)</v>
          </cell>
        </row>
        <row r="272">
          <cell r="A272" t="str">
            <v>Sämereienvermehrung mit Rotklee</v>
          </cell>
          <cell r="B272" t="str">
            <v>&lt; 0,3</v>
          </cell>
          <cell r="C272">
            <v>16</v>
          </cell>
          <cell r="D272" t="str">
            <v>0,3 - 0,5</v>
          </cell>
          <cell r="E272">
            <v>22</v>
          </cell>
          <cell r="G272" t="str">
            <v>0,5 - 0,7</v>
          </cell>
          <cell r="H272">
            <v>22</v>
          </cell>
          <cell r="J272" t="str">
            <v>0,7 - 1</v>
          </cell>
          <cell r="K272">
            <v>22</v>
          </cell>
          <cell r="L272" t="str">
            <v>&gt; 1</v>
          </cell>
          <cell r="M272">
            <v>22</v>
          </cell>
          <cell r="N272">
            <v>140</v>
          </cell>
          <cell r="O272">
            <v>120</v>
          </cell>
          <cell r="P272">
            <v>100</v>
          </cell>
          <cell r="Q272">
            <v>100</v>
          </cell>
          <cell r="R272">
            <v>120</v>
          </cell>
          <cell r="S272" t="str">
            <v>3)</v>
          </cell>
          <cell r="T272" t="str">
            <v>3)</v>
          </cell>
        </row>
        <row r="273">
          <cell r="A273" t="str">
            <v>Sonstige Grünlandflächen</v>
          </cell>
          <cell r="B273" t="str">
            <v>-</v>
          </cell>
          <cell r="C273">
            <v>0</v>
          </cell>
          <cell r="D273" t="str">
            <v>-</v>
          </cell>
          <cell r="E273">
            <v>0</v>
          </cell>
          <cell r="F273">
            <v>0</v>
          </cell>
          <cell r="G273" t="str">
            <v>-</v>
          </cell>
          <cell r="H273">
            <v>0</v>
          </cell>
          <cell r="I273">
            <v>0</v>
          </cell>
          <cell r="J273" t="str">
            <v>-</v>
          </cell>
          <cell r="K273">
            <v>0</v>
          </cell>
          <cell r="L273" t="str">
            <v>-</v>
          </cell>
          <cell r="M273">
            <v>0</v>
          </cell>
          <cell r="N273">
            <v>0</v>
          </cell>
          <cell r="O273">
            <v>0</v>
          </cell>
          <cell r="P273">
            <v>0</v>
          </cell>
          <cell r="Q273">
            <v>0</v>
          </cell>
          <cell r="R273">
            <v>0</v>
          </cell>
          <cell r="S273" t="str">
            <v xml:space="preserve"> -</v>
          </cell>
          <cell r="T273" t="str">
            <v xml:space="preserve"> -</v>
          </cell>
        </row>
        <row r="274">
          <cell r="A274" t="str">
            <v>Streuwiese</v>
          </cell>
          <cell r="B274" t="str">
            <v>-</v>
          </cell>
          <cell r="C274">
            <v>30</v>
          </cell>
          <cell r="D274" t="str">
            <v>-</v>
          </cell>
          <cell r="E274">
            <v>30</v>
          </cell>
          <cell r="F274">
            <v>30</v>
          </cell>
          <cell r="G274" t="str">
            <v>-</v>
          </cell>
          <cell r="H274">
            <v>30</v>
          </cell>
          <cell r="I274">
            <v>30</v>
          </cell>
          <cell r="J274" t="str">
            <v>-</v>
          </cell>
          <cell r="K274">
            <v>30</v>
          </cell>
          <cell r="L274" t="str">
            <v>-</v>
          </cell>
          <cell r="M274">
            <v>30</v>
          </cell>
          <cell r="N274">
            <v>40</v>
          </cell>
          <cell r="O274">
            <v>35</v>
          </cell>
          <cell r="P274">
            <v>30</v>
          </cell>
          <cell r="Q274">
            <v>30</v>
          </cell>
          <cell r="R274">
            <v>30</v>
          </cell>
          <cell r="S274" t="str">
            <v>3)</v>
          </cell>
          <cell r="T274" t="str">
            <v>3)</v>
          </cell>
        </row>
        <row r="275">
          <cell r="A275" t="str">
            <v>Obst und Hopfen:</v>
          </cell>
        </row>
        <row r="276">
          <cell r="A276" t="str">
            <v>Brombeere</v>
          </cell>
          <cell r="B276" t="str">
            <v>-</v>
          </cell>
          <cell r="C276">
            <v>70</v>
          </cell>
          <cell r="D276" t="str">
            <v>-</v>
          </cell>
          <cell r="E276">
            <v>70</v>
          </cell>
          <cell r="F276">
            <v>70</v>
          </cell>
          <cell r="G276" t="str">
            <v>-</v>
          </cell>
          <cell r="H276">
            <v>70</v>
          </cell>
          <cell r="I276">
            <v>70</v>
          </cell>
          <cell r="J276" t="str">
            <v>-</v>
          </cell>
          <cell r="K276">
            <v>70</v>
          </cell>
          <cell r="L276" t="str">
            <v>-</v>
          </cell>
          <cell r="M276">
            <v>70</v>
          </cell>
          <cell r="N276">
            <v>70</v>
          </cell>
          <cell r="O276">
            <v>55</v>
          </cell>
          <cell r="P276">
            <v>25</v>
          </cell>
          <cell r="Q276">
            <v>35</v>
          </cell>
          <cell r="R276">
            <v>45</v>
          </cell>
          <cell r="S276">
            <v>20</v>
          </cell>
          <cell r="T276" t="str">
            <v>-</v>
          </cell>
        </row>
        <row r="277">
          <cell r="A277" t="str">
            <v>Edelkastanien</v>
          </cell>
          <cell r="B277" t="str">
            <v>-</v>
          </cell>
          <cell r="C277">
            <v>60</v>
          </cell>
          <cell r="D277" t="str">
            <v>-</v>
          </cell>
          <cell r="E277">
            <v>60</v>
          </cell>
          <cell r="F277">
            <v>60</v>
          </cell>
          <cell r="G277" t="str">
            <v>-</v>
          </cell>
          <cell r="H277">
            <v>60</v>
          </cell>
          <cell r="I277">
            <v>60</v>
          </cell>
          <cell r="J277" t="str">
            <v>-</v>
          </cell>
          <cell r="K277">
            <v>60</v>
          </cell>
          <cell r="L277" t="str">
            <v>-</v>
          </cell>
          <cell r="M277">
            <v>60</v>
          </cell>
          <cell r="N277">
            <v>80</v>
          </cell>
          <cell r="O277">
            <v>60</v>
          </cell>
          <cell r="P277">
            <v>35</v>
          </cell>
          <cell r="Q277">
            <v>40</v>
          </cell>
          <cell r="R277">
            <v>45</v>
          </cell>
          <cell r="S277">
            <v>20</v>
          </cell>
          <cell r="T277" t="str">
            <v>-</v>
          </cell>
        </row>
        <row r="278">
          <cell r="A278" t="str">
            <v>Heidelbeere</v>
          </cell>
          <cell r="B278" t="str">
            <v>-</v>
          </cell>
          <cell r="C278">
            <v>40</v>
          </cell>
          <cell r="D278" t="str">
            <v>-</v>
          </cell>
          <cell r="E278">
            <v>40</v>
          </cell>
          <cell r="F278">
            <v>40</v>
          </cell>
          <cell r="G278" t="str">
            <v>-</v>
          </cell>
          <cell r="H278">
            <v>40</v>
          </cell>
          <cell r="I278">
            <v>40</v>
          </cell>
          <cell r="J278" t="str">
            <v>-</v>
          </cell>
          <cell r="K278">
            <v>40</v>
          </cell>
          <cell r="L278" t="str">
            <v>-</v>
          </cell>
          <cell r="M278">
            <v>40</v>
          </cell>
          <cell r="N278">
            <v>50</v>
          </cell>
          <cell r="O278">
            <v>40</v>
          </cell>
          <cell r="P278">
            <v>20</v>
          </cell>
          <cell r="Q278">
            <v>25</v>
          </cell>
          <cell r="R278">
            <v>35</v>
          </cell>
          <cell r="S278">
            <v>15</v>
          </cell>
          <cell r="T278" t="str">
            <v>-</v>
          </cell>
        </row>
        <row r="279">
          <cell r="A279" t="str">
            <v>Himbeere</v>
          </cell>
          <cell r="B279" t="str">
            <v>-</v>
          </cell>
          <cell r="C279">
            <v>60</v>
          </cell>
          <cell r="D279" t="str">
            <v>-</v>
          </cell>
          <cell r="E279">
            <v>60</v>
          </cell>
          <cell r="F279">
            <v>60</v>
          </cell>
          <cell r="G279" t="str">
            <v>-</v>
          </cell>
          <cell r="H279">
            <v>60</v>
          </cell>
          <cell r="I279">
            <v>60</v>
          </cell>
          <cell r="J279" t="str">
            <v>-</v>
          </cell>
          <cell r="K279">
            <v>60</v>
          </cell>
          <cell r="L279" t="str">
            <v>-</v>
          </cell>
          <cell r="M279">
            <v>60</v>
          </cell>
          <cell r="N279">
            <v>60</v>
          </cell>
          <cell r="O279">
            <v>45</v>
          </cell>
          <cell r="P279">
            <v>20</v>
          </cell>
          <cell r="Q279">
            <v>30</v>
          </cell>
          <cell r="R279">
            <v>40</v>
          </cell>
          <cell r="S279">
            <v>15</v>
          </cell>
          <cell r="T279" t="str">
            <v>-</v>
          </cell>
        </row>
        <row r="280">
          <cell r="A280" t="str">
            <v>Holunder</v>
          </cell>
          <cell r="B280" t="str">
            <v>-</v>
          </cell>
          <cell r="C280">
            <v>175</v>
          </cell>
          <cell r="D280" t="str">
            <v>-</v>
          </cell>
          <cell r="E280">
            <v>175</v>
          </cell>
          <cell r="F280">
            <v>175</v>
          </cell>
          <cell r="G280" t="str">
            <v>-</v>
          </cell>
          <cell r="H280">
            <v>175</v>
          </cell>
          <cell r="I280">
            <v>175</v>
          </cell>
          <cell r="J280" t="str">
            <v>-</v>
          </cell>
          <cell r="K280">
            <v>175</v>
          </cell>
          <cell r="L280" t="str">
            <v>-</v>
          </cell>
          <cell r="M280">
            <v>175</v>
          </cell>
          <cell r="N280">
            <v>80</v>
          </cell>
          <cell r="O280">
            <v>60</v>
          </cell>
          <cell r="P280">
            <v>30</v>
          </cell>
          <cell r="Q280">
            <v>40</v>
          </cell>
          <cell r="R280">
            <v>50</v>
          </cell>
          <cell r="S280">
            <v>20</v>
          </cell>
          <cell r="T280" t="str">
            <v>-</v>
          </cell>
        </row>
        <row r="281">
          <cell r="A281" t="str">
            <v>Hopfen</v>
          </cell>
          <cell r="B281" t="str">
            <v>&lt; 1</v>
          </cell>
          <cell r="C281">
            <v>150</v>
          </cell>
          <cell r="D281" t="str">
            <v>1 - 1,5</v>
          </cell>
          <cell r="E281">
            <v>150</v>
          </cell>
          <cell r="F281">
            <v>150</v>
          </cell>
          <cell r="G281" t="str">
            <v>1,5 - 2</v>
          </cell>
          <cell r="H281">
            <v>175</v>
          </cell>
          <cell r="I281">
            <v>175</v>
          </cell>
          <cell r="J281" t="str">
            <v>2 - 2,5</v>
          </cell>
          <cell r="K281">
            <v>175</v>
          </cell>
          <cell r="L281" t="str">
            <v>&gt; 2,5</v>
          </cell>
          <cell r="M281">
            <v>175</v>
          </cell>
          <cell r="N281">
            <v>90</v>
          </cell>
          <cell r="O281">
            <v>70</v>
          </cell>
          <cell r="P281">
            <v>35</v>
          </cell>
          <cell r="Q281">
            <v>45</v>
          </cell>
          <cell r="R281">
            <v>60</v>
          </cell>
          <cell r="S281">
            <v>25</v>
          </cell>
          <cell r="T281" t="str">
            <v>-</v>
          </cell>
        </row>
        <row r="282">
          <cell r="A282" t="str">
            <v>Kirschen</v>
          </cell>
          <cell r="B282" t="str">
            <v>-</v>
          </cell>
          <cell r="C282">
            <v>90</v>
          </cell>
          <cell r="D282" t="str">
            <v>-</v>
          </cell>
          <cell r="E282">
            <v>90</v>
          </cell>
          <cell r="F282">
            <v>90</v>
          </cell>
          <cell r="G282" t="str">
            <v>-</v>
          </cell>
          <cell r="H282">
            <v>90</v>
          </cell>
          <cell r="I282">
            <v>90</v>
          </cell>
          <cell r="J282" t="str">
            <v>-</v>
          </cell>
          <cell r="K282">
            <v>90</v>
          </cell>
          <cell r="L282" t="str">
            <v>-</v>
          </cell>
          <cell r="M282">
            <v>90</v>
          </cell>
          <cell r="N282">
            <v>70</v>
          </cell>
          <cell r="O282">
            <v>55</v>
          </cell>
          <cell r="P282">
            <v>25</v>
          </cell>
          <cell r="Q282">
            <v>35</v>
          </cell>
          <cell r="R282">
            <v>45</v>
          </cell>
          <cell r="S282">
            <v>20</v>
          </cell>
          <cell r="T282" t="str">
            <v>-</v>
          </cell>
        </row>
        <row r="283">
          <cell r="A283" t="str">
            <v>Marille</v>
          </cell>
          <cell r="B283" t="str">
            <v>-</v>
          </cell>
          <cell r="C283">
            <v>110</v>
          </cell>
          <cell r="D283" t="str">
            <v>-</v>
          </cell>
          <cell r="E283">
            <v>110</v>
          </cell>
          <cell r="F283">
            <v>110</v>
          </cell>
          <cell r="G283" t="str">
            <v>-</v>
          </cell>
          <cell r="H283">
            <v>110</v>
          </cell>
          <cell r="I283">
            <v>110</v>
          </cell>
          <cell r="J283" t="str">
            <v>-</v>
          </cell>
          <cell r="K283">
            <v>110</v>
          </cell>
          <cell r="L283" t="str">
            <v>-</v>
          </cell>
          <cell r="M283">
            <v>110</v>
          </cell>
          <cell r="N283">
            <v>90</v>
          </cell>
          <cell r="O283">
            <v>70</v>
          </cell>
          <cell r="P283">
            <v>35</v>
          </cell>
          <cell r="Q283">
            <v>45</v>
          </cell>
          <cell r="R283">
            <v>55</v>
          </cell>
          <cell r="S283">
            <v>25</v>
          </cell>
          <cell r="T283" t="str">
            <v>-</v>
          </cell>
        </row>
        <row r="284">
          <cell r="A284" t="str">
            <v>Naturdenkmal S</v>
          </cell>
          <cell r="B284" t="str">
            <v>-</v>
          </cell>
          <cell r="C284">
            <v>0</v>
          </cell>
          <cell r="D284" t="str">
            <v>-</v>
          </cell>
          <cell r="E284">
            <v>0</v>
          </cell>
          <cell r="F284">
            <v>0</v>
          </cell>
          <cell r="G284" t="str">
            <v>-</v>
          </cell>
          <cell r="H284">
            <v>0</v>
          </cell>
          <cell r="I284">
            <v>0</v>
          </cell>
          <cell r="J284" t="str">
            <v>-</v>
          </cell>
          <cell r="K284">
            <v>0</v>
          </cell>
          <cell r="L284" t="str">
            <v>-</v>
          </cell>
          <cell r="M284">
            <v>0</v>
          </cell>
          <cell r="N284">
            <v>0</v>
          </cell>
          <cell r="O284">
            <v>0</v>
          </cell>
          <cell r="P284">
            <v>0</v>
          </cell>
          <cell r="Q284">
            <v>0</v>
          </cell>
          <cell r="R284">
            <v>0</v>
          </cell>
          <cell r="S284" t="str">
            <v xml:space="preserve"> -</v>
          </cell>
          <cell r="T284" t="str">
            <v>-</v>
          </cell>
        </row>
        <row r="285">
          <cell r="A285" t="str">
            <v>Nektarinen</v>
          </cell>
          <cell r="B285" t="str">
            <v>-</v>
          </cell>
          <cell r="C285">
            <v>90</v>
          </cell>
          <cell r="D285" t="str">
            <v>-</v>
          </cell>
          <cell r="E285">
            <v>90</v>
          </cell>
          <cell r="F285">
            <v>90</v>
          </cell>
          <cell r="G285" t="str">
            <v>-</v>
          </cell>
          <cell r="H285">
            <v>90</v>
          </cell>
          <cell r="I285">
            <v>90</v>
          </cell>
          <cell r="J285" t="str">
            <v>-</v>
          </cell>
          <cell r="K285">
            <v>90</v>
          </cell>
          <cell r="L285" t="str">
            <v>-</v>
          </cell>
          <cell r="M285">
            <v>90</v>
          </cell>
          <cell r="N285">
            <v>80</v>
          </cell>
          <cell r="O285">
            <v>60</v>
          </cell>
          <cell r="P285">
            <v>30</v>
          </cell>
          <cell r="Q285">
            <v>40</v>
          </cell>
          <cell r="R285">
            <v>45</v>
          </cell>
          <cell r="S285">
            <v>20</v>
          </cell>
          <cell r="T285" t="str">
            <v>-</v>
          </cell>
        </row>
        <row r="286">
          <cell r="A286" t="str">
            <v>Nicht IP-fähiges Obst</v>
          </cell>
          <cell r="B286" t="str">
            <v>-</v>
          </cell>
          <cell r="C286">
            <v>60</v>
          </cell>
          <cell r="D286" t="str">
            <v>-</v>
          </cell>
          <cell r="E286">
            <v>60</v>
          </cell>
          <cell r="F286">
            <v>60</v>
          </cell>
          <cell r="G286" t="str">
            <v>-</v>
          </cell>
          <cell r="H286">
            <v>60</v>
          </cell>
          <cell r="I286">
            <v>60</v>
          </cell>
          <cell r="J286" t="str">
            <v>-</v>
          </cell>
          <cell r="K286">
            <v>60</v>
          </cell>
          <cell r="L286" t="str">
            <v>-</v>
          </cell>
          <cell r="M286">
            <v>60</v>
          </cell>
          <cell r="N286">
            <v>80</v>
          </cell>
          <cell r="O286">
            <v>60</v>
          </cell>
          <cell r="P286">
            <v>30</v>
          </cell>
          <cell r="Q286">
            <v>40</v>
          </cell>
          <cell r="R286">
            <v>45</v>
          </cell>
          <cell r="S286">
            <v>20</v>
          </cell>
          <cell r="T286" t="str">
            <v>-</v>
          </cell>
        </row>
        <row r="287">
          <cell r="A287" t="str">
            <v>Obst/Hopfen Bodengesundung</v>
          </cell>
          <cell r="B287" t="str">
            <v>-</v>
          </cell>
          <cell r="C287">
            <v>0</v>
          </cell>
          <cell r="D287" t="str">
            <v>-</v>
          </cell>
          <cell r="E287">
            <v>0</v>
          </cell>
          <cell r="F287">
            <v>0</v>
          </cell>
          <cell r="G287" t="str">
            <v>-</v>
          </cell>
          <cell r="H287">
            <v>0</v>
          </cell>
          <cell r="I287">
            <v>0</v>
          </cell>
          <cell r="J287" t="str">
            <v>-</v>
          </cell>
          <cell r="K287">
            <v>0</v>
          </cell>
          <cell r="L287" t="str">
            <v>-</v>
          </cell>
          <cell r="M287">
            <v>0</v>
          </cell>
          <cell r="N287">
            <v>0</v>
          </cell>
          <cell r="O287">
            <v>0</v>
          </cell>
          <cell r="P287">
            <v>0</v>
          </cell>
          <cell r="Q287">
            <v>0</v>
          </cell>
          <cell r="R287">
            <v>0</v>
          </cell>
          <cell r="S287" t="str">
            <v xml:space="preserve"> -</v>
          </cell>
          <cell r="T287" t="str">
            <v>-</v>
          </cell>
        </row>
        <row r="288">
          <cell r="A288" t="str">
            <v>Pfirsiche</v>
          </cell>
          <cell r="B288" t="str">
            <v>-</v>
          </cell>
          <cell r="C288">
            <v>90</v>
          </cell>
          <cell r="D288" t="str">
            <v>-</v>
          </cell>
          <cell r="E288">
            <v>90</v>
          </cell>
          <cell r="F288">
            <v>90</v>
          </cell>
          <cell r="G288" t="str">
            <v>-</v>
          </cell>
          <cell r="H288">
            <v>90</v>
          </cell>
          <cell r="I288">
            <v>90</v>
          </cell>
          <cell r="J288" t="str">
            <v>-</v>
          </cell>
          <cell r="K288">
            <v>90</v>
          </cell>
          <cell r="L288" t="str">
            <v>-</v>
          </cell>
          <cell r="M288">
            <v>90</v>
          </cell>
          <cell r="N288">
            <v>80</v>
          </cell>
          <cell r="O288">
            <v>60</v>
          </cell>
          <cell r="P288">
            <v>30</v>
          </cell>
          <cell r="Q288">
            <v>40</v>
          </cell>
          <cell r="R288">
            <v>45</v>
          </cell>
          <cell r="S288">
            <v>20</v>
          </cell>
          <cell r="T288" t="str">
            <v>-</v>
          </cell>
        </row>
        <row r="289">
          <cell r="A289" t="str">
            <v>Pflaumen</v>
          </cell>
          <cell r="B289" t="str">
            <v>-</v>
          </cell>
          <cell r="C289">
            <v>110</v>
          </cell>
          <cell r="D289" t="str">
            <v>-</v>
          </cell>
          <cell r="E289">
            <v>110</v>
          </cell>
          <cell r="F289">
            <v>110</v>
          </cell>
          <cell r="G289" t="str">
            <v>-</v>
          </cell>
          <cell r="H289">
            <v>110</v>
          </cell>
          <cell r="I289">
            <v>110</v>
          </cell>
          <cell r="J289" t="str">
            <v>-</v>
          </cell>
          <cell r="K289">
            <v>110</v>
          </cell>
          <cell r="L289" t="str">
            <v>-</v>
          </cell>
          <cell r="M289">
            <v>110</v>
          </cell>
          <cell r="N289">
            <v>90</v>
          </cell>
          <cell r="O289">
            <v>70</v>
          </cell>
          <cell r="P289">
            <v>35</v>
          </cell>
          <cell r="Q289">
            <v>45</v>
          </cell>
          <cell r="R289">
            <v>55</v>
          </cell>
          <cell r="S289">
            <v>25</v>
          </cell>
          <cell r="T289" t="str">
            <v>-</v>
          </cell>
        </row>
        <row r="290">
          <cell r="A290" t="str">
            <v>Preiselbeere</v>
          </cell>
          <cell r="B290" t="str">
            <v>-</v>
          </cell>
          <cell r="C290">
            <v>40</v>
          </cell>
          <cell r="D290" t="str">
            <v>-</v>
          </cell>
          <cell r="E290">
            <v>40</v>
          </cell>
          <cell r="F290">
            <v>40</v>
          </cell>
          <cell r="G290" t="str">
            <v>-</v>
          </cell>
          <cell r="H290">
            <v>40</v>
          </cell>
          <cell r="I290">
            <v>40</v>
          </cell>
          <cell r="J290" t="str">
            <v>-</v>
          </cell>
          <cell r="K290">
            <v>40</v>
          </cell>
          <cell r="L290" t="str">
            <v>-</v>
          </cell>
          <cell r="M290">
            <v>40</v>
          </cell>
          <cell r="N290" t="str">
            <v>manuelle Eingabe erforderlich</v>
          </cell>
        </row>
        <row r="291">
          <cell r="A291" t="str">
            <v>Quitten</v>
          </cell>
          <cell r="B291" t="str">
            <v>-</v>
          </cell>
          <cell r="C291">
            <v>90</v>
          </cell>
          <cell r="D291" t="str">
            <v>-</v>
          </cell>
          <cell r="E291">
            <v>90</v>
          </cell>
          <cell r="F291">
            <v>90</v>
          </cell>
          <cell r="G291" t="str">
            <v>-</v>
          </cell>
          <cell r="H291">
            <v>90</v>
          </cell>
          <cell r="I291">
            <v>90</v>
          </cell>
          <cell r="J291" t="str">
            <v>-</v>
          </cell>
          <cell r="K291">
            <v>90</v>
          </cell>
          <cell r="L291" t="str">
            <v>-</v>
          </cell>
          <cell r="M291">
            <v>90</v>
          </cell>
          <cell r="N291">
            <v>80</v>
          </cell>
          <cell r="O291">
            <v>60</v>
          </cell>
          <cell r="P291">
            <v>30</v>
          </cell>
          <cell r="Q291">
            <v>40</v>
          </cell>
          <cell r="R291">
            <v>45</v>
          </cell>
          <cell r="S291">
            <v>20</v>
          </cell>
          <cell r="T291" t="str">
            <v>-</v>
          </cell>
        </row>
        <row r="292">
          <cell r="A292" t="str">
            <v>Rote Johannisbeere</v>
          </cell>
          <cell r="B292" t="str">
            <v>-</v>
          </cell>
          <cell r="C292">
            <v>120</v>
          </cell>
          <cell r="D292" t="str">
            <v>-</v>
          </cell>
          <cell r="E292">
            <v>120</v>
          </cell>
          <cell r="F292">
            <v>120</v>
          </cell>
          <cell r="G292" t="str">
            <v>-</v>
          </cell>
          <cell r="H292">
            <v>120</v>
          </cell>
          <cell r="I292">
            <v>120</v>
          </cell>
          <cell r="J292" t="str">
            <v>-</v>
          </cell>
          <cell r="K292">
            <v>120</v>
          </cell>
          <cell r="L292" t="str">
            <v>-</v>
          </cell>
          <cell r="M292">
            <v>120</v>
          </cell>
          <cell r="N292">
            <v>110</v>
          </cell>
          <cell r="O292">
            <v>85</v>
          </cell>
          <cell r="P292">
            <v>35</v>
          </cell>
          <cell r="Q292">
            <v>55</v>
          </cell>
          <cell r="R292">
            <v>60</v>
          </cell>
          <cell r="S292">
            <v>30</v>
          </cell>
          <cell r="T292" t="str">
            <v>-</v>
          </cell>
        </row>
        <row r="293">
          <cell r="A293" t="str">
            <v>Schalenfrüchte (Walnüsse, Haselnüsse,...)</v>
          </cell>
          <cell r="B293" t="str">
            <v>-</v>
          </cell>
          <cell r="C293">
            <v>60</v>
          </cell>
          <cell r="D293" t="str">
            <v>-</v>
          </cell>
          <cell r="E293">
            <v>60</v>
          </cell>
          <cell r="F293">
            <v>60</v>
          </cell>
          <cell r="G293" t="str">
            <v>-</v>
          </cell>
          <cell r="H293">
            <v>60</v>
          </cell>
          <cell r="I293">
            <v>60</v>
          </cell>
          <cell r="J293" t="str">
            <v>-</v>
          </cell>
          <cell r="K293">
            <v>60</v>
          </cell>
          <cell r="L293" t="str">
            <v>-</v>
          </cell>
          <cell r="M293">
            <v>60</v>
          </cell>
          <cell r="N293">
            <v>120</v>
          </cell>
          <cell r="O293">
            <v>90</v>
          </cell>
          <cell r="P293">
            <v>60</v>
          </cell>
          <cell r="Q293">
            <v>60</v>
          </cell>
          <cell r="R293">
            <v>60</v>
          </cell>
          <cell r="S293">
            <v>30</v>
          </cell>
          <cell r="T293" t="str">
            <v>-</v>
          </cell>
        </row>
        <row r="294">
          <cell r="A294" t="str">
            <v>Schwarze Johannisbeere</v>
          </cell>
          <cell r="B294" t="str">
            <v>-</v>
          </cell>
          <cell r="C294">
            <v>90</v>
          </cell>
          <cell r="D294" t="str">
            <v>-</v>
          </cell>
          <cell r="E294">
            <v>90</v>
          </cell>
          <cell r="F294">
            <v>90</v>
          </cell>
          <cell r="G294" t="str">
            <v>-</v>
          </cell>
          <cell r="H294">
            <v>90</v>
          </cell>
          <cell r="I294">
            <v>90</v>
          </cell>
          <cell r="J294" t="str">
            <v>-</v>
          </cell>
          <cell r="K294">
            <v>90</v>
          </cell>
          <cell r="L294" t="str">
            <v>-</v>
          </cell>
          <cell r="M294">
            <v>90</v>
          </cell>
          <cell r="N294">
            <v>90</v>
          </cell>
          <cell r="O294">
            <v>70</v>
          </cell>
          <cell r="P294">
            <v>30</v>
          </cell>
          <cell r="Q294">
            <v>45</v>
          </cell>
          <cell r="R294">
            <v>60</v>
          </cell>
          <cell r="S294">
            <v>25</v>
          </cell>
          <cell r="T294" t="str">
            <v>-</v>
          </cell>
        </row>
        <row r="295">
          <cell r="A295" t="str">
            <v>Sonstige Spezialkulturflächen</v>
          </cell>
          <cell r="B295" t="str">
            <v>-</v>
          </cell>
          <cell r="C295">
            <v>0</v>
          </cell>
          <cell r="D295" t="str">
            <v>-</v>
          </cell>
          <cell r="E295">
            <v>0</v>
          </cell>
          <cell r="F295">
            <v>0</v>
          </cell>
          <cell r="G295" t="str">
            <v>-</v>
          </cell>
          <cell r="H295">
            <v>0</v>
          </cell>
          <cell r="I295">
            <v>0</v>
          </cell>
          <cell r="J295" t="str">
            <v>-</v>
          </cell>
          <cell r="K295">
            <v>0</v>
          </cell>
          <cell r="L295" t="str">
            <v>-</v>
          </cell>
          <cell r="M295">
            <v>0</v>
          </cell>
          <cell r="N295">
            <v>0</v>
          </cell>
          <cell r="O295">
            <v>0</v>
          </cell>
          <cell r="P295">
            <v>0</v>
          </cell>
          <cell r="Q295">
            <v>0</v>
          </cell>
          <cell r="R295">
            <v>0</v>
          </cell>
          <cell r="S295" t="str">
            <v xml:space="preserve"> -</v>
          </cell>
          <cell r="T295" t="str">
            <v>-</v>
          </cell>
        </row>
        <row r="296">
          <cell r="A296" t="str">
            <v>Stachelbeere</v>
          </cell>
          <cell r="B296" t="str">
            <v>-</v>
          </cell>
          <cell r="C296">
            <v>90</v>
          </cell>
          <cell r="D296" t="str">
            <v>-</v>
          </cell>
          <cell r="E296">
            <v>90</v>
          </cell>
          <cell r="F296">
            <v>90</v>
          </cell>
          <cell r="G296" t="str">
            <v>-</v>
          </cell>
          <cell r="H296">
            <v>90</v>
          </cell>
          <cell r="I296">
            <v>90</v>
          </cell>
          <cell r="J296" t="str">
            <v>-</v>
          </cell>
          <cell r="K296">
            <v>90</v>
          </cell>
          <cell r="L296" t="str">
            <v>-</v>
          </cell>
          <cell r="M296">
            <v>90</v>
          </cell>
          <cell r="N296">
            <v>70</v>
          </cell>
          <cell r="O296">
            <v>55</v>
          </cell>
          <cell r="P296">
            <v>25</v>
          </cell>
          <cell r="Q296">
            <v>35</v>
          </cell>
          <cell r="R296">
            <v>45</v>
          </cell>
          <cell r="S296">
            <v>20</v>
          </cell>
          <cell r="T296" t="str">
            <v>-</v>
          </cell>
        </row>
        <row r="297">
          <cell r="A297" t="str">
            <v>Tafeläpfel</v>
          </cell>
          <cell r="B297" t="str">
            <v>-</v>
          </cell>
          <cell r="C297">
            <v>90</v>
          </cell>
          <cell r="D297" t="str">
            <v>-</v>
          </cell>
          <cell r="E297">
            <v>90</v>
          </cell>
          <cell r="F297">
            <v>90</v>
          </cell>
          <cell r="G297" t="str">
            <v>-</v>
          </cell>
          <cell r="H297">
            <v>90</v>
          </cell>
          <cell r="I297">
            <v>90</v>
          </cell>
          <cell r="J297" t="str">
            <v>-</v>
          </cell>
          <cell r="K297">
            <v>90</v>
          </cell>
          <cell r="L297" t="str">
            <v>-</v>
          </cell>
          <cell r="M297">
            <v>90</v>
          </cell>
          <cell r="N297">
            <v>80</v>
          </cell>
          <cell r="O297">
            <v>60</v>
          </cell>
          <cell r="P297">
            <v>35</v>
          </cell>
          <cell r="Q297">
            <v>40</v>
          </cell>
          <cell r="R297">
            <v>45</v>
          </cell>
          <cell r="S297">
            <v>20</v>
          </cell>
          <cell r="T297" t="str">
            <v>-</v>
          </cell>
        </row>
        <row r="298">
          <cell r="A298" t="str">
            <v>Tafelbirnen</v>
          </cell>
          <cell r="B298" t="str">
            <v>-</v>
          </cell>
          <cell r="C298">
            <v>100</v>
          </cell>
          <cell r="D298" t="str">
            <v>-</v>
          </cell>
          <cell r="E298">
            <v>100</v>
          </cell>
          <cell r="F298">
            <v>100</v>
          </cell>
          <cell r="G298" t="str">
            <v>-</v>
          </cell>
          <cell r="H298">
            <v>100</v>
          </cell>
          <cell r="I298">
            <v>100</v>
          </cell>
          <cell r="J298" t="str">
            <v>-</v>
          </cell>
          <cell r="K298">
            <v>100</v>
          </cell>
          <cell r="L298" t="str">
            <v>-</v>
          </cell>
          <cell r="M298">
            <v>100</v>
          </cell>
          <cell r="N298">
            <v>80</v>
          </cell>
          <cell r="O298">
            <v>60</v>
          </cell>
          <cell r="P298">
            <v>35</v>
          </cell>
          <cell r="Q298">
            <v>40</v>
          </cell>
          <cell r="R298">
            <v>45</v>
          </cell>
          <cell r="S298">
            <v>20</v>
          </cell>
          <cell r="T298" t="str">
            <v>-</v>
          </cell>
        </row>
        <row r="299">
          <cell r="A299" t="str">
            <v>Weichseln</v>
          </cell>
          <cell r="B299" t="str">
            <v>-</v>
          </cell>
          <cell r="C299">
            <v>90</v>
          </cell>
          <cell r="D299" t="str">
            <v>-</v>
          </cell>
          <cell r="E299">
            <v>90</v>
          </cell>
          <cell r="F299">
            <v>90</v>
          </cell>
          <cell r="G299" t="str">
            <v>-</v>
          </cell>
          <cell r="H299">
            <v>90</v>
          </cell>
          <cell r="I299">
            <v>90</v>
          </cell>
          <cell r="J299" t="str">
            <v>-</v>
          </cell>
          <cell r="K299">
            <v>90</v>
          </cell>
          <cell r="L299" t="str">
            <v>-</v>
          </cell>
          <cell r="M299">
            <v>90</v>
          </cell>
          <cell r="N299">
            <v>70</v>
          </cell>
          <cell r="O299">
            <v>55</v>
          </cell>
          <cell r="P299">
            <v>25</v>
          </cell>
          <cell r="Q299">
            <v>35</v>
          </cell>
          <cell r="R299">
            <v>45</v>
          </cell>
          <cell r="S299">
            <v>20</v>
          </cell>
          <cell r="T299" t="str">
            <v>-</v>
          </cell>
        </row>
        <row r="300">
          <cell r="A300" t="str">
            <v>Zwetschken</v>
          </cell>
          <cell r="B300" t="str">
            <v>-</v>
          </cell>
          <cell r="C300">
            <v>110</v>
          </cell>
          <cell r="D300" t="str">
            <v>-</v>
          </cell>
          <cell r="E300">
            <v>110</v>
          </cell>
          <cell r="F300">
            <v>110</v>
          </cell>
          <cell r="G300" t="str">
            <v>-</v>
          </cell>
          <cell r="H300">
            <v>110</v>
          </cell>
          <cell r="I300">
            <v>110</v>
          </cell>
          <cell r="J300" t="str">
            <v>-</v>
          </cell>
          <cell r="K300">
            <v>110</v>
          </cell>
          <cell r="L300" t="str">
            <v>-</v>
          </cell>
          <cell r="M300">
            <v>110</v>
          </cell>
          <cell r="N300">
            <v>90</v>
          </cell>
          <cell r="O300">
            <v>70</v>
          </cell>
          <cell r="P300">
            <v>35</v>
          </cell>
          <cell r="Q300">
            <v>45</v>
          </cell>
          <cell r="R300">
            <v>55</v>
          </cell>
          <cell r="S300">
            <v>25</v>
          </cell>
          <cell r="T300" t="str">
            <v>-</v>
          </cell>
        </row>
        <row r="301">
          <cell r="A301" t="str">
            <v>Wein (inkl. Schnittweingarten):</v>
          </cell>
        </row>
        <row r="302">
          <cell r="A302" t="str">
            <v>Aufdüngung von Neuanlagen</v>
          </cell>
          <cell r="B302" t="str">
            <v>-</v>
          </cell>
          <cell r="C302">
            <v>0</v>
          </cell>
          <cell r="D302" t="str">
            <v>-</v>
          </cell>
          <cell r="E302">
            <v>0</v>
          </cell>
          <cell r="F302">
            <v>0</v>
          </cell>
          <cell r="G302" t="str">
            <v>-</v>
          </cell>
          <cell r="H302">
            <v>0</v>
          </cell>
          <cell r="I302">
            <v>0</v>
          </cell>
          <cell r="J302" t="str">
            <v>-</v>
          </cell>
          <cell r="K302">
            <v>0</v>
          </cell>
          <cell r="L302" t="str">
            <v>-</v>
          </cell>
          <cell r="M302">
            <v>0</v>
          </cell>
          <cell r="N302">
            <v>300</v>
          </cell>
          <cell r="O302">
            <v>150</v>
          </cell>
          <cell r="P302">
            <v>75</v>
          </cell>
          <cell r="Q302">
            <v>75</v>
          </cell>
          <cell r="R302">
            <v>75</v>
          </cell>
          <cell r="S302" t="str">
            <v>4)</v>
          </cell>
          <cell r="T302" t="str">
            <v>-</v>
          </cell>
        </row>
        <row r="303">
          <cell r="A303" t="str">
            <v>Naturdenkmal WI</v>
          </cell>
          <cell r="B303" t="str">
            <v>-</v>
          </cell>
          <cell r="C303">
            <v>0</v>
          </cell>
          <cell r="D303" t="str">
            <v>-</v>
          </cell>
          <cell r="E303">
            <v>0</v>
          </cell>
          <cell r="F303">
            <v>0</v>
          </cell>
          <cell r="G303" t="str">
            <v>-</v>
          </cell>
          <cell r="H303">
            <v>0</v>
          </cell>
          <cell r="I303">
            <v>0</v>
          </cell>
          <cell r="J303" t="str">
            <v>-</v>
          </cell>
          <cell r="K303">
            <v>0</v>
          </cell>
          <cell r="L303" t="str">
            <v>-</v>
          </cell>
          <cell r="M303">
            <v>0</v>
          </cell>
          <cell r="N303">
            <v>0</v>
          </cell>
          <cell r="O303">
            <v>0</v>
          </cell>
          <cell r="P303">
            <v>0</v>
          </cell>
          <cell r="Q303">
            <v>0</v>
          </cell>
          <cell r="R303">
            <v>0</v>
          </cell>
          <cell r="S303" t="str">
            <v>-</v>
          </cell>
          <cell r="T303" t="str">
            <v>-</v>
          </cell>
        </row>
        <row r="304">
          <cell r="A304" t="str">
            <v>Sonstige Weinflächen</v>
          </cell>
          <cell r="B304" t="str">
            <v>-</v>
          </cell>
          <cell r="C304">
            <v>0</v>
          </cell>
          <cell r="D304" t="str">
            <v>-</v>
          </cell>
          <cell r="E304">
            <v>0</v>
          </cell>
          <cell r="F304">
            <v>0</v>
          </cell>
          <cell r="G304" t="str">
            <v>-</v>
          </cell>
          <cell r="H304">
            <v>0</v>
          </cell>
          <cell r="I304">
            <v>0</v>
          </cell>
          <cell r="J304" t="str">
            <v>-</v>
          </cell>
          <cell r="K304">
            <v>0</v>
          </cell>
          <cell r="L304" t="str">
            <v>-</v>
          </cell>
          <cell r="M304">
            <v>0</v>
          </cell>
          <cell r="N304">
            <v>0</v>
          </cell>
          <cell r="O304">
            <v>0</v>
          </cell>
          <cell r="P304">
            <v>0</v>
          </cell>
          <cell r="Q304">
            <v>0</v>
          </cell>
          <cell r="R304">
            <v>0</v>
          </cell>
          <cell r="S304" t="str">
            <v>-</v>
          </cell>
          <cell r="T304" t="str">
            <v>-</v>
          </cell>
        </row>
        <row r="305">
          <cell r="A305" t="str">
            <v>Wein - Triebwachstum schwach - Oberbodendüngung</v>
          </cell>
          <cell r="B305" t="str">
            <v>&lt; 5</v>
          </cell>
          <cell r="C305">
            <v>80</v>
          </cell>
          <cell r="D305" t="str">
            <v>&lt; 5</v>
          </cell>
          <cell r="E305">
            <v>100</v>
          </cell>
          <cell r="F305">
            <v>100</v>
          </cell>
          <cell r="G305" t="str">
            <v>&gt; 5</v>
          </cell>
          <cell r="H305">
            <v>100</v>
          </cell>
          <cell r="I305">
            <v>100</v>
          </cell>
          <cell r="J305" t="str">
            <v>&gt; 5</v>
          </cell>
          <cell r="K305">
            <v>100</v>
          </cell>
          <cell r="L305" t="str">
            <v>&gt; 5</v>
          </cell>
          <cell r="M305">
            <v>100</v>
          </cell>
          <cell r="N305">
            <v>55</v>
          </cell>
          <cell r="O305">
            <v>45</v>
          </cell>
          <cell r="P305">
            <v>35</v>
          </cell>
          <cell r="Q305">
            <v>35</v>
          </cell>
          <cell r="R305">
            <v>35</v>
          </cell>
          <cell r="S305" t="str">
            <v>4)</v>
          </cell>
          <cell r="T305" t="str">
            <v>-</v>
          </cell>
        </row>
        <row r="306">
          <cell r="A306" t="str">
            <v>Wein - Triebwachstum schwach - Unterbodendüngung</v>
          </cell>
          <cell r="B306" t="str">
            <v>&lt; 5</v>
          </cell>
          <cell r="C306">
            <v>80</v>
          </cell>
          <cell r="D306" t="str">
            <v>&lt; 5</v>
          </cell>
          <cell r="E306">
            <v>100</v>
          </cell>
          <cell r="F306">
            <v>100</v>
          </cell>
          <cell r="G306" t="str">
            <v>&gt; 5</v>
          </cell>
          <cell r="H306">
            <v>100</v>
          </cell>
          <cell r="I306">
            <v>100</v>
          </cell>
          <cell r="J306" t="str">
            <v>&gt; 5</v>
          </cell>
          <cell r="K306">
            <v>100</v>
          </cell>
          <cell r="L306" t="str">
            <v>&gt; 5</v>
          </cell>
          <cell r="M306">
            <v>100</v>
          </cell>
          <cell r="N306">
            <v>55</v>
          </cell>
          <cell r="O306">
            <v>45</v>
          </cell>
          <cell r="P306">
            <v>35</v>
          </cell>
          <cell r="Q306">
            <v>35</v>
          </cell>
          <cell r="R306">
            <v>35</v>
          </cell>
          <cell r="S306" t="str">
            <v>4)</v>
          </cell>
          <cell r="T306" t="str">
            <v>-</v>
          </cell>
        </row>
        <row r="307">
          <cell r="A307" t="str">
            <v>Wein - Triebwachstum schwach - Ober- und Unterbodendüngung</v>
          </cell>
          <cell r="B307" t="str">
            <v>&lt; 5</v>
          </cell>
          <cell r="C307">
            <v>80</v>
          </cell>
          <cell r="D307" t="str">
            <v>&lt; 5</v>
          </cell>
          <cell r="E307">
            <v>100</v>
          </cell>
          <cell r="F307">
            <v>100</v>
          </cell>
          <cell r="G307" t="str">
            <v>&gt; 5</v>
          </cell>
          <cell r="H307">
            <v>100</v>
          </cell>
          <cell r="I307">
            <v>100</v>
          </cell>
          <cell r="J307" t="str">
            <v>&gt; 5</v>
          </cell>
          <cell r="K307">
            <v>100</v>
          </cell>
          <cell r="L307" t="str">
            <v>&gt; 5</v>
          </cell>
          <cell r="M307">
            <v>100</v>
          </cell>
          <cell r="N307">
            <v>105</v>
          </cell>
          <cell r="O307">
            <v>90</v>
          </cell>
          <cell r="P307">
            <v>70</v>
          </cell>
          <cell r="Q307">
            <v>70</v>
          </cell>
          <cell r="R307">
            <v>70</v>
          </cell>
          <cell r="S307" t="str">
            <v>4)</v>
          </cell>
          <cell r="T307" t="str">
            <v>-</v>
          </cell>
        </row>
        <row r="308">
          <cell r="A308" t="str">
            <v>Wein - Triebwachstum mittel - Oberbodendüngung</v>
          </cell>
          <cell r="B308" t="str">
            <v>&lt; 5</v>
          </cell>
          <cell r="C308">
            <v>72</v>
          </cell>
          <cell r="D308" t="str">
            <v>&lt; 5</v>
          </cell>
          <cell r="E308">
            <v>90</v>
          </cell>
          <cell r="F308">
            <v>90</v>
          </cell>
          <cell r="G308" t="str">
            <v>&gt; 5</v>
          </cell>
          <cell r="H308">
            <v>90</v>
          </cell>
          <cell r="I308">
            <v>90</v>
          </cell>
          <cell r="J308" t="str">
            <v>&gt; 5</v>
          </cell>
          <cell r="K308">
            <v>90</v>
          </cell>
          <cell r="L308" t="str">
            <v>&gt; 5</v>
          </cell>
          <cell r="M308">
            <v>90</v>
          </cell>
          <cell r="N308">
            <v>55</v>
          </cell>
          <cell r="O308">
            <v>45</v>
          </cell>
          <cell r="P308">
            <v>35</v>
          </cell>
          <cell r="Q308">
            <v>35</v>
          </cell>
          <cell r="R308">
            <v>35</v>
          </cell>
          <cell r="S308" t="str">
            <v>4)</v>
          </cell>
          <cell r="T308" t="str">
            <v>-</v>
          </cell>
        </row>
        <row r="309">
          <cell r="A309" t="str">
            <v>Wein - Triebwachstum mittel - Unterbodendüngung</v>
          </cell>
          <cell r="B309" t="str">
            <v>&lt; 5</v>
          </cell>
          <cell r="C309">
            <v>72</v>
          </cell>
          <cell r="D309" t="str">
            <v>&lt; 5</v>
          </cell>
          <cell r="E309">
            <v>90</v>
          </cell>
          <cell r="F309">
            <v>90</v>
          </cell>
          <cell r="G309" t="str">
            <v>&gt; 5</v>
          </cell>
          <cell r="H309">
            <v>90</v>
          </cell>
          <cell r="I309">
            <v>90</v>
          </cell>
          <cell r="J309" t="str">
            <v>&gt; 5</v>
          </cell>
          <cell r="K309">
            <v>90</v>
          </cell>
          <cell r="L309" t="str">
            <v>&gt; 5</v>
          </cell>
          <cell r="M309">
            <v>90</v>
          </cell>
          <cell r="N309">
            <v>55</v>
          </cell>
          <cell r="O309">
            <v>45</v>
          </cell>
          <cell r="P309">
            <v>35</v>
          </cell>
          <cell r="Q309">
            <v>35</v>
          </cell>
          <cell r="R309">
            <v>35</v>
          </cell>
          <cell r="S309" t="str">
            <v>4)</v>
          </cell>
          <cell r="T309" t="str">
            <v>-</v>
          </cell>
        </row>
        <row r="310">
          <cell r="A310" t="str">
            <v>Wein - Triebwachstum mittel - Ober- und Unterbodendüngung</v>
          </cell>
          <cell r="B310" t="str">
            <v>&lt; 5</v>
          </cell>
          <cell r="C310">
            <v>72</v>
          </cell>
          <cell r="D310" t="str">
            <v>&lt; 5</v>
          </cell>
          <cell r="E310">
            <v>90</v>
          </cell>
          <cell r="F310">
            <v>90</v>
          </cell>
          <cell r="G310" t="str">
            <v>&gt; 5</v>
          </cell>
          <cell r="H310">
            <v>90</v>
          </cell>
          <cell r="I310">
            <v>90</v>
          </cell>
          <cell r="J310" t="str">
            <v>&gt; 5</v>
          </cell>
          <cell r="K310">
            <v>90</v>
          </cell>
          <cell r="L310" t="str">
            <v>&gt; 5</v>
          </cell>
          <cell r="M310">
            <v>90</v>
          </cell>
          <cell r="N310">
            <v>105</v>
          </cell>
          <cell r="O310">
            <v>90</v>
          </cell>
          <cell r="P310">
            <v>70</v>
          </cell>
          <cell r="Q310">
            <v>70</v>
          </cell>
          <cell r="R310">
            <v>70</v>
          </cell>
          <cell r="S310" t="str">
            <v>4)</v>
          </cell>
          <cell r="T310" t="str">
            <v>-</v>
          </cell>
        </row>
        <row r="311">
          <cell r="A311" t="str">
            <v>Wein - Triebwachstum stark - Oberbodendüngung</v>
          </cell>
          <cell r="B311" t="str">
            <v>&lt; 5</v>
          </cell>
          <cell r="C311">
            <v>64</v>
          </cell>
          <cell r="D311" t="str">
            <v>&lt; 5</v>
          </cell>
          <cell r="E311">
            <v>80</v>
          </cell>
          <cell r="F311">
            <v>80</v>
          </cell>
          <cell r="G311" t="str">
            <v>&gt; 5</v>
          </cell>
          <cell r="H311">
            <v>80</v>
          </cell>
          <cell r="I311">
            <v>80</v>
          </cell>
          <cell r="J311" t="str">
            <v>&gt; 5</v>
          </cell>
          <cell r="K311">
            <v>80</v>
          </cell>
          <cell r="L311" t="str">
            <v>&gt; 5</v>
          </cell>
          <cell r="M311">
            <v>80</v>
          </cell>
          <cell r="N311">
            <v>55</v>
          </cell>
          <cell r="O311">
            <v>45</v>
          </cell>
          <cell r="P311">
            <v>35</v>
          </cell>
          <cell r="Q311">
            <v>35</v>
          </cell>
          <cell r="R311">
            <v>35</v>
          </cell>
          <cell r="S311" t="str">
            <v>4)</v>
          </cell>
          <cell r="T311" t="str">
            <v>-</v>
          </cell>
        </row>
        <row r="312">
          <cell r="A312" t="str">
            <v>Wein - Triebwachstum stark - Unterbodendüngung</v>
          </cell>
          <cell r="B312" t="str">
            <v>&lt; 5</v>
          </cell>
          <cell r="C312">
            <v>64</v>
          </cell>
          <cell r="D312" t="str">
            <v>&lt; 5</v>
          </cell>
          <cell r="E312">
            <v>80</v>
          </cell>
          <cell r="F312">
            <v>80</v>
          </cell>
          <cell r="G312" t="str">
            <v>&gt; 5</v>
          </cell>
          <cell r="H312">
            <v>80</v>
          </cell>
          <cell r="I312">
            <v>80</v>
          </cell>
          <cell r="J312" t="str">
            <v>&gt; 5</v>
          </cell>
          <cell r="K312">
            <v>80</v>
          </cell>
          <cell r="L312" t="str">
            <v>&gt; 5</v>
          </cell>
          <cell r="M312">
            <v>80</v>
          </cell>
          <cell r="N312">
            <v>55</v>
          </cell>
          <cell r="O312">
            <v>45</v>
          </cell>
          <cell r="P312">
            <v>35</v>
          </cell>
          <cell r="Q312">
            <v>35</v>
          </cell>
          <cell r="R312">
            <v>35</v>
          </cell>
          <cell r="S312" t="str">
            <v>4)</v>
          </cell>
          <cell r="T312" t="str">
            <v>-</v>
          </cell>
        </row>
        <row r="313">
          <cell r="A313" t="str">
            <v>Wein - Triebwachstum stark - Ober- und Unterbodendüngung</v>
          </cell>
          <cell r="B313" t="str">
            <v>&lt; 5</v>
          </cell>
          <cell r="C313">
            <v>64</v>
          </cell>
          <cell r="D313" t="str">
            <v>&lt; 5</v>
          </cell>
          <cell r="E313">
            <v>80</v>
          </cell>
          <cell r="F313">
            <v>80</v>
          </cell>
          <cell r="G313" t="str">
            <v>&gt; 5</v>
          </cell>
          <cell r="H313">
            <v>80</v>
          </cell>
          <cell r="I313">
            <v>80</v>
          </cell>
          <cell r="J313" t="str">
            <v>&gt; 5</v>
          </cell>
          <cell r="K313">
            <v>80</v>
          </cell>
          <cell r="L313" t="str">
            <v>&gt; 5</v>
          </cell>
          <cell r="M313">
            <v>80</v>
          </cell>
          <cell r="N313">
            <v>105</v>
          </cell>
          <cell r="O313">
            <v>90</v>
          </cell>
          <cell r="P313">
            <v>70</v>
          </cell>
          <cell r="Q313">
            <v>70</v>
          </cell>
          <cell r="R313">
            <v>70</v>
          </cell>
          <cell r="S313" t="str">
            <v>4)</v>
          </cell>
          <cell r="T313" t="str">
            <v>-</v>
          </cell>
        </row>
        <row r="314">
          <cell r="A314" t="str">
            <v>Wein Bodengesundung</v>
          </cell>
          <cell r="B314" t="str">
            <v>-</v>
          </cell>
          <cell r="C314">
            <v>0</v>
          </cell>
          <cell r="D314" t="str">
            <v>-</v>
          </cell>
          <cell r="E314">
            <v>0</v>
          </cell>
          <cell r="F314">
            <v>0</v>
          </cell>
          <cell r="G314" t="str">
            <v>-</v>
          </cell>
          <cell r="H314">
            <v>0</v>
          </cell>
          <cell r="I314">
            <v>0</v>
          </cell>
          <cell r="J314" t="str">
            <v>-</v>
          </cell>
          <cell r="K314">
            <v>0</v>
          </cell>
          <cell r="L314" t="str">
            <v>-</v>
          </cell>
          <cell r="M314">
            <v>0</v>
          </cell>
          <cell r="N314">
            <v>0</v>
          </cell>
          <cell r="O314">
            <v>0</v>
          </cell>
          <cell r="P314">
            <v>0</v>
          </cell>
          <cell r="Q314">
            <v>0</v>
          </cell>
          <cell r="R314">
            <v>0</v>
          </cell>
          <cell r="S314" t="str">
            <v>-</v>
          </cell>
          <cell r="T314" t="str">
            <v>-</v>
          </cell>
        </row>
        <row r="315">
          <cell r="A315" t="str">
            <v>Sonstige Nutzungen:</v>
          </cell>
        </row>
        <row r="316">
          <cell r="A316" t="str">
            <v>Christbäume - 1 Jahr Kulturalter 5)</v>
          </cell>
          <cell r="B316" t="str">
            <v>-</v>
          </cell>
          <cell r="C316">
            <v>0</v>
          </cell>
          <cell r="D316" t="str">
            <v>-</v>
          </cell>
          <cell r="E316">
            <v>0</v>
          </cell>
          <cell r="F316">
            <v>0</v>
          </cell>
          <cell r="G316" t="str">
            <v>-</v>
          </cell>
          <cell r="H316">
            <v>0</v>
          </cell>
          <cell r="I316">
            <v>0</v>
          </cell>
          <cell r="J316" t="str">
            <v>-</v>
          </cell>
          <cell r="K316">
            <v>0</v>
          </cell>
          <cell r="L316" t="str">
            <v>-</v>
          </cell>
          <cell r="M316">
            <v>0</v>
          </cell>
          <cell r="N316">
            <v>10</v>
          </cell>
          <cell r="O316">
            <v>5</v>
          </cell>
          <cell r="P316">
            <v>5</v>
          </cell>
          <cell r="Q316">
            <v>5</v>
          </cell>
          <cell r="R316">
            <v>5</v>
          </cell>
          <cell r="S316">
            <v>5</v>
          </cell>
          <cell r="T316" t="str">
            <v>-</v>
          </cell>
        </row>
        <row r="317">
          <cell r="A317" t="str">
            <v>Christbäume - 2 Jahre Kulturalter 5)</v>
          </cell>
          <cell r="B317" t="str">
            <v>-</v>
          </cell>
          <cell r="C317">
            <v>0</v>
          </cell>
          <cell r="D317" t="str">
            <v>-</v>
          </cell>
          <cell r="E317">
            <v>0</v>
          </cell>
          <cell r="F317">
            <v>0</v>
          </cell>
          <cell r="G317" t="str">
            <v>-</v>
          </cell>
          <cell r="H317">
            <v>0</v>
          </cell>
          <cell r="I317">
            <v>0</v>
          </cell>
          <cell r="J317" t="str">
            <v>-</v>
          </cell>
          <cell r="K317">
            <v>0</v>
          </cell>
          <cell r="L317" t="str">
            <v>-</v>
          </cell>
          <cell r="M317">
            <v>0</v>
          </cell>
          <cell r="N317">
            <v>10</v>
          </cell>
          <cell r="O317">
            <v>5</v>
          </cell>
          <cell r="P317">
            <v>5</v>
          </cell>
          <cell r="Q317">
            <v>5</v>
          </cell>
          <cell r="R317">
            <v>5</v>
          </cell>
          <cell r="S317">
            <v>5</v>
          </cell>
          <cell r="T317" t="str">
            <v>-</v>
          </cell>
        </row>
        <row r="318">
          <cell r="A318" t="str">
            <v>Christbäume - 3 Jahre Kulturalter 5)</v>
          </cell>
          <cell r="B318" t="str">
            <v>-</v>
          </cell>
          <cell r="C318">
            <v>0</v>
          </cell>
          <cell r="D318" t="str">
            <v>-</v>
          </cell>
          <cell r="E318">
            <v>0</v>
          </cell>
          <cell r="F318">
            <v>0</v>
          </cell>
          <cell r="G318" t="str">
            <v>-</v>
          </cell>
          <cell r="H318">
            <v>0</v>
          </cell>
          <cell r="I318">
            <v>0</v>
          </cell>
          <cell r="J318" t="str">
            <v>-</v>
          </cell>
          <cell r="K318">
            <v>0</v>
          </cell>
          <cell r="L318" t="str">
            <v>-</v>
          </cell>
          <cell r="M318">
            <v>0</v>
          </cell>
          <cell r="N318">
            <v>15</v>
          </cell>
          <cell r="O318">
            <v>15</v>
          </cell>
          <cell r="P318">
            <v>10</v>
          </cell>
          <cell r="Q318">
            <v>10</v>
          </cell>
          <cell r="R318">
            <v>10</v>
          </cell>
          <cell r="S318">
            <v>5</v>
          </cell>
          <cell r="T318" t="str">
            <v>-</v>
          </cell>
        </row>
        <row r="319">
          <cell r="A319" t="str">
            <v>Christbäume - 4 Jahre Kulturalter 5)</v>
          </cell>
          <cell r="B319" t="str">
            <v>manuelle Eingabe erforderlich</v>
          </cell>
          <cell r="N319">
            <v>15</v>
          </cell>
          <cell r="O319">
            <v>15</v>
          </cell>
          <cell r="P319">
            <v>10</v>
          </cell>
          <cell r="Q319">
            <v>10</v>
          </cell>
          <cell r="R319">
            <v>10</v>
          </cell>
          <cell r="S319">
            <v>5</v>
          </cell>
          <cell r="T319" t="str">
            <v>-</v>
          </cell>
        </row>
        <row r="320">
          <cell r="A320" t="str">
            <v>Christbäume - 5 Jahre Kulturalter 5)</v>
          </cell>
          <cell r="B320" t="str">
            <v>manuelle Eingabe erforderlich</v>
          </cell>
          <cell r="N320">
            <v>30</v>
          </cell>
          <cell r="O320">
            <v>25</v>
          </cell>
          <cell r="P320">
            <v>20</v>
          </cell>
          <cell r="Q320">
            <v>20</v>
          </cell>
          <cell r="R320">
            <v>20</v>
          </cell>
          <cell r="S320">
            <v>10</v>
          </cell>
          <cell r="T320" t="str">
            <v>-</v>
          </cell>
        </row>
        <row r="321">
          <cell r="A321" t="str">
            <v>Christbäume - 6 Jahre Kulturalter 5)</v>
          </cell>
          <cell r="B321" t="str">
            <v>manuelle Eingabe erforderlich</v>
          </cell>
          <cell r="N321">
            <v>30</v>
          </cell>
          <cell r="O321">
            <v>25</v>
          </cell>
          <cell r="P321">
            <v>20</v>
          </cell>
          <cell r="Q321">
            <v>20</v>
          </cell>
          <cell r="R321">
            <v>20</v>
          </cell>
          <cell r="S321">
            <v>10</v>
          </cell>
          <cell r="T321" t="str">
            <v>-</v>
          </cell>
        </row>
        <row r="322">
          <cell r="A322" t="str">
            <v>Christbäume - 7 Jahre Kulturalter 5)</v>
          </cell>
          <cell r="B322" t="str">
            <v>manuelle Eingabe erforderlich</v>
          </cell>
          <cell r="N322">
            <v>45</v>
          </cell>
          <cell r="O322">
            <v>40</v>
          </cell>
          <cell r="P322">
            <v>30</v>
          </cell>
          <cell r="Q322">
            <v>30</v>
          </cell>
          <cell r="R322">
            <v>30</v>
          </cell>
          <cell r="S322">
            <v>15</v>
          </cell>
          <cell r="T322" t="str">
            <v>-</v>
          </cell>
        </row>
        <row r="323">
          <cell r="A323" t="str">
            <v>Christbäume - 8 Jahre Kulturalter 5)</v>
          </cell>
          <cell r="B323" t="str">
            <v>manuelle Eingabe erforderlich</v>
          </cell>
          <cell r="N323">
            <v>45</v>
          </cell>
          <cell r="O323">
            <v>40</v>
          </cell>
          <cell r="P323">
            <v>30</v>
          </cell>
          <cell r="Q323">
            <v>30</v>
          </cell>
          <cell r="R323">
            <v>30</v>
          </cell>
          <cell r="S323">
            <v>15</v>
          </cell>
          <cell r="T323" t="str">
            <v>-</v>
          </cell>
        </row>
        <row r="324">
          <cell r="A324" t="str">
            <v>Christbäume - 9 Jahre Kulturalter 5)</v>
          </cell>
          <cell r="B324" t="str">
            <v>manuelle Eingabe erforderlich</v>
          </cell>
          <cell r="N324">
            <v>75</v>
          </cell>
          <cell r="O324">
            <v>65</v>
          </cell>
          <cell r="P324">
            <v>50</v>
          </cell>
          <cell r="Q324">
            <v>50</v>
          </cell>
          <cell r="R324">
            <v>50</v>
          </cell>
          <cell r="S324">
            <v>25</v>
          </cell>
          <cell r="T324" t="str">
            <v>-</v>
          </cell>
        </row>
        <row r="325">
          <cell r="A325" t="str">
            <v>Christbäume - 10 Jahre Kulturalter 5)</v>
          </cell>
          <cell r="B325" t="str">
            <v>manuelle Eingabe erforderlich</v>
          </cell>
          <cell r="N325">
            <v>75</v>
          </cell>
          <cell r="O325">
            <v>65</v>
          </cell>
          <cell r="P325">
            <v>50</v>
          </cell>
          <cell r="Q325">
            <v>50</v>
          </cell>
          <cell r="R325">
            <v>50</v>
          </cell>
          <cell r="S325">
            <v>25</v>
          </cell>
          <cell r="T325" t="str">
            <v>-</v>
          </cell>
        </row>
        <row r="326">
          <cell r="A326" t="str">
            <v>Christbäume - älter als 10 Jahre 5)</v>
          </cell>
          <cell r="B326" t="str">
            <v>manuelle Eingabe erforderlich</v>
          </cell>
          <cell r="N326">
            <v>90</v>
          </cell>
          <cell r="O326">
            <v>75</v>
          </cell>
          <cell r="P326">
            <v>60</v>
          </cell>
          <cell r="Q326">
            <v>60</v>
          </cell>
          <cell r="R326">
            <v>60</v>
          </cell>
          <cell r="S326">
            <v>30</v>
          </cell>
          <cell r="T32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rieb"/>
      <sheetName val="N-Anfall Tierhaltung"/>
      <sheetName val="Tabelle1"/>
      <sheetName val="Organ__Dü"/>
      <sheetName val="WD-Zukauf"/>
      <sheetName val="WD-Verkauf"/>
      <sheetName val="Gesamt N-Anfall Betrieb"/>
      <sheetName val="Hofdung"/>
      <sheetName val="Mineral"/>
      <sheetName val="N_Berechnung"/>
      <sheetName val="Ergebnis"/>
      <sheetName val="Tierzahlen"/>
      <sheetName val="N_Bedarf"/>
      <sheetName val="Datenerfassung Acker"/>
      <sheetName val="Datenerfassung Grünland"/>
      <sheetName val="Saldierung N-detailiert"/>
      <sheetName val="N-Bedarf"/>
      <sheetName val="Notizen"/>
      <sheetName val="Futterbilanzierung"/>
      <sheetName val="Saldierung N_einfach"/>
      <sheetName val="Planungstool Grünland"/>
      <sheetName val="Saldierung N_einfach_alt"/>
      <sheetName val="Datenblatt Bedarfswerte"/>
    </sheetNames>
    <sheetDataSet>
      <sheetData sheetId="0"/>
      <sheetData sheetId="1">
        <row r="5">
          <cell r="B5" t="str">
            <v>29 - Milchkühe (7000 kg Milch) - Gülle</v>
          </cell>
        </row>
      </sheetData>
      <sheetData sheetId="2">
        <row r="5">
          <cell r="B5" t="str">
            <v>Rinder</v>
          </cell>
          <cell r="AK5" t="str">
            <v>JA</v>
          </cell>
        </row>
        <row r="6">
          <cell r="B6" t="str">
            <v>2 - andere Kälber und Jungrinder unter 1/2 Jahr - Gülle</v>
          </cell>
          <cell r="AK6" t="str">
            <v>NEIN</v>
          </cell>
        </row>
        <row r="7">
          <cell r="B7" t="str">
            <v>3 - andere Kälber und Jungrinder unter 1/2 Jahr - Mist/Jauche</v>
          </cell>
        </row>
        <row r="8">
          <cell r="B8" t="str">
            <v>4 - andere Kälber und Jungrinder unter 1/2 Jahr - Tiefstallmist</v>
          </cell>
        </row>
        <row r="9">
          <cell r="B9" t="str">
            <v>5 - Jungvieh 1/2 bis 1 Jahr - Gülle</v>
          </cell>
        </row>
        <row r="10">
          <cell r="B10" t="str">
            <v>6 - Jungvieh 1/2 bis 1 Jahr - Mist/Jauche</v>
          </cell>
        </row>
        <row r="11">
          <cell r="B11" t="str">
            <v>7 - Jungvieh 1/2 bis 1 Jahr - Tiefstallmist</v>
          </cell>
        </row>
        <row r="12">
          <cell r="B12" t="str">
            <v>8 - Jungvieh 1 bis 2 Jahr - Gülle</v>
          </cell>
        </row>
        <row r="13">
          <cell r="B13" t="str">
            <v>9 - Jungvieh 1 bis 2 Jahr - Mist/Jauche</v>
          </cell>
        </row>
        <row r="14">
          <cell r="B14" t="str">
            <v>10 - Jungvieh 1 bis 2 Jahr - Tiefstallmist</v>
          </cell>
        </row>
        <row r="15">
          <cell r="B15" t="str">
            <v>11 - Ochsen, Stiere - Gülle</v>
          </cell>
        </row>
        <row r="16">
          <cell r="B16" t="str">
            <v>12 - Ochsen, Stiere - Mist/Jauche</v>
          </cell>
        </row>
        <row r="17">
          <cell r="B17" t="str">
            <v>13 - Ochsen, Stiere - Tiefstallmist</v>
          </cell>
        </row>
        <row r="18">
          <cell r="B18" t="str">
            <v>14 - Kalbinnen - Gülle</v>
          </cell>
        </row>
        <row r="19">
          <cell r="B19" t="str">
            <v>15 - Kalbinnen - Mist/Jauche</v>
          </cell>
        </row>
        <row r="20">
          <cell r="B20" t="str">
            <v>16 - Kalbinnen - Tiefstallmist</v>
          </cell>
        </row>
        <row r="21">
          <cell r="B21" t="str">
            <v>17 - Milch- bzw. Mutterkühe (3000 kg Milch)  - Gülle</v>
          </cell>
        </row>
        <row r="22">
          <cell r="B22" t="str">
            <v>18 - Milch- bzw. Mutterkühe (3000 kg Milch)  - Mist / Jauche</v>
          </cell>
        </row>
        <row r="23">
          <cell r="B23" t="str">
            <v>19 - Milch- bzw. Mutterkühe (3000 kg Milch)  - Tiefstallmist</v>
          </cell>
        </row>
        <row r="24">
          <cell r="B24" t="str">
            <v>20 - Milch- bzw. Ammenkühe (4000 kg Milch)  - Gülle</v>
          </cell>
        </row>
        <row r="25">
          <cell r="B25" t="str">
            <v>21 - Milch- bzw. Ammenkühe (4000 kg Milch)  - Mist / Jauche</v>
          </cell>
        </row>
        <row r="26">
          <cell r="B26" t="str">
            <v>22 - Milch- bzw. Ammenkühe (4000 kg Milch)  - Tiefstallmist</v>
          </cell>
        </row>
        <row r="27">
          <cell r="B27" t="str">
            <v>23 - Milchkühe (5000 kg Milch) - Gülle</v>
          </cell>
        </row>
        <row r="28">
          <cell r="B28" t="str">
            <v>24 - Milchkühe (5000 kg Milch) - Mist/Jauche</v>
          </cell>
        </row>
        <row r="29">
          <cell r="B29" t="str">
            <v>25 - Milchkühe (5000 kg Milch) - Tiefstallmist</v>
          </cell>
        </row>
        <row r="30">
          <cell r="B30" t="str">
            <v>26 - Milchkühe (6000 kg Milch) - Gülle</v>
          </cell>
        </row>
        <row r="31">
          <cell r="B31" t="str">
            <v>27 - Milchkühe (6000 kg Milch) - Mist/Jauche</v>
          </cell>
        </row>
        <row r="32">
          <cell r="B32" t="str">
            <v>28 - Milchkühe (6000 kg Milch) - Tiefstallmist</v>
          </cell>
        </row>
        <row r="33">
          <cell r="B33" t="str">
            <v>29 - Milchkühe (7000 kg Milch) - Gülle</v>
          </cell>
        </row>
        <row r="34">
          <cell r="B34" t="str">
            <v>30 - Milchkühe (7000 kg Milch) - Mist/Jauche</v>
          </cell>
        </row>
        <row r="35">
          <cell r="B35" t="str">
            <v>31 - Milchkühe (7000 kg Milch) - Tiefstallmist</v>
          </cell>
        </row>
        <row r="36">
          <cell r="B36" t="str">
            <v>32 - Milchkühe (8000 kg Milch) - Gülle</v>
          </cell>
        </row>
        <row r="37">
          <cell r="B37" t="str">
            <v>33 - Milchkühe (8000 kg Milch) - Mist/Jauche</v>
          </cell>
        </row>
        <row r="38">
          <cell r="B38" t="str">
            <v>34 - Milchkühe (8000 kg Milch) - Tiefstallmist</v>
          </cell>
        </row>
        <row r="39">
          <cell r="B39" t="str">
            <v>35 - Milchkühe (9000 kg Milch) - Gülle</v>
          </cell>
        </row>
        <row r="40">
          <cell r="B40" t="str">
            <v>36 - Milchkühe (9000 kg Milch) - Mist/Jauche</v>
          </cell>
        </row>
        <row r="41">
          <cell r="B41" t="str">
            <v>37 - Milchkühe (9000 kg Milch) - Tiefstallmist</v>
          </cell>
        </row>
        <row r="42">
          <cell r="B42" t="str">
            <v>38 - Milchkühe (&gt; 10.000 kg Milch) - Gülle</v>
          </cell>
        </row>
        <row r="43">
          <cell r="B43" t="str">
            <v>39 - Milchkühe (&gt; 10.000 kg Milch) - Mist/Jauche</v>
          </cell>
        </row>
        <row r="44">
          <cell r="B44" t="str">
            <v>40 - Milchkühe (&gt; 10.000 kg Milch) - Tiefstallmist</v>
          </cell>
        </row>
        <row r="45">
          <cell r="B45" t="str">
            <v>Schweine</v>
          </cell>
        </row>
        <row r="46">
          <cell r="B46" t="str">
            <v>42 - Ferkel 8 bis 32 kg Lebendgewicht (LG) Standard-Fütterung - Gülle</v>
          </cell>
        </row>
        <row r="47">
          <cell r="B47" t="str">
            <v>43 - Ferkel 8 bis 32 kg Lebendgewicht (LG) Standard-Fütterung - Mist/Jauche</v>
          </cell>
        </row>
        <row r="48">
          <cell r="B48" t="str">
            <v>44 - Ferkel 8 bis 32 kg Lebendgewicht (LG) Standard-Fütterung - Tiefstallmist</v>
          </cell>
        </row>
        <row r="49">
          <cell r="B49" t="str">
            <v>45 - Ferkel 8 bis 32 kg Lebendgewicht (LG) N-reduzierte-Fütterung - Gülle</v>
          </cell>
        </row>
        <row r="50">
          <cell r="B50" t="str">
            <v>46 - Ferkel 8 bis 32 kg Lebendgewicht (LG) N-reduzierte-Fütterung - Mist/Jauche</v>
          </cell>
        </row>
        <row r="51">
          <cell r="B51" t="str">
            <v>47 - Ferkel 8 bis 32 kg Lebendgewicht (LG) N-reduzierte-Fütterung - Tiefstallmist</v>
          </cell>
        </row>
        <row r="52">
          <cell r="B52" t="str">
            <v xml:space="preserve">48 - MS + JS ab 32 kg LG bis Mastende/Belegung - Gülle </v>
          </cell>
        </row>
        <row r="53">
          <cell r="B53" t="str">
            <v xml:space="preserve">49 - MS + JS ab 32 kg LG bis Mastende/Belegung - Mist/Jauche </v>
          </cell>
        </row>
        <row r="54">
          <cell r="B54" t="str">
            <v xml:space="preserve">50 - MS + JS ab 32 kg LG bis Mastende/Belegung - Tiefstallmist </v>
          </cell>
        </row>
        <row r="55">
          <cell r="B55" t="str">
            <v xml:space="preserve">51 - MS + JS ab 32 kg LG bis Mastende/Belegung -N-reduzierte-Fütterung - Gülle </v>
          </cell>
        </row>
        <row r="56">
          <cell r="B56" t="str">
            <v xml:space="preserve">52 - MS + JS ab 32 kg LG bis Mastende/Belegung -N-reduzierte-Fütterung - Mist/Jauche </v>
          </cell>
        </row>
        <row r="57">
          <cell r="B57" t="str">
            <v xml:space="preserve">53 - MS + JS ab 32 kg LG bis Mastende/Belegung -N-reduzierte-Fütterung - Tiefstallmist </v>
          </cell>
        </row>
        <row r="58">
          <cell r="B58" t="str">
            <v xml:space="preserve">54 - MS + JS ab 32 kg LG bis Mastende/Belegung - stark-N-reduzierte-Fütterung - Gülle </v>
          </cell>
        </row>
        <row r="59">
          <cell r="B59" t="str">
            <v xml:space="preserve">55 - MS + JS ab 32 kg LG bis Mastende/Belegung - stark-N-reduzierte-Fütterung - Mist/Jauche </v>
          </cell>
        </row>
        <row r="60">
          <cell r="B60" t="str">
            <v xml:space="preserve">56 - MS + JS ab 32 kg LG bis Mastende/Belegung - stark-N-reduzierte-Fütterung - Tiefstallmist </v>
          </cell>
        </row>
        <row r="61">
          <cell r="B61" t="str">
            <v>57 - Zuchtschweine - Standard-Fütterung - Gülle</v>
          </cell>
        </row>
        <row r="62">
          <cell r="B62" t="str">
            <v>58 - Zuchtschweine - Standard-Fütterung - Mist/Jauche</v>
          </cell>
        </row>
        <row r="63">
          <cell r="B63" t="str">
            <v>59 - Zuchtschweine - Standard-Fütterung - Tiefstallmist</v>
          </cell>
        </row>
        <row r="64">
          <cell r="B64" t="str">
            <v>60 - Zuchtschweine - N-reduzierte Fütterung - Gülle</v>
          </cell>
        </row>
        <row r="65">
          <cell r="B65" t="str">
            <v>61 - Zuchtschweine - N-reduzierte Fütterung - Mist/Jauche</v>
          </cell>
        </row>
        <row r="66">
          <cell r="B66" t="str">
            <v>62 - Zuchtschweine - N-reduzierte Fütterung - Tiefstallmist</v>
          </cell>
        </row>
        <row r="67">
          <cell r="B67" t="str">
            <v>63 - Zuchteber - Standard-Fütterung - Gülle</v>
          </cell>
        </row>
        <row r="68">
          <cell r="B68" t="str">
            <v>64 - Zuchteber - Standard-Fütterung - Mist/Jauche</v>
          </cell>
        </row>
        <row r="69">
          <cell r="B69" t="str">
            <v>65 - Zuchteber - Standard-Fütterung - Tiefstallmist</v>
          </cell>
        </row>
        <row r="70">
          <cell r="B70" t="str">
            <v>66 - Zuchteber - N-reduzierte Fütterung - Gülle</v>
          </cell>
        </row>
        <row r="71">
          <cell r="B71" t="str">
            <v>67 - Zuchteber - N-reduzierte Fütterung - Mist/Jauche</v>
          </cell>
        </row>
        <row r="72">
          <cell r="B72" t="str">
            <v>68 - Zuchteber - N-reduzierte Fütterung - Tiefstallmist</v>
          </cell>
        </row>
        <row r="73">
          <cell r="B73" t="str">
            <v>Geflügel</v>
          </cell>
        </row>
        <row r="74">
          <cell r="B74" t="str">
            <v xml:space="preserve">70 - Kücken u. Junghennen für Legezw. bis 1/2 Jahr - Gülle </v>
          </cell>
        </row>
        <row r="75">
          <cell r="B75" t="str">
            <v xml:space="preserve">71 - Kücken u. Junghennen für Legezw. bis 1/2 Jahr - Tiefstallmist  </v>
          </cell>
        </row>
        <row r="76">
          <cell r="B76" t="str">
            <v>72 - Legehennen, Hähne - Gülle</v>
          </cell>
        </row>
        <row r="77">
          <cell r="B77" t="str">
            <v>73 - Legehennen, Hähne - Tiefstallmist</v>
          </cell>
        </row>
        <row r="78">
          <cell r="B78" t="str">
            <v xml:space="preserve">74 - Mastkücken und Jungmasthühner - 7 Umtriebe </v>
          </cell>
        </row>
        <row r="79">
          <cell r="B79" t="str">
            <v>75 - Zwerghühner, Wachteln; ausgewachsen</v>
          </cell>
        </row>
        <row r="80">
          <cell r="B80" t="str">
            <v>76 - Gänse</v>
          </cell>
        </row>
        <row r="81">
          <cell r="B81" t="str">
            <v>77 - Enten</v>
          </cell>
        </row>
        <row r="82">
          <cell r="B82" t="str">
            <v xml:space="preserve">78 - Truthühner (Puten) </v>
          </cell>
        </row>
        <row r="83">
          <cell r="B83" t="str">
            <v>Pferde, Schafe, Ziegen</v>
          </cell>
        </row>
        <row r="84">
          <cell r="B84" t="str">
            <v>80 - Kleinpferde (&lt;300 kg, bis 148 cm) 1/2 bis 3 Jahre</v>
          </cell>
        </row>
        <row r="85">
          <cell r="B85" t="str">
            <v>81 - Kleinpferde (&lt;300 kg) &gt; 3 Jahre incl. Fohlen bis 1/2 Jahr</v>
          </cell>
        </row>
        <row r="86">
          <cell r="B86" t="str">
            <v>82 - Kleinpferde (&gt;300 kg, bis 148 cm) 1/2 bis 3 Jahre</v>
          </cell>
        </row>
        <row r="87">
          <cell r="B87" t="str">
            <v>83 - Kleinpferde (&gt;300 kg) &gt; 3 Jahre incl. Fohlen bis 1/2 Jahr</v>
          </cell>
        </row>
        <row r="88">
          <cell r="B88" t="str">
            <v>84 - Pferde (&gt;500 kg, über 148 cm) 1/2 bis 3 Jahre</v>
          </cell>
        </row>
        <row r="89">
          <cell r="B89" t="str">
            <v>85 - Pferde (&gt;500 kg)&gt; 3 Jahre incl. Fohlen bis 1/2 Jahr</v>
          </cell>
        </row>
        <row r="90">
          <cell r="B90" t="str">
            <v>86 - Schafe Lämmer bis 1/2 Jahr</v>
          </cell>
        </row>
        <row r="91">
          <cell r="B91" t="str">
            <v>87 - Schafe ab 1/2 Jahr bis 1,5 Jahre</v>
          </cell>
        </row>
        <row r="92">
          <cell r="B92" t="str">
            <v>88 - Mutterschafe</v>
          </cell>
        </row>
        <row r="93">
          <cell r="B93" t="str">
            <v>89 - Ziegen bis 1/2 Jahr</v>
          </cell>
        </row>
        <row r="94">
          <cell r="B94" t="str">
            <v>90 - Ziegen ab 1/2 Jahr bis 1,5 Jahre</v>
          </cell>
        </row>
        <row r="95">
          <cell r="B95" t="str">
            <v>91 - Mutterziegen</v>
          </cell>
        </row>
        <row r="96">
          <cell r="B96" t="str">
            <v>Weitere Tierarten</v>
          </cell>
        </row>
        <row r="97">
          <cell r="B97" t="str">
            <v>92 - Rotwild Alttier inkl. Nachzucht bis 14 Monate</v>
          </cell>
        </row>
        <row r="98">
          <cell r="B98" t="str">
            <v>93 - Rotwild Hirsche</v>
          </cell>
        </row>
        <row r="99">
          <cell r="B99" t="str">
            <v>94 - Dammwild, Lamas Alpacas - Alttiere inkl. Nachzucht bis 14 Monate</v>
          </cell>
        </row>
        <row r="100">
          <cell r="B100" t="str">
            <v>95 - Dammwild, Lama, Alpacas Hirsche</v>
          </cell>
        </row>
        <row r="101">
          <cell r="B101" t="str">
            <v>96 - Straußenküken bis 1/2 Jahr Gülle</v>
          </cell>
        </row>
        <row r="102">
          <cell r="B102" t="str">
            <v>97 - Straußenküken bis 1/2 Jahr Mist</v>
          </cell>
        </row>
        <row r="103">
          <cell r="B103" t="str">
            <v>98 - Jungstraußen 0,5 - 1,5 Jahre Gülle</v>
          </cell>
        </row>
        <row r="104">
          <cell r="B104" t="str">
            <v>99 - Jungstraußen 0,5 - 1,5 Jahre Mist</v>
          </cell>
        </row>
        <row r="105">
          <cell r="B105" t="str">
            <v>100 - Zuchtstraußenhenne - Gülle</v>
          </cell>
        </row>
        <row r="106">
          <cell r="B106" t="str">
            <v>101 - Zuchtstraußenhenne - Mist</v>
          </cell>
        </row>
        <row r="107">
          <cell r="B107" t="str">
            <v>102 - Zuchtstraußenhahn - Gülle</v>
          </cell>
        </row>
        <row r="108">
          <cell r="B108" t="str">
            <v>103 - Zuchtstraußenhahn - Mist</v>
          </cell>
        </row>
        <row r="109">
          <cell r="B109" t="str">
            <v>104 - Mastkaninchen - Gülle</v>
          </cell>
        </row>
        <row r="110">
          <cell r="B110" t="str">
            <v>105 - Mastkaninchen - Tiefstall</v>
          </cell>
        </row>
        <row r="111">
          <cell r="B111" t="str">
            <v>106 - Zuchtkaninchen - Gülle</v>
          </cell>
        </row>
        <row r="112">
          <cell r="B112" t="str">
            <v>107 - Zuchtkaninchen - Tiestall</v>
          </cell>
        </row>
        <row r="113">
          <cell r="B113" t="str">
            <v>Zwergrinder</v>
          </cell>
        </row>
        <row r="114">
          <cell r="B114" t="str">
            <v>108 - Zwergrind - andere Kälber und Jungrinder unter 1/2 Jahr - Gülle = N abLager</v>
          </cell>
        </row>
        <row r="115">
          <cell r="B115" t="str">
            <v>109 - Zwergrind - andere Kälber und Jungrinder unter 1/2 Jahr - Mist/Jauche</v>
          </cell>
        </row>
        <row r="116">
          <cell r="B116" t="str">
            <v>110 - Zwergrind - andere Kälber und Jungrinder unter 1/2 Jahr - Tiefstallmist</v>
          </cell>
        </row>
        <row r="117">
          <cell r="B117" t="str">
            <v>111 - Zwergrind - Jungvieh 1/2 bis 1 Jahr - Gülle</v>
          </cell>
        </row>
        <row r="118">
          <cell r="B118" t="str">
            <v>112 - Zwergrind - Jungvieh 1/2 bis 1 Jahr - Mist/Jauche</v>
          </cell>
        </row>
        <row r="119">
          <cell r="B119" t="str">
            <v>113 - Zwergrind - Jungvieh 1/2 bis 1 Jahr - Tiefstallmist</v>
          </cell>
        </row>
        <row r="120">
          <cell r="B120" t="str">
            <v>114 - Zwergrind - Jungvieh 1 bis 2 Jahr - Gülle</v>
          </cell>
        </row>
        <row r="121">
          <cell r="B121" t="str">
            <v>115 - Zwergrind - Jungvieh 1 bis 2 Jahr - Mist/Jauche</v>
          </cell>
        </row>
        <row r="122">
          <cell r="B122" t="str">
            <v>116 - Zwergrind - Jungvieh 1 bis 2 Jahr - Tiefstallmist</v>
          </cell>
        </row>
        <row r="123">
          <cell r="B123" t="str">
            <v>117 - Zwergrind - Ochsen, Stiere - Gülle</v>
          </cell>
        </row>
        <row r="124">
          <cell r="B124" t="str">
            <v>118 - Zwergrind - Ochsen, Stiere - Mist/Jauche</v>
          </cell>
        </row>
        <row r="125">
          <cell r="B125" t="str">
            <v>119 - Zwergrind - Ochsen, Stiere - Tiefstallmist</v>
          </cell>
        </row>
        <row r="126">
          <cell r="B126" t="str">
            <v>120 - Zwergrind - Kalbinnen - Gülle</v>
          </cell>
        </row>
        <row r="127">
          <cell r="B127" t="str">
            <v>121 - Zwergrind - Kalbinnen - Mist/Jauche</v>
          </cell>
        </row>
        <row r="128">
          <cell r="B128" t="str">
            <v>122 - Zwergrind - Kalbinnen - Tiefstallmist</v>
          </cell>
        </row>
        <row r="129">
          <cell r="B129" t="str">
            <v>123 - Zwergrind - Milch- bzw. Mutterkühe (3000 kg Milch)  - Gülle</v>
          </cell>
        </row>
        <row r="130">
          <cell r="B130" t="str">
            <v>124 - Zwergrind - Milch- bzw. Mutterkühe (3000 kg Milch)  - Mist / Jauche</v>
          </cell>
        </row>
        <row r="131">
          <cell r="B131" t="str">
            <v>125 - Zwergrind - Milch- bzw. Mutterkühe (3000 kg Milch)  - Tiefstallmist</v>
          </cell>
        </row>
        <row r="132">
          <cell r="B132" t="str">
            <v>126 - Zwergrind - Milch- bzw. Ammenkühe (4000 kg Milch)  - Gülle</v>
          </cell>
        </row>
        <row r="133">
          <cell r="B133" t="str">
            <v>127 - Zwergrind - Milch- bzw. Ammenkühe (4000 kg Milch)  - Mist / Jauche</v>
          </cell>
        </row>
        <row r="134">
          <cell r="B134" t="str">
            <v>128 - Zwergrind - Milch- bzw. Ammenkühe (4000 kg Milch)  - Tiefstallmist</v>
          </cell>
        </row>
        <row r="135">
          <cell r="B135" t="str">
            <v>129 - Zwergrind - Milchkühe (5000 kg Milch) - Gülle</v>
          </cell>
        </row>
        <row r="136">
          <cell r="B136" t="str">
            <v>130 - Zwergrind - Milchkühe (5000 kg Milch) - Mist/Jauche</v>
          </cell>
        </row>
        <row r="137">
          <cell r="B137" t="str">
            <v>131 - Zwergrind - Milchkühe (5000 kg Milch) - Tiefstallmist</v>
          </cell>
        </row>
        <row r="138">
          <cell r="B138" t="str">
            <v>132 - Zwergrind - Milchkühe (6000 kg Milch) - Gülle</v>
          </cell>
        </row>
        <row r="139">
          <cell r="B139" t="str">
            <v>133 - Zwergrind - Milchkühe (6000 kg Milch) - Mist/Jauche</v>
          </cell>
        </row>
        <row r="140">
          <cell r="B140" t="str">
            <v>134 - Zwergrind - Milchkühe (6000 kg Milch) - Tiefstallmist</v>
          </cell>
        </row>
        <row r="141">
          <cell r="B141" t="str">
            <v>135 - Zwergrind - Milchkühe (7000 kg Milch) - Gülle</v>
          </cell>
        </row>
        <row r="142">
          <cell r="B142" t="str">
            <v>136 - Zwergrind - Milchkühe (7000 kg Milch) - Mist/Jauche</v>
          </cell>
        </row>
        <row r="143">
          <cell r="B143" t="str">
            <v>137 - Zwergrind - Milchkühe (7000 kg Milch) - Tiefstallmist</v>
          </cell>
        </row>
        <row r="144">
          <cell r="B144" t="str">
            <v>138 - Zwergrind - Milchkühe (8000 kg Milch) - Gülle</v>
          </cell>
        </row>
        <row r="145">
          <cell r="B145" t="str">
            <v>139 - Zwergrind - Milchkühe (8000 kg Milch) - Mist/Jauche</v>
          </cell>
        </row>
        <row r="146">
          <cell r="B146" t="str">
            <v>140 - Zwergrind - Milchkühe (8000 kg Milch) - Tiefstallmist</v>
          </cell>
        </row>
        <row r="147">
          <cell r="B147" t="str">
            <v>141 - Zwergrind - Milchkühe (9000 kg Milch) - Gülle</v>
          </cell>
        </row>
        <row r="148">
          <cell r="B148" t="str">
            <v>142 - Zwergrind - Milchkühe (9000 kg Milch) - Mist/Jauche</v>
          </cell>
        </row>
        <row r="149">
          <cell r="B149" t="str">
            <v>143 - Zwergrind - Milchkühe (9000 kg Milch) - Tiefstallmist</v>
          </cell>
        </row>
        <row r="150">
          <cell r="B150" t="str">
            <v>144 - Zwergrind - Milchkühe (&gt; 10.000 kg Milch) - Gülle</v>
          </cell>
        </row>
        <row r="151">
          <cell r="B151" t="str">
            <v>145 - Zwergrind - Milchkühe (&gt; 10.000 kg Milch) - Mist/Jauche</v>
          </cell>
        </row>
        <row r="152">
          <cell r="B152" t="str">
            <v>146 - Zwergrind - Milchkühe (&gt; 10.000 kg Milch) - Tiefstallmist</v>
          </cell>
        </row>
      </sheetData>
      <sheetData sheetId="3"/>
      <sheetData sheetId="4"/>
      <sheetData sheetId="5"/>
      <sheetData sheetId="6"/>
      <sheetData sheetId="7"/>
      <sheetData sheetId="8"/>
      <sheetData sheetId="9"/>
      <sheetData sheetId="10"/>
      <sheetData sheetId="11"/>
      <sheetData sheetId="12">
        <row r="5">
          <cell r="AD5" t="str">
            <v>Weizen &lt; 14 % RP</v>
          </cell>
          <cell r="AE5">
            <v>105</v>
          </cell>
          <cell r="AF5">
            <v>130</v>
          </cell>
          <cell r="AG5">
            <v>145</v>
          </cell>
          <cell r="AH5">
            <v>150</v>
          </cell>
          <cell r="AI5">
            <v>170</v>
          </cell>
          <cell r="AJ5">
            <v>180</v>
          </cell>
          <cell r="AK5">
            <v>195</v>
          </cell>
          <cell r="AL5">
            <v>22</v>
          </cell>
          <cell r="AO5" t="str">
            <v>Weizen &lt; 14 % RP</v>
          </cell>
          <cell r="AP5">
            <v>50</v>
          </cell>
          <cell r="AQ5">
            <v>55</v>
          </cell>
          <cell r="AR5">
            <v>65</v>
          </cell>
          <cell r="AS5">
            <v>65</v>
          </cell>
          <cell r="AT5">
            <v>65</v>
          </cell>
          <cell r="AZ5" t="str">
            <v>Weizen &lt; 14 % RP</v>
          </cell>
          <cell r="BA5">
            <v>70</v>
          </cell>
          <cell r="BB5">
            <v>80</v>
          </cell>
          <cell r="BC5">
            <v>90</v>
          </cell>
          <cell r="BD5">
            <v>90</v>
          </cell>
          <cell r="BE5">
            <v>90</v>
          </cell>
          <cell r="BF5">
            <v>50</v>
          </cell>
        </row>
        <row r="6">
          <cell r="AD6" t="str">
            <v>Weizen &gt;= 14 % RP</v>
          </cell>
          <cell r="AE6">
            <v>105</v>
          </cell>
          <cell r="AF6">
            <v>130</v>
          </cell>
          <cell r="AG6">
            <v>145</v>
          </cell>
          <cell r="AH6">
            <v>150</v>
          </cell>
          <cell r="AI6">
            <v>170</v>
          </cell>
          <cell r="AJ6">
            <v>180</v>
          </cell>
          <cell r="AK6">
            <v>195</v>
          </cell>
          <cell r="AL6">
            <v>24</v>
          </cell>
          <cell r="AO6" t="str">
            <v>Weizen &gt;= 14 % RP</v>
          </cell>
          <cell r="AP6">
            <v>50</v>
          </cell>
          <cell r="AQ6">
            <v>55</v>
          </cell>
          <cell r="AR6">
            <v>65</v>
          </cell>
          <cell r="AS6">
            <v>65</v>
          </cell>
          <cell r="AT6">
            <v>65</v>
          </cell>
          <cell r="AZ6" t="str">
            <v>Weizen &gt;= 14 % RP</v>
          </cell>
          <cell r="BA6">
            <v>70</v>
          </cell>
          <cell r="BB6">
            <v>80</v>
          </cell>
          <cell r="BC6">
            <v>90</v>
          </cell>
          <cell r="BD6">
            <v>90</v>
          </cell>
          <cell r="BE6">
            <v>90</v>
          </cell>
          <cell r="BF6">
            <v>50</v>
          </cell>
        </row>
        <row r="7">
          <cell r="AD7" t="str">
            <v xml:space="preserve">Durum </v>
          </cell>
          <cell r="AE7">
            <v>105</v>
          </cell>
          <cell r="AF7">
            <v>130</v>
          </cell>
          <cell r="AG7">
            <v>145</v>
          </cell>
          <cell r="AH7">
            <v>150</v>
          </cell>
          <cell r="AI7">
            <v>170</v>
          </cell>
          <cell r="AJ7">
            <v>180</v>
          </cell>
          <cell r="AK7">
            <v>195</v>
          </cell>
          <cell r="AL7">
            <v>29</v>
          </cell>
          <cell r="AO7" t="str">
            <v xml:space="preserve">Durum </v>
          </cell>
          <cell r="AP7">
            <v>50</v>
          </cell>
          <cell r="AQ7">
            <v>55</v>
          </cell>
          <cell r="AR7">
            <v>65</v>
          </cell>
          <cell r="AS7">
            <v>65</v>
          </cell>
          <cell r="AT7">
            <v>65</v>
          </cell>
          <cell r="AZ7" t="str">
            <v xml:space="preserve">Durum </v>
          </cell>
          <cell r="BA7">
            <v>70</v>
          </cell>
          <cell r="BB7">
            <v>80</v>
          </cell>
          <cell r="BC7">
            <v>90</v>
          </cell>
          <cell r="BD7">
            <v>90</v>
          </cell>
          <cell r="BE7">
            <v>90</v>
          </cell>
          <cell r="BF7">
            <v>50</v>
          </cell>
        </row>
        <row r="8">
          <cell r="AD8" t="str">
            <v>Wintergerste</v>
          </cell>
          <cell r="AE8">
            <v>95</v>
          </cell>
          <cell r="AF8">
            <v>120</v>
          </cell>
          <cell r="AG8">
            <v>130</v>
          </cell>
          <cell r="AH8">
            <v>135</v>
          </cell>
          <cell r="AI8">
            <v>155</v>
          </cell>
          <cell r="AJ8">
            <v>170</v>
          </cell>
          <cell r="AK8">
            <v>180</v>
          </cell>
          <cell r="AL8">
            <v>20</v>
          </cell>
          <cell r="AO8" t="str">
            <v>Wintergerste</v>
          </cell>
          <cell r="AP8">
            <v>50</v>
          </cell>
          <cell r="AQ8">
            <v>55</v>
          </cell>
          <cell r="AR8">
            <v>65</v>
          </cell>
          <cell r="AS8">
            <v>65</v>
          </cell>
          <cell r="AT8">
            <v>65</v>
          </cell>
          <cell r="AZ8" t="str">
            <v>Wintergerste</v>
          </cell>
          <cell r="BA8">
            <v>70</v>
          </cell>
          <cell r="BB8">
            <v>80</v>
          </cell>
          <cell r="BC8">
            <v>90</v>
          </cell>
          <cell r="BD8">
            <v>90</v>
          </cell>
          <cell r="BE8">
            <v>90</v>
          </cell>
          <cell r="BF8">
            <v>50</v>
          </cell>
        </row>
        <row r="9">
          <cell r="AD9" t="str">
            <v>Triticale</v>
          </cell>
          <cell r="AE9">
            <v>90</v>
          </cell>
          <cell r="AF9">
            <v>110</v>
          </cell>
          <cell r="AG9">
            <v>120</v>
          </cell>
          <cell r="AH9">
            <v>120</v>
          </cell>
          <cell r="AI9">
            <v>145</v>
          </cell>
          <cell r="AJ9">
            <v>155</v>
          </cell>
          <cell r="AK9">
            <v>165</v>
          </cell>
          <cell r="AL9">
            <v>18</v>
          </cell>
          <cell r="AO9" t="str">
            <v>Triticale</v>
          </cell>
          <cell r="AP9">
            <v>50</v>
          </cell>
          <cell r="AQ9">
            <v>55</v>
          </cell>
          <cell r="AR9">
            <v>65</v>
          </cell>
          <cell r="AS9">
            <v>65</v>
          </cell>
          <cell r="AT9">
            <v>65</v>
          </cell>
          <cell r="AZ9" t="str">
            <v>Triticale</v>
          </cell>
          <cell r="BA9">
            <v>70</v>
          </cell>
          <cell r="BB9">
            <v>80</v>
          </cell>
          <cell r="BC9">
            <v>90</v>
          </cell>
          <cell r="BD9">
            <v>90</v>
          </cell>
          <cell r="BE9">
            <v>90</v>
          </cell>
          <cell r="BF9">
            <v>50</v>
          </cell>
        </row>
        <row r="10">
          <cell r="AD10" t="str">
            <v>Roggen</v>
          </cell>
          <cell r="AE10">
            <v>80</v>
          </cell>
          <cell r="AF10">
            <v>100</v>
          </cell>
          <cell r="AG10">
            <v>110</v>
          </cell>
          <cell r="AH10">
            <v>110</v>
          </cell>
          <cell r="AI10">
            <v>130</v>
          </cell>
          <cell r="AJ10">
            <v>140</v>
          </cell>
          <cell r="AK10">
            <v>150</v>
          </cell>
          <cell r="AL10">
            <v>18</v>
          </cell>
          <cell r="AO10" t="str">
            <v>Roggen</v>
          </cell>
          <cell r="AP10">
            <v>50</v>
          </cell>
          <cell r="AQ10">
            <v>55</v>
          </cell>
          <cell r="AR10">
            <v>65</v>
          </cell>
          <cell r="AS10">
            <v>65</v>
          </cell>
          <cell r="AT10">
            <v>65</v>
          </cell>
          <cell r="AZ10" t="str">
            <v>Roggen</v>
          </cell>
          <cell r="BA10">
            <v>70</v>
          </cell>
          <cell r="BB10">
            <v>80</v>
          </cell>
          <cell r="BC10">
            <v>90</v>
          </cell>
          <cell r="BD10">
            <v>90</v>
          </cell>
          <cell r="BE10">
            <v>90</v>
          </cell>
          <cell r="BF10">
            <v>50</v>
          </cell>
        </row>
        <row r="11">
          <cell r="AD11" t="str">
            <v>Sommerfuttergerste</v>
          </cell>
          <cell r="AE11">
            <v>80</v>
          </cell>
          <cell r="AF11">
            <v>100</v>
          </cell>
          <cell r="AG11">
            <v>110</v>
          </cell>
          <cell r="AH11">
            <v>110</v>
          </cell>
          <cell r="AI11">
            <v>130</v>
          </cell>
          <cell r="AJ11">
            <v>140</v>
          </cell>
          <cell r="AK11">
            <v>150</v>
          </cell>
          <cell r="AL11">
            <v>18</v>
          </cell>
          <cell r="AO11" t="str">
            <v>Sommerfuttergerste</v>
          </cell>
          <cell r="AP11">
            <v>50</v>
          </cell>
          <cell r="AQ11">
            <v>55</v>
          </cell>
          <cell r="AR11">
            <v>65</v>
          </cell>
          <cell r="AS11">
            <v>65</v>
          </cell>
          <cell r="AT11">
            <v>65</v>
          </cell>
          <cell r="AZ11" t="str">
            <v>Sommerfuttergerste</v>
          </cell>
          <cell r="BA11">
            <v>70</v>
          </cell>
          <cell r="BB11">
            <v>80</v>
          </cell>
          <cell r="BC11">
            <v>90</v>
          </cell>
          <cell r="BD11">
            <v>90</v>
          </cell>
          <cell r="BE11">
            <v>90</v>
          </cell>
          <cell r="BF11">
            <v>50</v>
          </cell>
        </row>
        <row r="12">
          <cell r="AD12" t="str">
            <v>Dinkel (entspelzt)</v>
          </cell>
          <cell r="AE12">
            <v>65</v>
          </cell>
          <cell r="AF12">
            <v>80</v>
          </cell>
          <cell r="AG12">
            <v>90</v>
          </cell>
          <cell r="AH12">
            <v>90</v>
          </cell>
          <cell r="AI12">
            <v>105</v>
          </cell>
          <cell r="AJ12">
            <v>105</v>
          </cell>
          <cell r="AK12">
            <v>105</v>
          </cell>
          <cell r="AO12" t="str">
            <v>Dinkel (entspelzt)</v>
          </cell>
          <cell r="AP12">
            <v>50</v>
          </cell>
          <cell r="AQ12">
            <v>55</v>
          </cell>
          <cell r="AR12">
            <v>65</v>
          </cell>
          <cell r="AS12">
            <v>65</v>
          </cell>
          <cell r="AT12">
            <v>65</v>
          </cell>
          <cell r="AZ12" t="str">
            <v>Dinkel (entspelzt)</v>
          </cell>
          <cell r="BA12">
            <v>70</v>
          </cell>
          <cell r="BB12">
            <v>80</v>
          </cell>
          <cell r="BC12">
            <v>90</v>
          </cell>
          <cell r="BD12">
            <v>90</v>
          </cell>
          <cell r="BE12">
            <v>90</v>
          </cell>
          <cell r="BF12">
            <v>50</v>
          </cell>
        </row>
        <row r="13">
          <cell r="AD13" t="str">
            <v xml:space="preserve">Hafer </v>
          </cell>
          <cell r="AE13">
            <v>75</v>
          </cell>
          <cell r="AF13">
            <v>90</v>
          </cell>
          <cell r="AG13">
            <v>100</v>
          </cell>
          <cell r="AH13">
            <v>100</v>
          </cell>
          <cell r="AI13">
            <v>115</v>
          </cell>
          <cell r="AJ13">
            <v>125</v>
          </cell>
          <cell r="AK13">
            <v>135</v>
          </cell>
          <cell r="AO13" t="str">
            <v xml:space="preserve">Hafer </v>
          </cell>
          <cell r="AP13">
            <v>50</v>
          </cell>
          <cell r="AQ13">
            <v>55</v>
          </cell>
          <cell r="AR13">
            <v>65</v>
          </cell>
          <cell r="AS13">
            <v>65</v>
          </cell>
          <cell r="AT13">
            <v>65</v>
          </cell>
          <cell r="AZ13" t="str">
            <v xml:space="preserve">Hafer </v>
          </cell>
          <cell r="BA13">
            <v>70</v>
          </cell>
          <cell r="BB13">
            <v>80</v>
          </cell>
          <cell r="BC13">
            <v>90</v>
          </cell>
          <cell r="BD13">
            <v>90</v>
          </cell>
          <cell r="BE13">
            <v>90</v>
          </cell>
          <cell r="BF13">
            <v>50</v>
          </cell>
        </row>
        <row r="14">
          <cell r="AD14" t="str">
            <v>Sommerbraugerste</v>
          </cell>
          <cell r="AE14">
            <v>50</v>
          </cell>
          <cell r="AF14">
            <v>70</v>
          </cell>
          <cell r="AG14">
            <v>70</v>
          </cell>
          <cell r="AH14">
            <v>80</v>
          </cell>
          <cell r="AI14">
            <v>80</v>
          </cell>
          <cell r="AJ14">
            <v>80</v>
          </cell>
          <cell r="AK14">
            <v>80</v>
          </cell>
          <cell r="AL14">
            <v>14</v>
          </cell>
          <cell r="AO14" t="str">
            <v>Sommerbraugerste</v>
          </cell>
          <cell r="AP14">
            <v>50</v>
          </cell>
          <cell r="AQ14">
            <v>55</v>
          </cell>
          <cell r="AR14">
            <v>65</v>
          </cell>
          <cell r="AS14">
            <v>65</v>
          </cell>
          <cell r="AT14">
            <v>65</v>
          </cell>
          <cell r="AZ14" t="str">
            <v>Sommerbraugerste</v>
          </cell>
          <cell r="BA14">
            <v>70</v>
          </cell>
          <cell r="BB14">
            <v>80</v>
          </cell>
          <cell r="BC14">
            <v>90</v>
          </cell>
          <cell r="BD14">
            <v>90</v>
          </cell>
          <cell r="BE14">
            <v>90</v>
          </cell>
          <cell r="BF14">
            <v>50</v>
          </cell>
        </row>
        <row r="15">
          <cell r="AD15" t="str">
            <v>Körnermais</v>
          </cell>
          <cell r="AE15">
            <v>115</v>
          </cell>
          <cell r="AF15">
            <v>140</v>
          </cell>
          <cell r="AG15">
            <v>155</v>
          </cell>
          <cell r="AH15">
            <v>160</v>
          </cell>
          <cell r="AI15">
            <v>180</v>
          </cell>
          <cell r="AJ15">
            <v>195</v>
          </cell>
          <cell r="AK15">
            <v>210</v>
          </cell>
          <cell r="AL15">
            <v>14</v>
          </cell>
          <cell r="AO15" t="str">
            <v>Körnermais</v>
          </cell>
          <cell r="AP15">
            <v>75</v>
          </cell>
          <cell r="AQ15">
            <v>85</v>
          </cell>
          <cell r="AR15">
            <v>100</v>
          </cell>
          <cell r="AS15">
            <v>100</v>
          </cell>
          <cell r="AT15">
            <v>100</v>
          </cell>
          <cell r="AZ15" t="str">
            <v>Körnermais</v>
          </cell>
          <cell r="BA15">
            <v>180</v>
          </cell>
          <cell r="BB15">
            <v>200</v>
          </cell>
          <cell r="BC15">
            <v>230</v>
          </cell>
          <cell r="BD15">
            <v>230</v>
          </cell>
          <cell r="BE15">
            <v>230</v>
          </cell>
          <cell r="BF15">
            <v>120</v>
          </cell>
        </row>
        <row r="16">
          <cell r="AD16" t="str">
            <v>Silomais (FM)</v>
          </cell>
          <cell r="AE16">
            <v>130</v>
          </cell>
          <cell r="AF16">
            <v>160</v>
          </cell>
          <cell r="AG16">
            <v>175</v>
          </cell>
          <cell r="AH16">
            <v>180</v>
          </cell>
          <cell r="AI16">
            <v>210</v>
          </cell>
          <cell r="AJ16">
            <v>225</v>
          </cell>
          <cell r="AK16">
            <v>240</v>
          </cell>
          <cell r="AL16">
            <v>3.2</v>
          </cell>
          <cell r="AO16" t="str">
            <v>Silomais (FM)</v>
          </cell>
          <cell r="AP16">
            <v>80</v>
          </cell>
          <cell r="AQ16">
            <v>90</v>
          </cell>
          <cell r="AR16">
            <v>105</v>
          </cell>
          <cell r="AS16">
            <v>105</v>
          </cell>
          <cell r="AT16">
            <v>105</v>
          </cell>
          <cell r="AZ16" t="str">
            <v>Silomais (FM)</v>
          </cell>
          <cell r="BA16">
            <v>200</v>
          </cell>
          <cell r="BB16">
            <v>225</v>
          </cell>
          <cell r="BC16">
            <v>260</v>
          </cell>
          <cell r="BD16">
            <v>260</v>
          </cell>
          <cell r="BE16">
            <v>260</v>
          </cell>
          <cell r="BF16">
            <v>0</v>
          </cell>
        </row>
        <row r="17">
          <cell r="AD17" t="str">
            <v>Körnerhirse/ - sorghum</v>
          </cell>
          <cell r="AE17">
            <v>115</v>
          </cell>
          <cell r="AF17">
            <v>140</v>
          </cell>
          <cell r="AG17">
            <v>155</v>
          </cell>
          <cell r="AH17">
            <v>160</v>
          </cell>
          <cell r="AI17">
            <v>180</v>
          </cell>
          <cell r="AJ17">
            <v>195</v>
          </cell>
          <cell r="AK17">
            <v>210</v>
          </cell>
          <cell r="AO17" t="str">
            <v>Körnerhirse/ - sorghum</v>
          </cell>
          <cell r="AP17">
            <v>75</v>
          </cell>
          <cell r="AQ17">
            <v>85</v>
          </cell>
          <cell r="AR17">
            <v>100</v>
          </cell>
          <cell r="AS17">
            <v>100</v>
          </cell>
          <cell r="AT17">
            <v>100</v>
          </cell>
          <cell r="AZ17" t="str">
            <v>Körnerhirse/ - sorghum</v>
          </cell>
          <cell r="BA17">
            <v>190</v>
          </cell>
          <cell r="BB17">
            <v>210</v>
          </cell>
          <cell r="BC17">
            <v>240</v>
          </cell>
          <cell r="BD17">
            <v>240</v>
          </cell>
          <cell r="BE17">
            <v>240</v>
          </cell>
          <cell r="BF17">
            <v>170</v>
          </cell>
        </row>
        <row r="18">
          <cell r="AD18" t="str">
            <v>Silohirse/ - sorghum TM</v>
          </cell>
          <cell r="AE18">
            <v>130</v>
          </cell>
          <cell r="AF18">
            <v>160</v>
          </cell>
          <cell r="AG18">
            <v>175</v>
          </cell>
          <cell r="AH18">
            <v>180</v>
          </cell>
          <cell r="AI18">
            <v>210</v>
          </cell>
          <cell r="AJ18">
            <v>225</v>
          </cell>
          <cell r="AK18">
            <v>240</v>
          </cell>
          <cell r="AO18" t="str">
            <v>Silohirse/ - sorghum TM</v>
          </cell>
          <cell r="AP18">
            <v>80</v>
          </cell>
          <cell r="AQ18">
            <v>95</v>
          </cell>
          <cell r="AR18">
            <v>105</v>
          </cell>
          <cell r="AS18">
            <v>105</v>
          </cell>
          <cell r="AT18">
            <v>105</v>
          </cell>
          <cell r="AZ18" t="str">
            <v>Silohirse/ - sorghum TM</v>
          </cell>
          <cell r="BA18">
            <v>340</v>
          </cell>
          <cell r="BB18">
            <v>375</v>
          </cell>
          <cell r="BC18">
            <v>430</v>
          </cell>
          <cell r="BD18">
            <v>430</v>
          </cell>
          <cell r="BE18">
            <v>430</v>
          </cell>
          <cell r="BF18">
            <v>0</v>
          </cell>
        </row>
        <row r="19">
          <cell r="AD19" t="str">
            <v>Silohirse/ - sorghum FM</v>
          </cell>
          <cell r="AE19">
            <v>130</v>
          </cell>
          <cell r="AF19">
            <v>160</v>
          </cell>
          <cell r="AG19">
            <v>175</v>
          </cell>
          <cell r="AH19">
            <v>180</v>
          </cell>
          <cell r="AI19">
            <v>210</v>
          </cell>
          <cell r="AJ19">
            <v>225</v>
          </cell>
          <cell r="AK19">
            <v>240</v>
          </cell>
          <cell r="AO19" t="str">
            <v>Silohirse/ - sorghum FM</v>
          </cell>
          <cell r="AP19">
            <v>80</v>
          </cell>
          <cell r="AQ19">
            <v>95</v>
          </cell>
          <cell r="AR19">
            <v>105</v>
          </cell>
          <cell r="AS19">
            <v>105</v>
          </cell>
          <cell r="AT19">
            <v>105</v>
          </cell>
          <cell r="AZ19" t="str">
            <v>Silohirse/ - sorghum FM</v>
          </cell>
          <cell r="BA19">
            <v>340</v>
          </cell>
          <cell r="BB19">
            <v>375</v>
          </cell>
          <cell r="BC19">
            <v>430</v>
          </cell>
          <cell r="BD19">
            <v>430</v>
          </cell>
          <cell r="BE19">
            <v>430</v>
          </cell>
          <cell r="BF19">
            <v>0</v>
          </cell>
        </row>
        <row r="20">
          <cell r="AD20" t="str">
            <v>Körnererbse</v>
          </cell>
          <cell r="AE20">
            <v>40</v>
          </cell>
          <cell r="AF20">
            <v>0</v>
          </cell>
          <cell r="AG20">
            <v>60</v>
          </cell>
          <cell r="AH20">
            <v>0</v>
          </cell>
          <cell r="AI20">
            <v>60</v>
          </cell>
          <cell r="AJ20">
            <v>60</v>
          </cell>
          <cell r="AK20">
            <v>60</v>
          </cell>
          <cell r="AL20">
            <v>0</v>
          </cell>
          <cell r="AO20" t="str">
            <v>Körnererbse</v>
          </cell>
          <cell r="AP20">
            <v>60</v>
          </cell>
          <cell r="AQ20">
            <v>65</v>
          </cell>
          <cell r="AR20">
            <v>75</v>
          </cell>
          <cell r="AS20">
            <v>75</v>
          </cell>
          <cell r="AT20">
            <v>75</v>
          </cell>
          <cell r="AZ20" t="str">
            <v>Körnererbse</v>
          </cell>
          <cell r="BA20">
            <v>90</v>
          </cell>
          <cell r="BB20">
            <v>100</v>
          </cell>
          <cell r="BC20">
            <v>115</v>
          </cell>
          <cell r="BD20">
            <v>115</v>
          </cell>
          <cell r="BE20">
            <v>115</v>
          </cell>
          <cell r="BF20">
            <v>40</v>
          </cell>
        </row>
        <row r="21">
          <cell r="AD21" t="str">
            <v>Ackerbohne</v>
          </cell>
          <cell r="AE21">
            <v>40</v>
          </cell>
          <cell r="AF21">
            <v>0</v>
          </cell>
          <cell r="AG21">
            <v>60</v>
          </cell>
          <cell r="AH21">
            <v>0</v>
          </cell>
          <cell r="AI21">
            <v>60</v>
          </cell>
          <cell r="AJ21">
            <v>60</v>
          </cell>
          <cell r="AK21">
            <v>60</v>
          </cell>
          <cell r="AL21">
            <v>0</v>
          </cell>
          <cell r="AO21" t="str">
            <v>Ackerbohne</v>
          </cell>
          <cell r="AP21">
            <v>60</v>
          </cell>
          <cell r="AQ21">
            <v>65</v>
          </cell>
          <cell r="AR21">
            <v>75</v>
          </cell>
          <cell r="AS21">
            <v>75</v>
          </cell>
          <cell r="AT21">
            <v>75</v>
          </cell>
          <cell r="AZ21" t="str">
            <v>Ackerbohne</v>
          </cell>
          <cell r="BA21">
            <v>110</v>
          </cell>
          <cell r="BB21">
            <v>120</v>
          </cell>
          <cell r="BC21">
            <v>140</v>
          </cell>
          <cell r="BD21">
            <v>140</v>
          </cell>
          <cell r="BE21">
            <v>140</v>
          </cell>
          <cell r="BF21">
            <v>45</v>
          </cell>
        </row>
        <row r="22">
          <cell r="AD22" t="str">
            <v>Sojabohne</v>
          </cell>
          <cell r="AE22">
            <v>40</v>
          </cell>
          <cell r="AF22">
            <v>0</v>
          </cell>
          <cell r="AG22">
            <v>60</v>
          </cell>
          <cell r="AH22">
            <v>0</v>
          </cell>
          <cell r="AI22">
            <v>60</v>
          </cell>
          <cell r="AJ22">
            <v>60</v>
          </cell>
          <cell r="AK22">
            <v>60</v>
          </cell>
          <cell r="AL22">
            <v>0</v>
          </cell>
          <cell r="AO22" t="str">
            <v>Sojabohne</v>
          </cell>
          <cell r="AP22">
            <v>60</v>
          </cell>
          <cell r="AQ22">
            <v>65</v>
          </cell>
          <cell r="AR22">
            <v>75</v>
          </cell>
          <cell r="AS22">
            <v>75</v>
          </cell>
          <cell r="AT22">
            <v>75</v>
          </cell>
          <cell r="AZ22" t="str">
            <v>Sojabohne</v>
          </cell>
          <cell r="BA22">
            <v>81</v>
          </cell>
          <cell r="BB22">
            <v>90</v>
          </cell>
          <cell r="BC22">
            <v>103.49999999999999</v>
          </cell>
          <cell r="BD22">
            <v>90</v>
          </cell>
          <cell r="BE22">
            <v>90</v>
          </cell>
          <cell r="BF22">
            <v>40</v>
          </cell>
        </row>
        <row r="23">
          <cell r="AD23" t="str">
            <v>Körnerraps</v>
          </cell>
          <cell r="AE23">
            <v>115</v>
          </cell>
          <cell r="AF23">
            <v>140</v>
          </cell>
          <cell r="AG23">
            <v>155</v>
          </cell>
          <cell r="AH23">
            <v>160</v>
          </cell>
          <cell r="AI23">
            <v>180</v>
          </cell>
          <cell r="AJ23">
            <v>195</v>
          </cell>
          <cell r="AK23">
            <v>210</v>
          </cell>
          <cell r="AL23">
            <v>47</v>
          </cell>
          <cell r="AO23" t="str">
            <v>Körnerraps</v>
          </cell>
          <cell r="AP23">
            <v>70</v>
          </cell>
          <cell r="AQ23">
            <v>75</v>
          </cell>
          <cell r="AR23">
            <v>85</v>
          </cell>
          <cell r="AS23">
            <v>85</v>
          </cell>
          <cell r="AT23">
            <v>85</v>
          </cell>
          <cell r="AZ23" t="str">
            <v>Körnerraps</v>
          </cell>
          <cell r="BA23">
            <v>180</v>
          </cell>
          <cell r="BB23">
            <v>200</v>
          </cell>
          <cell r="BC23">
            <v>230</v>
          </cell>
          <cell r="BD23">
            <v>230</v>
          </cell>
          <cell r="BE23">
            <v>230</v>
          </cell>
          <cell r="BF23">
            <v>120</v>
          </cell>
        </row>
        <row r="24">
          <cell r="AD24" t="str">
            <v>Sonnenblume</v>
          </cell>
          <cell r="AE24">
            <v>55</v>
          </cell>
          <cell r="AF24">
            <v>60</v>
          </cell>
          <cell r="AG24">
            <v>65</v>
          </cell>
          <cell r="AH24">
            <v>70</v>
          </cell>
          <cell r="AI24">
            <v>80</v>
          </cell>
          <cell r="AJ24">
            <v>85</v>
          </cell>
          <cell r="AK24">
            <v>90</v>
          </cell>
          <cell r="AL24">
            <v>20</v>
          </cell>
          <cell r="AO24" t="str">
            <v>Sonnenblume</v>
          </cell>
          <cell r="AP24">
            <v>60</v>
          </cell>
          <cell r="AQ24">
            <v>65</v>
          </cell>
          <cell r="AR24">
            <v>75</v>
          </cell>
          <cell r="AS24">
            <v>75</v>
          </cell>
          <cell r="AT24">
            <v>75</v>
          </cell>
          <cell r="AZ24" t="str">
            <v>Sonnenblume</v>
          </cell>
          <cell r="BA24">
            <v>180</v>
          </cell>
          <cell r="BB24">
            <v>200</v>
          </cell>
          <cell r="BC24">
            <v>230</v>
          </cell>
          <cell r="BD24">
            <v>230</v>
          </cell>
          <cell r="BE24">
            <v>230</v>
          </cell>
          <cell r="BF24">
            <v>150</v>
          </cell>
        </row>
        <row r="25">
          <cell r="AD25" t="str">
            <v>Zuckerrübe</v>
          </cell>
          <cell r="AE25">
            <v>90</v>
          </cell>
          <cell r="AF25">
            <v>110</v>
          </cell>
          <cell r="AG25">
            <v>120</v>
          </cell>
          <cell r="AH25">
            <v>130</v>
          </cell>
          <cell r="AI25">
            <v>145</v>
          </cell>
          <cell r="AJ25">
            <v>155</v>
          </cell>
          <cell r="AK25">
            <v>165</v>
          </cell>
          <cell r="AL25">
            <v>1.8</v>
          </cell>
          <cell r="AO25" t="str">
            <v>Zuckerrübe</v>
          </cell>
          <cell r="AP25">
            <v>75</v>
          </cell>
          <cell r="AQ25">
            <v>85</v>
          </cell>
          <cell r="AR25">
            <v>100</v>
          </cell>
          <cell r="AS25">
            <v>100</v>
          </cell>
          <cell r="AT25">
            <v>100</v>
          </cell>
          <cell r="AZ25" t="str">
            <v>Zuckerrübe</v>
          </cell>
          <cell r="BA25">
            <v>290</v>
          </cell>
          <cell r="BB25">
            <v>320</v>
          </cell>
          <cell r="BC25">
            <v>370</v>
          </cell>
          <cell r="BD25">
            <v>370</v>
          </cell>
          <cell r="BE25">
            <v>370</v>
          </cell>
          <cell r="BF25">
            <v>150</v>
          </cell>
        </row>
        <row r="26">
          <cell r="AD26" t="str">
            <v>Futterrübe</v>
          </cell>
          <cell r="AE26">
            <v>110</v>
          </cell>
          <cell r="AF26">
            <v>140</v>
          </cell>
          <cell r="AG26">
            <v>155</v>
          </cell>
          <cell r="AH26">
            <v>150</v>
          </cell>
          <cell r="AI26">
            <v>180</v>
          </cell>
          <cell r="AJ26">
            <v>180</v>
          </cell>
          <cell r="AK26">
            <v>180</v>
          </cell>
          <cell r="AL26">
            <v>1.4</v>
          </cell>
          <cell r="AO26" t="str">
            <v>Futterrübe</v>
          </cell>
          <cell r="AP26">
            <v>75</v>
          </cell>
          <cell r="AQ26">
            <v>85</v>
          </cell>
          <cell r="AR26">
            <v>110</v>
          </cell>
          <cell r="AS26">
            <v>110</v>
          </cell>
          <cell r="AT26">
            <v>110</v>
          </cell>
          <cell r="AZ26" t="str">
            <v>Futterrübe</v>
          </cell>
          <cell r="BA26">
            <v>290</v>
          </cell>
          <cell r="BB26">
            <v>320</v>
          </cell>
          <cell r="BC26">
            <v>370</v>
          </cell>
          <cell r="BD26">
            <v>370</v>
          </cell>
          <cell r="BE26">
            <v>370</v>
          </cell>
          <cell r="BF26">
            <v>150</v>
          </cell>
        </row>
        <row r="27">
          <cell r="AD27" t="str">
            <v>Speise + Industriekartoffel</v>
          </cell>
          <cell r="AE27">
            <v>105</v>
          </cell>
          <cell r="AF27">
            <v>130</v>
          </cell>
          <cell r="AG27">
            <v>145</v>
          </cell>
          <cell r="AH27">
            <v>150</v>
          </cell>
          <cell r="AI27">
            <v>170</v>
          </cell>
          <cell r="AJ27">
            <v>180</v>
          </cell>
          <cell r="AK27">
            <v>195</v>
          </cell>
          <cell r="AL27">
            <v>3.7</v>
          </cell>
          <cell r="AO27" t="str">
            <v>Speise + Industriekartoffel</v>
          </cell>
          <cell r="AP27">
            <v>60</v>
          </cell>
          <cell r="AQ27">
            <v>65</v>
          </cell>
          <cell r="AR27">
            <v>75</v>
          </cell>
          <cell r="AS27">
            <v>75</v>
          </cell>
          <cell r="AT27">
            <v>75</v>
          </cell>
          <cell r="AZ27" t="str">
            <v>Speise + Industriekartoffel</v>
          </cell>
          <cell r="BA27">
            <v>180</v>
          </cell>
          <cell r="BB27">
            <v>200</v>
          </cell>
          <cell r="BC27">
            <v>230</v>
          </cell>
          <cell r="BD27">
            <v>230</v>
          </cell>
          <cell r="BE27">
            <v>230</v>
          </cell>
          <cell r="BF27">
            <v>60</v>
          </cell>
        </row>
        <row r="28">
          <cell r="AD28" t="str">
            <v>Frühkartoffel</v>
          </cell>
          <cell r="AE28">
            <v>90</v>
          </cell>
          <cell r="AF28">
            <v>110</v>
          </cell>
          <cell r="AG28">
            <v>120</v>
          </cell>
          <cell r="AH28">
            <v>125</v>
          </cell>
          <cell r="AI28">
            <v>145</v>
          </cell>
          <cell r="AJ28">
            <v>145</v>
          </cell>
          <cell r="AK28">
            <v>145</v>
          </cell>
          <cell r="AL28">
            <v>5.5</v>
          </cell>
          <cell r="AO28" t="str">
            <v>Frühkartoffel</v>
          </cell>
          <cell r="AP28">
            <v>55</v>
          </cell>
          <cell r="AQ28">
            <v>60</v>
          </cell>
          <cell r="AR28">
            <v>70</v>
          </cell>
          <cell r="AS28">
            <v>70</v>
          </cell>
          <cell r="AT28">
            <v>70</v>
          </cell>
          <cell r="AZ28" t="str">
            <v>Frühkartoffel</v>
          </cell>
          <cell r="BA28">
            <v>160</v>
          </cell>
          <cell r="BB28">
            <v>180</v>
          </cell>
          <cell r="BC28">
            <v>210</v>
          </cell>
          <cell r="BD28">
            <v>210</v>
          </cell>
          <cell r="BE28">
            <v>210</v>
          </cell>
          <cell r="BF28">
            <v>40</v>
          </cell>
        </row>
        <row r="29">
          <cell r="AB29" t="str">
            <v>niedrig</v>
          </cell>
          <cell r="AC29" t="str">
            <v>niedrig</v>
          </cell>
          <cell r="AD29" t="str">
            <v>Pflanzkartoffel</v>
          </cell>
          <cell r="AE29">
            <v>90</v>
          </cell>
          <cell r="AF29">
            <v>110</v>
          </cell>
          <cell r="AG29">
            <v>120</v>
          </cell>
          <cell r="AH29">
            <v>125</v>
          </cell>
          <cell r="AI29">
            <v>145</v>
          </cell>
          <cell r="AJ29">
            <v>145</v>
          </cell>
          <cell r="AK29">
            <v>145</v>
          </cell>
          <cell r="AL29">
            <v>5.5</v>
          </cell>
          <cell r="AO29" t="str">
            <v>Pflanzkartoffel</v>
          </cell>
          <cell r="AP29">
            <v>55</v>
          </cell>
          <cell r="AQ29">
            <v>60</v>
          </cell>
          <cell r="AR29">
            <v>70</v>
          </cell>
          <cell r="AS29">
            <v>70</v>
          </cell>
          <cell r="AT29">
            <v>70</v>
          </cell>
          <cell r="AZ29" t="str">
            <v>Pflanzkartoffel</v>
          </cell>
          <cell r="BA29">
            <v>160</v>
          </cell>
          <cell r="BB29">
            <v>180</v>
          </cell>
          <cell r="BC29">
            <v>210</v>
          </cell>
          <cell r="BD29">
            <v>210</v>
          </cell>
          <cell r="BE29">
            <v>210</v>
          </cell>
          <cell r="BF29">
            <v>60</v>
          </cell>
        </row>
        <row r="30">
          <cell r="AB30" t="str">
            <v>GW-mittel</v>
          </cell>
          <cell r="AC30" t="str">
            <v>mittel</v>
          </cell>
          <cell r="AD30" t="str">
            <v>Erdbeere</v>
          </cell>
          <cell r="AE30">
            <v>60</v>
          </cell>
          <cell r="AF30">
            <v>100</v>
          </cell>
          <cell r="AG30">
            <v>100</v>
          </cell>
          <cell r="AH30">
            <v>120</v>
          </cell>
          <cell r="AI30">
            <v>120</v>
          </cell>
          <cell r="AJ30">
            <v>120</v>
          </cell>
          <cell r="AK30">
            <v>120</v>
          </cell>
          <cell r="AO30" t="str">
            <v>Erdbeere</v>
          </cell>
          <cell r="AP30">
            <v>25</v>
          </cell>
          <cell r="AQ30">
            <v>35</v>
          </cell>
          <cell r="AR30">
            <v>45</v>
          </cell>
          <cell r="AS30">
            <v>45</v>
          </cell>
          <cell r="AT30">
            <v>45</v>
          </cell>
          <cell r="AZ30" t="str">
            <v>Erdbeere</v>
          </cell>
          <cell r="BA30">
            <v>65</v>
          </cell>
          <cell r="BB30">
            <v>85</v>
          </cell>
          <cell r="BC30">
            <v>115</v>
          </cell>
          <cell r="BD30">
            <v>115</v>
          </cell>
          <cell r="BE30">
            <v>115</v>
          </cell>
        </row>
        <row r="31">
          <cell r="AB31" t="str">
            <v>mittel</v>
          </cell>
          <cell r="AC31" t="str">
            <v>GW-GL</v>
          </cell>
          <cell r="AD31" t="str">
            <v>Kümmel</v>
          </cell>
          <cell r="AE31">
            <v>95</v>
          </cell>
          <cell r="AF31">
            <v>110</v>
          </cell>
          <cell r="AG31">
            <v>130</v>
          </cell>
          <cell r="AH31">
            <v>110</v>
          </cell>
          <cell r="AI31">
            <v>155</v>
          </cell>
          <cell r="AJ31">
            <v>170</v>
          </cell>
          <cell r="AK31">
            <v>180</v>
          </cell>
          <cell r="AL31">
            <v>53</v>
          </cell>
          <cell r="AO31" t="str">
            <v>Kümmel</v>
          </cell>
          <cell r="AP31">
            <v>55</v>
          </cell>
          <cell r="AQ31">
            <v>60</v>
          </cell>
          <cell r="AR31">
            <v>70</v>
          </cell>
          <cell r="AS31">
            <v>70</v>
          </cell>
          <cell r="AT31">
            <v>70</v>
          </cell>
          <cell r="AZ31" t="str">
            <v>Kümmel</v>
          </cell>
          <cell r="BA31">
            <v>70</v>
          </cell>
          <cell r="BB31">
            <v>80</v>
          </cell>
          <cell r="BC31">
            <v>90</v>
          </cell>
          <cell r="BD31">
            <v>90</v>
          </cell>
          <cell r="BE31">
            <v>90</v>
          </cell>
        </row>
        <row r="32">
          <cell r="AB32" t="str">
            <v>GW-hoch</v>
          </cell>
          <cell r="AC32" t="str">
            <v>hoch</v>
          </cell>
          <cell r="AD32" t="str">
            <v>Mohn</v>
          </cell>
          <cell r="AE32">
            <v>65</v>
          </cell>
          <cell r="AF32">
            <v>70</v>
          </cell>
          <cell r="AG32">
            <v>90</v>
          </cell>
          <cell r="AH32">
            <v>70</v>
          </cell>
          <cell r="AI32">
            <v>105</v>
          </cell>
          <cell r="AJ32">
            <v>110</v>
          </cell>
          <cell r="AK32">
            <v>120</v>
          </cell>
          <cell r="AL32">
            <v>100</v>
          </cell>
          <cell r="AO32" t="str">
            <v>Mohn</v>
          </cell>
          <cell r="AP32">
            <v>50</v>
          </cell>
          <cell r="AQ32">
            <v>55</v>
          </cell>
          <cell r="AR32">
            <v>65</v>
          </cell>
          <cell r="AS32">
            <v>65</v>
          </cell>
          <cell r="AT32">
            <v>65</v>
          </cell>
          <cell r="AZ32" t="str">
            <v>Mohn</v>
          </cell>
          <cell r="BA32">
            <v>90</v>
          </cell>
          <cell r="BB32">
            <v>100</v>
          </cell>
          <cell r="BC32">
            <v>115</v>
          </cell>
          <cell r="BD32">
            <v>115</v>
          </cell>
          <cell r="BE32">
            <v>115</v>
          </cell>
        </row>
        <row r="33">
          <cell r="AB33" t="str">
            <v>hoch 1</v>
          </cell>
          <cell r="AD33" t="str">
            <v>Ölkürbis</v>
          </cell>
          <cell r="AE33">
            <v>105</v>
          </cell>
          <cell r="AF33">
            <v>80</v>
          </cell>
          <cell r="AG33">
            <v>120</v>
          </cell>
          <cell r="AH33">
            <v>100</v>
          </cell>
          <cell r="AI33">
            <v>140</v>
          </cell>
          <cell r="AJ33">
            <v>140</v>
          </cell>
          <cell r="AK33">
            <v>140</v>
          </cell>
          <cell r="AO33" t="str">
            <v>Ölkürbis</v>
          </cell>
          <cell r="AP33">
            <v>40</v>
          </cell>
          <cell r="AQ33">
            <v>50</v>
          </cell>
          <cell r="AR33">
            <v>65</v>
          </cell>
          <cell r="AS33">
            <v>65</v>
          </cell>
          <cell r="AT33">
            <v>65</v>
          </cell>
          <cell r="AZ33" t="str">
            <v>Ölkürbis</v>
          </cell>
          <cell r="BA33">
            <v>160</v>
          </cell>
          <cell r="BB33">
            <v>180</v>
          </cell>
          <cell r="BC33">
            <v>210</v>
          </cell>
          <cell r="BD33">
            <v>210</v>
          </cell>
          <cell r="BE33">
            <v>210</v>
          </cell>
        </row>
        <row r="34">
          <cell r="AB34" t="str">
            <v>hoch 2</v>
          </cell>
          <cell r="AD34" t="str">
            <v>Futterzwischenfrucht ohne Leguminosen</v>
          </cell>
          <cell r="AE34">
            <v>80</v>
          </cell>
          <cell r="AF34">
            <v>70</v>
          </cell>
          <cell r="AG34">
            <v>80</v>
          </cell>
          <cell r="AH34">
            <v>70</v>
          </cell>
          <cell r="AI34">
            <v>80</v>
          </cell>
          <cell r="AJ34">
            <v>80</v>
          </cell>
          <cell r="AK34">
            <v>80</v>
          </cell>
          <cell r="AO34" t="str">
            <v>Futterzwischenfrucht ohne Leguminosen</v>
          </cell>
          <cell r="AP34">
            <v>25</v>
          </cell>
          <cell r="AQ34">
            <v>25</v>
          </cell>
          <cell r="AR34">
            <v>30</v>
          </cell>
          <cell r="AS34">
            <v>30</v>
          </cell>
          <cell r="AT34">
            <v>30</v>
          </cell>
          <cell r="AZ34" t="str">
            <v>Futterzwischenfrucht ohne Leguminosen</v>
          </cell>
          <cell r="BA34">
            <v>70</v>
          </cell>
          <cell r="BB34">
            <v>80</v>
          </cell>
          <cell r="BC34">
            <v>90</v>
          </cell>
          <cell r="BD34">
            <v>90</v>
          </cell>
          <cell r="BE34">
            <v>90</v>
          </cell>
        </row>
        <row r="35">
          <cell r="AB35" t="str">
            <v>hoch 3</v>
          </cell>
          <cell r="AD35" t="str">
            <v>Futterzwischenfrucht mit Leguminosen</v>
          </cell>
          <cell r="AE35">
            <v>40</v>
          </cell>
          <cell r="AF35">
            <v>35</v>
          </cell>
          <cell r="AG35">
            <v>40</v>
          </cell>
          <cell r="AH35">
            <v>35</v>
          </cell>
          <cell r="AI35">
            <v>40</v>
          </cell>
          <cell r="AJ35">
            <v>40</v>
          </cell>
          <cell r="AK35">
            <v>40</v>
          </cell>
          <cell r="AO35" t="str">
            <v>Futterzwischenfrucht mit Leguminosen</v>
          </cell>
          <cell r="AP35">
            <v>25</v>
          </cell>
          <cell r="AQ35">
            <v>25</v>
          </cell>
          <cell r="AR35">
            <v>30</v>
          </cell>
          <cell r="AS35">
            <v>30</v>
          </cell>
          <cell r="AT35">
            <v>30</v>
          </cell>
          <cell r="AZ35" t="str">
            <v>Futterzwischenfrucht mit Leguminosen</v>
          </cell>
          <cell r="BA35">
            <v>70</v>
          </cell>
          <cell r="BB35">
            <v>80</v>
          </cell>
          <cell r="BC35">
            <v>90</v>
          </cell>
          <cell r="BD35">
            <v>90</v>
          </cell>
          <cell r="BE35">
            <v>90</v>
          </cell>
        </row>
        <row r="36">
          <cell r="AD36" t="str">
            <v>Futtergräser 2 Nutzungen</v>
          </cell>
          <cell r="AE36">
            <v>60</v>
          </cell>
          <cell r="AF36">
            <v>90</v>
          </cell>
          <cell r="AG36">
            <v>90</v>
          </cell>
          <cell r="AH36">
            <v>90</v>
          </cell>
          <cell r="AI36">
            <v>90</v>
          </cell>
          <cell r="AJ36">
            <v>90</v>
          </cell>
          <cell r="AK36">
            <v>90</v>
          </cell>
          <cell r="AO36" t="str">
            <v>Futtergräser 2 Nutzungen</v>
          </cell>
          <cell r="AP36">
            <v>45</v>
          </cell>
          <cell r="AQ36">
            <v>45</v>
          </cell>
          <cell r="AR36">
            <v>45</v>
          </cell>
          <cell r="AS36">
            <v>45</v>
          </cell>
          <cell r="AT36">
            <v>45</v>
          </cell>
          <cell r="AZ36" t="str">
            <v>Futtergräser 2 Nutzungen</v>
          </cell>
          <cell r="BA36">
            <v>80</v>
          </cell>
          <cell r="BB36">
            <v>120</v>
          </cell>
          <cell r="BC36">
            <v>120</v>
          </cell>
          <cell r="BD36">
            <v>120</v>
          </cell>
          <cell r="BE36">
            <v>120</v>
          </cell>
        </row>
        <row r="37">
          <cell r="AD37" t="str">
            <v>KIeegras 2 Nutzungen</v>
          </cell>
          <cell r="AE37">
            <v>45</v>
          </cell>
          <cell r="AF37">
            <v>70</v>
          </cell>
          <cell r="AG37">
            <v>70</v>
          </cell>
          <cell r="AH37">
            <v>70</v>
          </cell>
          <cell r="AI37">
            <v>70</v>
          </cell>
          <cell r="AJ37">
            <v>70</v>
          </cell>
          <cell r="AK37">
            <v>70</v>
          </cell>
          <cell r="AO37" t="str">
            <v>KIeegras 2 Nutzungen</v>
          </cell>
          <cell r="AP37">
            <v>45</v>
          </cell>
          <cell r="AQ37">
            <v>45</v>
          </cell>
          <cell r="AR37">
            <v>45</v>
          </cell>
          <cell r="AS37">
            <v>45</v>
          </cell>
          <cell r="AT37">
            <v>45</v>
          </cell>
          <cell r="AZ37" t="str">
            <v>KIeegras 2 Nutzungen</v>
          </cell>
          <cell r="BA37">
            <v>80</v>
          </cell>
          <cell r="BB37">
            <v>120</v>
          </cell>
          <cell r="BC37">
            <v>120</v>
          </cell>
          <cell r="BD37">
            <v>120</v>
          </cell>
          <cell r="BE37">
            <v>120</v>
          </cell>
        </row>
        <row r="38">
          <cell r="AD38" t="str">
            <v>Futtergräser 3 Nutzungen</v>
          </cell>
          <cell r="AE38">
            <v>100</v>
          </cell>
          <cell r="AF38">
            <v>120</v>
          </cell>
          <cell r="AG38">
            <v>120</v>
          </cell>
          <cell r="AH38">
            <v>140</v>
          </cell>
          <cell r="AI38">
            <v>150</v>
          </cell>
          <cell r="AJ38">
            <v>150</v>
          </cell>
          <cell r="AK38">
            <v>150</v>
          </cell>
          <cell r="AO38" t="str">
            <v>Futtergräser 3 Nutzungen</v>
          </cell>
          <cell r="AP38">
            <v>65</v>
          </cell>
          <cell r="AQ38">
            <v>65</v>
          </cell>
          <cell r="AR38">
            <v>80</v>
          </cell>
          <cell r="AS38">
            <v>80</v>
          </cell>
          <cell r="AT38">
            <v>80</v>
          </cell>
          <cell r="AZ38" t="str">
            <v>Futtergräser 3 Nutzungen</v>
          </cell>
          <cell r="BA38">
            <v>130</v>
          </cell>
          <cell r="BB38">
            <v>170</v>
          </cell>
          <cell r="BC38">
            <v>215</v>
          </cell>
          <cell r="BD38">
            <v>215</v>
          </cell>
          <cell r="BE38">
            <v>215</v>
          </cell>
        </row>
        <row r="39">
          <cell r="AD39" t="str">
            <v>KIeegras 3 Nutzungen</v>
          </cell>
          <cell r="AE39">
            <v>75</v>
          </cell>
          <cell r="AF39">
            <v>90</v>
          </cell>
          <cell r="AG39">
            <v>90</v>
          </cell>
          <cell r="AH39">
            <v>105</v>
          </cell>
          <cell r="AI39">
            <v>115</v>
          </cell>
          <cell r="AJ39">
            <v>115</v>
          </cell>
          <cell r="AK39">
            <v>115</v>
          </cell>
          <cell r="AO39" t="str">
            <v>KIeegras 3 Nutzungen</v>
          </cell>
          <cell r="AP39">
            <v>65</v>
          </cell>
          <cell r="AQ39">
            <v>65</v>
          </cell>
          <cell r="AR39">
            <v>80</v>
          </cell>
          <cell r="AS39">
            <v>80</v>
          </cell>
          <cell r="AT39">
            <v>80</v>
          </cell>
          <cell r="AZ39" t="str">
            <v>KIeegras 3 Nutzungen</v>
          </cell>
          <cell r="BA39">
            <v>130</v>
          </cell>
          <cell r="BB39">
            <v>170</v>
          </cell>
          <cell r="BC39">
            <v>215</v>
          </cell>
          <cell r="BD39">
            <v>215</v>
          </cell>
          <cell r="BE39">
            <v>215</v>
          </cell>
        </row>
        <row r="40">
          <cell r="AD40" t="str">
            <v>Futtergräser 4 Nutzungen</v>
          </cell>
          <cell r="AE40">
            <v>140</v>
          </cell>
          <cell r="AF40">
            <v>160</v>
          </cell>
          <cell r="AG40">
            <v>160</v>
          </cell>
          <cell r="AH40">
            <v>190</v>
          </cell>
          <cell r="AI40">
            <v>200</v>
          </cell>
          <cell r="AJ40">
            <v>200</v>
          </cell>
          <cell r="AK40">
            <v>200</v>
          </cell>
          <cell r="AO40" t="str">
            <v>Futtergräser 4 Nutzungen</v>
          </cell>
          <cell r="AP40">
            <v>80</v>
          </cell>
          <cell r="AQ40">
            <v>80</v>
          </cell>
          <cell r="AR40">
            <v>90</v>
          </cell>
          <cell r="AS40">
            <v>90</v>
          </cell>
          <cell r="AT40">
            <v>90</v>
          </cell>
          <cell r="AZ40" t="str">
            <v>Futtergräser 4 Nutzungen</v>
          </cell>
          <cell r="BA40">
            <v>205</v>
          </cell>
          <cell r="BB40">
            <v>205</v>
          </cell>
          <cell r="BC40">
            <v>260</v>
          </cell>
          <cell r="BD40">
            <v>260</v>
          </cell>
          <cell r="BE40">
            <v>260</v>
          </cell>
        </row>
        <row r="41">
          <cell r="AD41" t="str">
            <v>KIeegras 4 Nutzungen</v>
          </cell>
          <cell r="AE41">
            <v>105</v>
          </cell>
          <cell r="AF41">
            <v>120</v>
          </cell>
          <cell r="AG41">
            <v>120</v>
          </cell>
          <cell r="AH41">
            <v>145</v>
          </cell>
          <cell r="AI41">
            <v>150</v>
          </cell>
          <cell r="AJ41">
            <v>150</v>
          </cell>
          <cell r="AK41">
            <v>150</v>
          </cell>
          <cell r="AO41" t="str">
            <v>KIeegras 4 Nutzungen</v>
          </cell>
          <cell r="AP41">
            <v>80</v>
          </cell>
          <cell r="AQ41">
            <v>80</v>
          </cell>
          <cell r="AR41">
            <v>90</v>
          </cell>
          <cell r="AS41">
            <v>90</v>
          </cell>
          <cell r="AT41">
            <v>90</v>
          </cell>
          <cell r="AZ41" t="str">
            <v>KIeegras 4 Nutzungen</v>
          </cell>
          <cell r="BA41">
            <v>205</v>
          </cell>
          <cell r="BB41">
            <v>205</v>
          </cell>
          <cell r="BC41">
            <v>260</v>
          </cell>
          <cell r="BD41">
            <v>260</v>
          </cell>
          <cell r="BE41">
            <v>260</v>
          </cell>
        </row>
        <row r="42">
          <cell r="AD42" t="str">
            <v>Futtergräser 5 Nutzungen</v>
          </cell>
          <cell r="AE42">
            <v>160</v>
          </cell>
          <cell r="AF42">
            <v>200</v>
          </cell>
          <cell r="AG42">
            <v>200</v>
          </cell>
          <cell r="AH42">
            <v>210</v>
          </cell>
          <cell r="AI42">
            <v>250</v>
          </cell>
          <cell r="AJ42">
            <v>250</v>
          </cell>
          <cell r="AK42">
            <v>250</v>
          </cell>
          <cell r="AO42" t="str">
            <v>Futtergräser 5 Nutzungen</v>
          </cell>
          <cell r="AP42">
            <v>85</v>
          </cell>
          <cell r="AQ42">
            <v>85</v>
          </cell>
          <cell r="AR42">
            <v>105</v>
          </cell>
          <cell r="AS42">
            <v>105</v>
          </cell>
          <cell r="AT42">
            <v>105</v>
          </cell>
          <cell r="AZ42" t="str">
            <v>Futtergräser 5 Nutzungen</v>
          </cell>
          <cell r="BA42">
            <v>230</v>
          </cell>
          <cell r="BB42">
            <v>230</v>
          </cell>
          <cell r="BC42">
            <v>300</v>
          </cell>
          <cell r="BD42">
            <v>300</v>
          </cell>
          <cell r="BE42">
            <v>300</v>
          </cell>
        </row>
        <row r="43">
          <cell r="AD43" t="str">
            <v>KIeegras 5 Nutzungen</v>
          </cell>
          <cell r="AE43">
            <v>120</v>
          </cell>
          <cell r="AF43">
            <v>150</v>
          </cell>
          <cell r="AG43">
            <v>150</v>
          </cell>
          <cell r="AH43">
            <v>160</v>
          </cell>
          <cell r="AI43">
            <v>190</v>
          </cell>
          <cell r="AJ43">
            <v>190</v>
          </cell>
          <cell r="AK43">
            <v>190</v>
          </cell>
          <cell r="AO43" t="str">
            <v>KIeegras 5 Nutzungen</v>
          </cell>
          <cell r="AP43">
            <v>85</v>
          </cell>
          <cell r="AQ43">
            <v>85</v>
          </cell>
          <cell r="AR43">
            <v>105</v>
          </cell>
          <cell r="AS43">
            <v>105</v>
          </cell>
          <cell r="AT43">
            <v>105</v>
          </cell>
          <cell r="AZ43" t="str">
            <v>KIeegras 5 Nutzungen</v>
          </cell>
          <cell r="BA43">
            <v>230</v>
          </cell>
          <cell r="BB43">
            <v>230</v>
          </cell>
          <cell r="BC43">
            <v>300</v>
          </cell>
          <cell r="BD43">
            <v>300</v>
          </cell>
          <cell r="BE43">
            <v>300</v>
          </cell>
        </row>
        <row r="44">
          <cell r="AD44" t="str">
            <v>Futtergräser 6 Nutzungen</v>
          </cell>
          <cell r="AE44">
            <v>210</v>
          </cell>
          <cell r="AF44">
            <v>210</v>
          </cell>
          <cell r="AG44">
            <v>210</v>
          </cell>
          <cell r="AH44">
            <v>210</v>
          </cell>
          <cell r="AI44">
            <v>280</v>
          </cell>
          <cell r="AJ44">
            <v>280</v>
          </cell>
          <cell r="AK44">
            <v>280</v>
          </cell>
          <cell r="AO44" t="str">
            <v>Futtergräser 6 Nutzungen</v>
          </cell>
          <cell r="AP44">
            <v>85</v>
          </cell>
          <cell r="AQ44">
            <v>85</v>
          </cell>
          <cell r="AR44">
            <v>120</v>
          </cell>
          <cell r="AS44">
            <v>120</v>
          </cell>
          <cell r="AT44">
            <v>120</v>
          </cell>
          <cell r="AZ44" t="str">
            <v>Futtergräser 6 Nutzungen</v>
          </cell>
          <cell r="BA44">
            <v>340</v>
          </cell>
          <cell r="BB44">
            <v>340</v>
          </cell>
          <cell r="BC44">
            <v>340</v>
          </cell>
          <cell r="BD44">
            <v>340</v>
          </cell>
          <cell r="BE44">
            <v>340</v>
          </cell>
        </row>
        <row r="45">
          <cell r="AD45" t="str">
            <v>KIeegras 6 Nutzungen</v>
          </cell>
          <cell r="AE45">
            <v>160</v>
          </cell>
          <cell r="AF45">
            <v>160</v>
          </cell>
          <cell r="AG45">
            <v>160</v>
          </cell>
          <cell r="AH45">
            <v>160</v>
          </cell>
          <cell r="AI45">
            <v>210</v>
          </cell>
          <cell r="AJ45">
            <v>210</v>
          </cell>
          <cell r="AK45">
            <v>210</v>
          </cell>
          <cell r="AO45" t="str">
            <v>KIeegras 6 Nutzungen</v>
          </cell>
          <cell r="AP45">
            <v>85</v>
          </cell>
          <cell r="AQ45">
            <v>85</v>
          </cell>
          <cell r="AR45">
            <v>120</v>
          </cell>
          <cell r="AS45">
            <v>120</v>
          </cell>
          <cell r="AT45">
            <v>120</v>
          </cell>
          <cell r="AZ45" t="str">
            <v>KIeegras 6 Nutzungen</v>
          </cell>
          <cell r="BA45">
            <v>340</v>
          </cell>
          <cell r="BB45">
            <v>340</v>
          </cell>
          <cell r="BC45">
            <v>340</v>
          </cell>
          <cell r="BD45">
            <v>340</v>
          </cell>
          <cell r="BE45">
            <v>340</v>
          </cell>
        </row>
        <row r="46">
          <cell r="AD46" t="str">
            <v>Leguminosenreinbestand</v>
          </cell>
          <cell r="AE46">
            <v>40</v>
          </cell>
          <cell r="AF46">
            <v>0</v>
          </cell>
          <cell r="AG46">
            <v>40</v>
          </cell>
          <cell r="AH46">
            <v>0</v>
          </cell>
          <cell r="AI46">
            <v>40</v>
          </cell>
          <cell r="AJ46">
            <v>40</v>
          </cell>
          <cell r="AK46">
            <v>40</v>
          </cell>
          <cell r="AO46" t="str">
            <v>Leguminosenreinbestand</v>
          </cell>
          <cell r="AP46">
            <v>65</v>
          </cell>
          <cell r="AQ46">
            <v>65</v>
          </cell>
          <cell r="AR46">
            <v>80</v>
          </cell>
          <cell r="AS46">
            <v>80</v>
          </cell>
          <cell r="AT46">
            <v>80</v>
          </cell>
          <cell r="AZ46" t="str">
            <v>Leguminosenreinbestand</v>
          </cell>
          <cell r="BA46">
            <v>130</v>
          </cell>
          <cell r="BB46">
            <v>170</v>
          </cell>
          <cell r="BC46">
            <v>215</v>
          </cell>
          <cell r="BD46">
            <v>215</v>
          </cell>
          <cell r="BE46">
            <v>215</v>
          </cell>
        </row>
        <row r="47">
          <cell r="AD47" t="str">
            <v>Biodiversitätsflächen</v>
          </cell>
          <cell r="AO47" t="str">
            <v>Biodiversitätsflächen</v>
          </cell>
        </row>
        <row r="48">
          <cell r="AD48" t="str">
            <v>diverse Bracheflächen</v>
          </cell>
          <cell r="AO48" t="str">
            <v>diverse Bracheflächen</v>
          </cell>
        </row>
        <row r="50">
          <cell r="AG50" t="str">
            <v>GW hoch</v>
          </cell>
        </row>
        <row r="51">
          <cell r="AD51" t="str">
            <v>Grünland (Überschrift)</v>
          </cell>
          <cell r="AE51" t="str">
            <v>niedrig</v>
          </cell>
          <cell r="AF51" t="str">
            <v>mittel</v>
          </cell>
          <cell r="AG51" t="str">
            <v>kg N/ha</v>
          </cell>
          <cell r="AH51" t="str">
            <v>hoch</v>
          </cell>
          <cell r="AO51" t="str">
            <v>P im Grünland und Feldfutter</v>
          </cell>
          <cell r="AZ51" t="str">
            <v>K im Grünland und Feldfutter</v>
          </cell>
        </row>
        <row r="52">
          <cell r="AD52" t="str">
            <v>Grünland 1 Nutzung</v>
          </cell>
          <cell r="AE52">
            <v>20</v>
          </cell>
          <cell r="AF52">
            <v>30</v>
          </cell>
          <cell r="AG52">
            <v>30</v>
          </cell>
          <cell r="AH52">
            <v>30</v>
          </cell>
          <cell r="AO52" t="str">
            <v>Grünland 1 Nutzung</v>
          </cell>
          <cell r="AP52">
            <v>30</v>
          </cell>
          <cell r="AQ52">
            <v>30</v>
          </cell>
          <cell r="AR52">
            <v>30</v>
          </cell>
          <cell r="AS52">
            <v>30</v>
          </cell>
          <cell r="AT52">
            <v>30</v>
          </cell>
          <cell r="AZ52" t="str">
            <v>Grünland 1 Nutzung</v>
          </cell>
          <cell r="BA52">
            <v>45</v>
          </cell>
          <cell r="BB52">
            <v>80</v>
          </cell>
          <cell r="BC52">
            <v>80</v>
          </cell>
        </row>
        <row r="53">
          <cell r="AD53" t="str">
            <v>Grünland 2 Nutzungen</v>
          </cell>
          <cell r="AE53">
            <v>60</v>
          </cell>
          <cell r="AF53">
            <v>90</v>
          </cell>
          <cell r="AG53">
            <v>90</v>
          </cell>
          <cell r="AH53">
            <v>90</v>
          </cell>
          <cell r="AO53" t="str">
            <v>Grünland 2 Nutzungen</v>
          </cell>
          <cell r="AP53">
            <v>45</v>
          </cell>
          <cell r="AQ53">
            <v>45</v>
          </cell>
          <cell r="AR53">
            <v>45</v>
          </cell>
          <cell r="AS53">
            <v>45</v>
          </cell>
          <cell r="AT53">
            <v>45</v>
          </cell>
          <cell r="AZ53" t="str">
            <v>Grünland 2 Nutzungen</v>
          </cell>
          <cell r="BA53">
            <v>80</v>
          </cell>
          <cell r="BB53">
            <v>120</v>
          </cell>
          <cell r="BC53">
            <v>120</v>
          </cell>
        </row>
        <row r="54">
          <cell r="AD54" t="str">
            <v>Grünland 3 Nutzungen</v>
          </cell>
          <cell r="AE54">
            <v>100</v>
          </cell>
          <cell r="AF54">
            <v>120</v>
          </cell>
          <cell r="AG54">
            <v>140</v>
          </cell>
          <cell r="AH54">
            <v>150</v>
          </cell>
          <cell r="AO54" t="str">
            <v>Grünland 3 Nutzungen</v>
          </cell>
          <cell r="AP54">
            <v>65</v>
          </cell>
          <cell r="AQ54">
            <v>65</v>
          </cell>
          <cell r="AR54">
            <v>80</v>
          </cell>
          <cell r="AS54">
            <v>80</v>
          </cell>
          <cell r="AT54">
            <v>80</v>
          </cell>
          <cell r="AZ54" t="str">
            <v>Grünland 3 Nutzungen</v>
          </cell>
          <cell r="BA54">
            <v>130</v>
          </cell>
          <cell r="BB54">
            <v>170</v>
          </cell>
          <cell r="BC54">
            <v>215</v>
          </cell>
        </row>
        <row r="55">
          <cell r="AD55" t="str">
            <v>Grünland 4 Nutzungen</v>
          </cell>
          <cell r="AE55">
            <v>140</v>
          </cell>
          <cell r="AF55">
            <v>160</v>
          </cell>
          <cell r="AG55">
            <v>190</v>
          </cell>
          <cell r="AH55">
            <v>200</v>
          </cell>
          <cell r="AO55" t="str">
            <v>Grünland 4 Nutzungen</v>
          </cell>
          <cell r="AP55">
            <v>80</v>
          </cell>
          <cell r="AQ55">
            <v>80</v>
          </cell>
          <cell r="AR55">
            <v>90</v>
          </cell>
          <cell r="AS55">
            <v>90</v>
          </cell>
          <cell r="AT55">
            <v>90</v>
          </cell>
          <cell r="AZ55" t="str">
            <v>Grünland 4 Nutzungen</v>
          </cell>
          <cell r="BA55">
            <v>205</v>
          </cell>
          <cell r="BB55">
            <v>205</v>
          </cell>
          <cell r="BC55">
            <v>260</v>
          </cell>
        </row>
        <row r="56">
          <cell r="AD56" t="str">
            <v>Grünland 5 Nutzungen</v>
          </cell>
          <cell r="AE56">
            <v>160</v>
          </cell>
          <cell r="AF56">
            <v>200</v>
          </cell>
          <cell r="AG56">
            <v>210</v>
          </cell>
          <cell r="AH56">
            <v>250</v>
          </cell>
          <cell r="AO56" t="str">
            <v>Grünland 5 Nutzungen</v>
          </cell>
          <cell r="AP56">
            <v>85</v>
          </cell>
          <cell r="AQ56">
            <v>85</v>
          </cell>
          <cell r="AR56">
            <v>105</v>
          </cell>
          <cell r="AS56">
            <v>105</v>
          </cell>
          <cell r="AT56">
            <v>105</v>
          </cell>
          <cell r="AZ56" t="str">
            <v>Grünland 5 Nutzungen</v>
          </cell>
          <cell r="BA56">
            <v>230</v>
          </cell>
          <cell r="BB56">
            <v>230</v>
          </cell>
          <cell r="BC56">
            <v>300</v>
          </cell>
        </row>
        <row r="57">
          <cell r="AD57" t="str">
            <v>Grünland 6 Nutzungen</v>
          </cell>
          <cell r="AE57">
            <v>210</v>
          </cell>
          <cell r="AF57">
            <v>210</v>
          </cell>
          <cell r="AG57">
            <v>210</v>
          </cell>
          <cell r="AH57">
            <v>280</v>
          </cell>
          <cell r="AO57" t="str">
            <v>Grünland 6 Nutzungen</v>
          </cell>
          <cell r="AP57">
            <v>85</v>
          </cell>
          <cell r="AQ57">
            <v>85</v>
          </cell>
          <cell r="AR57">
            <v>120</v>
          </cell>
          <cell r="AS57">
            <v>120</v>
          </cell>
          <cell r="AT57">
            <v>120</v>
          </cell>
          <cell r="AZ57" t="str">
            <v>Grünland 6 Nutzungen</v>
          </cell>
          <cell r="BA57">
            <v>340</v>
          </cell>
          <cell r="BB57">
            <v>340</v>
          </cell>
          <cell r="BC57">
            <v>340</v>
          </cell>
        </row>
        <row r="58">
          <cell r="AD58" t="str">
            <v>Dauerweide</v>
          </cell>
          <cell r="AE58">
            <v>70</v>
          </cell>
          <cell r="AF58">
            <v>100</v>
          </cell>
          <cell r="AG58">
            <v>140</v>
          </cell>
          <cell r="AH58">
            <v>140</v>
          </cell>
          <cell r="AO58" t="str">
            <v>Dauerweide</v>
          </cell>
          <cell r="AP58">
            <v>35</v>
          </cell>
          <cell r="AQ58">
            <v>35</v>
          </cell>
          <cell r="AR58">
            <v>35</v>
          </cell>
          <cell r="AS58">
            <v>35</v>
          </cell>
          <cell r="AT58">
            <v>35</v>
          </cell>
          <cell r="AZ58" t="str">
            <v>Dauerweide</v>
          </cell>
          <cell r="BA58">
            <v>20</v>
          </cell>
          <cell r="BB58">
            <v>30</v>
          </cell>
          <cell r="BC58">
            <v>40</v>
          </cell>
        </row>
        <row r="59">
          <cell r="AD59" t="str">
            <v>Hutweide</v>
          </cell>
          <cell r="AE59">
            <v>20</v>
          </cell>
          <cell r="AF59">
            <v>30</v>
          </cell>
          <cell r="AG59">
            <v>30</v>
          </cell>
          <cell r="AH59">
            <v>30</v>
          </cell>
          <cell r="AO59" t="str">
            <v>Hutweide</v>
          </cell>
          <cell r="AP59">
            <v>20</v>
          </cell>
          <cell r="AQ59">
            <v>20</v>
          </cell>
          <cell r="AR59">
            <v>20</v>
          </cell>
          <cell r="AS59">
            <v>20</v>
          </cell>
          <cell r="AT59">
            <v>20</v>
          </cell>
          <cell r="AZ59" t="str">
            <v>Hutweide</v>
          </cell>
          <cell r="BA59">
            <v>20</v>
          </cell>
          <cell r="BB59">
            <v>35</v>
          </cell>
          <cell r="BC59">
            <v>35</v>
          </cell>
        </row>
        <row r="60">
          <cell r="AD60" t="str">
            <v>Streuwiese</v>
          </cell>
          <cell r="AE60">
            <v>20</v>
          </cell>
          <cell r="AF60">
            <v>30</v>
          </cell>
          <cell r="AG60">
            <v>30</v>
          </cell>
          <cell r="AH60">
            <v>30</v>
          </cell>
          <cell r="AO60" t="str">
            <v>Streuwiese</v>
          </cell>
          <cell r="AP60">
            <v>30</v>
          </cell>
          <cell r="AQ60">
            <v>30</v>
          </cell>
          <cell r="AR60">
            <v>30</v>
          </cell>
          <cell r="AS60">
            <v>30</v>
          </cell>
          <cell r="AT60">
            <v>30</v>
          </cell>
          <cell r="AZ60" t="str">
            <v>Streuwiese</v>
          </cell>
          <cell r="BA60">
            <v>45</v>
          </cell>
          <cell r="BB60">
            <v>80</v>
          </cell>
          <cell r="BC60">
            <v>80</v>
          </cell>
        </row>
        <row r="61">
          <cell r="AD61" t="str">
            <v>Bergmähder (BM1, 2, 3)</v>
          </cell>
          <cell r="AE61">
            <v>20</v>
          </cell>
          <cell r="AF61">
            <v>30</v>
          </cell>
          <cell r="AG61">
            <v>30</v>
          </cell>
          <cell r="AH61">
            <v>30</v>
          </cell>
          <cell r="AO61" t="str">
            <v>Bergmähder (BM1, 2, 3)</v>
          </cell>
          <cell r="AP61">
            <v>30</v>
          </cell>
          <cell r="AQ61">
            <v>30</v>
          </cell>
          <cell r="AR61">
            <v>30</v>
          </cell>
          <cell r="AS61">
            <v>30</v>
          </cell>
          <cell r="AT61">
            <v>30</v>
          </cell>
          <cell r="AZ61" t="str">
            <v>Bergmähder (BM1, 2, 3)</v>
          </cell>
          <cell r="BA61">
            <v>20</v>
          </cell>
          <cell r="BB61">
            <v>35</v>
          </cell>
          <cell r="BC61">
            <v>35</v>
          </cell>
        </row>
        <row r="62">
          <cell r="AD62" t="str">
            <v>Almen</v>
          </cell>
          <cell r="AE62">
            <v>20</v>
          </cell>
          <cell r="AF62">
            <v>30</v>
          </cell>
          <cell r="AG62">
            <v>40</v>
          </cell>
          <cell r="AH62">
            <v>40</v>
          </cell>
          <cell r="AO62" t="str">
            <v>Almen</v>
          </cell>
          <cell r="AP62">
            <v>20</v>
          </cell>
          <cell r="AQ62">
            <v>20</v>
          </cell>
          <cell r="AR62">
            <v>20</v>
          </cell>
          <cell r="AS62">
            <v>20</v>
          </cell>
          <cell r="AT62">
            <v>20</v>
          </cell>
          <cell r="AZ62" t="str">
            <v>Almen</v>
          </cell>
          <cell r="BA62">
            <v>45</v>
          </cell>
          <cell r="BB62">
            <v>80</v>
          </cell>
          <cell r="BC62">
            <v>80</v>
          </cell>
        </row>
        <row r="66">
          <cell r="AO66" t="str">
            <v>Biodiversitätsflächen</v>
          </cell>
        </row>
        <row r="67">
          <cell r="AO67" t="str">
            <v>diverse Bracheflächen</v>
          </cell>
        </row>
      </sheetData>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ohannes.recheis-kienesberger@lk-ooe.a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hyperlink" Target="https://www.ama.at/Fachliche-Informationen/Oepul/Liste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29"/>
  </sheetPr>
  <dimension ref="A1:J55"/>
  <sheetViews>
    <sheetView topLeftCell="A22" workbookViewId="0">
      <selection sqref="A1:B1"/>
    </sheetView>
  </sheetViews>
  <sheetFormatPr baseColWidth="10" defaultColWidth="12.28515625" defaultRowHeight="12.75"/>
  <cols>
    <col min="2" max="2" width="35.7109375" customWidth="1"/>
    <col min="3" max="3" width="50.28515625" customWidth="1"/>
    <col min="4" max="4" width="4.42578125" customWidth="1"/>
    <col min="6" max="6" width="31.7109375" customWidth="1"/>
    <col min="7" max="7" width="41.28515625" customWidth="1"/>
    <col min="8" max="8" width="3.140625" customWidth="1"/>
    <col min="9" max="9" width="20.7109375" customWidth="1"/>
    <col min="10" max="10" width="46.140625" customWidth="1"/>
  </cols>
  <sheetData>
    <row r="1" spans="1:10" ht="60.75" customHeight="1">
      <c r="A1" s="2305" t="s">
        <v>770</v>
      </c>
      <c r="B1" s="2305"/>
      <c r="C1" s="245"/>
      <c r="D1" s="246"/>
      <c r="E1" s="2306"/>
      <c r="F1" s="2306"/>
      <c r="G1" s="247" t="s">
        <v>1</v>
      </c>
      <c r="H1" s="8"/>
    </row>
    <row r="2" spans="1:10" ht="17.25" customHeight="1">
      <c r="A2" s="248"/>
      <c r="B2" s="235"/>
      <c r="C2" s="213" t="s">
        <v>802</v>
      </c>
      <c r="D2" s="235"/>
      <c r="E2" s="2307"/>
      <c r="F2" s="2307"/>
      <c r="G2" s="235"/>
      <c r="H2" s="8"/>
    </row>
    <row r="3" spans="1:10" ht="16.5" customHeight="1">
      <c r="A3" s="217" t="s">
        <v>43</v>
      </c>
      <c r="B3" s="218"/>
      <c r="C3" s="219"/>
      <c r="D3" s="249"/>
      <c r="E3" s="228"/>
      <c r="F3" s="228"/>
      <c r="G3" s="228"/>
      <c r="H3" s="8"/>
    </row>
    <row r="4" spans="1:10" ht="20.25" customHeight="1">
      <c r="A4" s="2308" t="s">
        <v>767</v>
      </c>
      <c r="B4" s="2308"/>
      <c r="C4" s="2308"/>
      <c r="D4" s="235"/>
      <c r="E4" s="250" t="s">
        <v>44</v>
      </c>
      <c r="F4" s="251"/>
      <c r="G4" s="252"/>
      <c r="I4" s="230" t="s">
        <v>45</v>
      </c>
      <c r="J4" s="231" t="s">
        <v>46</v>
      </c>
    </row>
    <row r="5" spans="1:10" ht="21" customHeight="1">
      <c r="A5" s="2308"/>
      <c r="B5" s="2308"/>
      <c r="C5" s="2308"/>
      <c r="D5" s="235"/>
      <c r="E5" s="2296" t="s">
        <v>47</v>
      </c>
      <c r="F5" s="2296"/>
      <c r="G5" s="2296"/>
      <c r="I5" s="215">
        <v>42044</v>
      </c>
      <c r="J5" s="232" t="s">
        <v>48</v>
      </c>
    </row>
    <row r="6" spans="1:10" ht="21" customHeight="1">
      <c r="A6" s="2308"/>
      <c r="B6" s="2308"/>
      <c r="C6" s="2308"/>
      <c r="D6" s="235"/>
      <c r="E6" s="2296"/>
      <c r="F6" s="2296"/>
      <c r="G6" s="2296"/>
      <c r="I6" s="215">
        <v>42223</v>
      </c>
      <c r="J6" s="216" t="s">
        <v>771</v>
      </c>
    </row>
    <row r="7" spans="1:10" ht="21" customHeight="1">
      <c r="A7" s="2308"/>
      <c r="B7" s="2308"/>
      <c r="C7" s="2308"/>
      <c r="D7" s="235"/>
      <c r="E7" s="2296"/>
      <c r="F7" s="2296"/>
      <c r="G7" s="2296"/>
      <c r="I7" s="215">
        <v>42241</v>
      </c>
      <c r="J7" s="216" t="s">
        <v>772</v>
      </c>
    </row>
    <row r="8" spans="1:10" ht="15" customHeight="1">
      <c r="A8" s="220" t="s">
        <v>49</v>
      </c>
      <c r="B8" s="221"/>
      <c r="C8" s="221"/>
      <c r="D8" s="235"/>
      <c r="E8" s="2296" t="s">
        <v>50</v>
      </c>
      <c r="F8" s="2296"/>
      <c r="G8" s="2296"/>
      <c r="I8" s="215">
        <v>42377</v>
      </c>
      <c r="J8" s="216" t="s">
        <v>773</v>
      </c>
    </row>
    <row r="9" spans="1:10" ht="15" customHeight="1">
      <c r="A9" s="222" t="s">
        <v>51</v>
      </c>
      <c r="B9" s="221"/>
      <c r="C9" s="221"/>
      <c r="D9" s="235"/>
      <c r="E9" s="2296"/>
      <c r="F9" s="2296"/>
      <c r="G9" s="2296"/>
      <c r="I9" s="215">
        <v>42429</v>
      </c>
      <c r="J9" s="216" t="s">
        <v>774</v>
      </c>
    </row>
    <row r="10" spans="1:10" ht="18.75" customHeight="1">
      <c r="A10" s="2297" t="s">
        <v>768</v>
      </c>
      <c r="B10" s="2297"/>
      <c r="C10" s="2297"/>
      <c r="D10" s="235"/>
      <c r="E10" s="2296"/>
      <c r="F10" s="2296"/>
      <c r="G10" s="2296"/>
      <c r="I10" s="215"/>
      <c r="J10" s="216" t="s">
        <v>775</v>
      </c>
    </row>
    <row r="11" spans="1:10" ht="18" customHeight="1">
      <c r="A11" s="2297"/>
      <c r="B11" s="2297"/>
      <c r="C11" s="2297"/>
      <c r="D11" s="235"/>
      <c r="E11" s="2296"/>
      <c r="F11" s="2296"/>
      <c r="G11" s="2296"/>
      <c r="I11" s="215">
        <v>42432</v>
      </c>
      <c r="J11" s="233" t="s">
        <v>733</v>
      </c>
    </row>
    <row r="12" spans="1:10" ht="15.75" customHeight="1">
      <c r="A12" s="2297"/>
      <c r="B12" s="2297"/>
      <c r="C12" s="2297"/>
      <c r="D12" s="235"/>
      <c r="E12" s="2299" t="s">
        <v>776</v>
      </c>
      <c r="F12" s="2300"/>
      <c r="G12" s="2301"/>
      <c r="I12" s="215">
        <v>42436</v>
      </c>
      <c r="J12" s="216" t="s">
        <v>777</v>
      </c>
    </row>
    <row r="13" spans="1:10" ht="15.75" customHeight="1">
      <c r="A13" s="2297"/>
      <c r="B13" s="2297"/>
      <c r="C13" s="2297"/>
      <c r="D13" s="235"/>
      <c r="E13" s="2299"/>
      <c r="F13" s="2300"/>
      <c r="G13" s="2301"/>
      <c r="I13" s="215">
        <v>42445</v>
      </c>
      <c r="J13" s="216" t="s">
        <v>778</v>
      </c>
    </row>
    <row r="14" spans="1:10" ht="17.25" customHeight="1">
      <c r="A14" s="223" t="s">
        <v>52</v>
      </c>
      <c r="B14" s="221"/>
      <c r="C14" s="221"/>
      <c r="D14" s="235"/>
      <c r="E14" s="2299"/>
      <c r="F14" s="2300"/>
      <c r="G14" s="2301"/>
      <c r="I14" s="215">
        <v>42452</v>
      </c>
      <c r="J14" s="216" t="s">
        <v>734</v>
      </c>
    </row>
    <row r="15" spans="1:10" ht="12" customHeight="1">
      <c r="A15" s="2294" t="s">
        <v>769</v>
      </c>
      <c r="B15" s="2294"/>
      <c r="C15" s="2294"/>
      <c r="D15" s="235"/>
      <c r="E15" s="2299"/>
      <c r="F15" s="2300"/>
      <c r="G15" s="2301"/>
      <c r="I15" s="215">
        <v>42488</v>
      </c>
      <c r="J15" s="216" t="s">
        <v>735</v>
      </c>
    </row>
    <row r="16" spans="1:10" ht="12.75" customHeight="1">
      <c r="A16" s="2294"/>
      <c r="B16" s="2294"/>
      <c r="C16" s="2294"/>
      <c r="D16" s="235"/>
      <c r="E16" s="2302"/>
      <c r="F16" s="2303"/>
      <c r="G16" s="2304"/>
      <c r="I16" s="215">
        <v>42503</v>
      </c>
      <c r="J16" s="216" t="s">
        <v>779</v>
      </c>
    </row>
    <row r="17" spans="1:10" ht="12" customHeight="1">
      <c r="A17" s="2294"/>
      <c r="B17" s="2294"/>
      <c r="C17" s="2294"/>
      <c r="D17" s="235"/>
      <c r="E17" s="228"/>
      <c r="F17" s="228"/>
      <c r="G17" s="228"/>
      <c r="I17" s="215">
        <v>42513</v>
      </c>
      <c r="J17" s="216" t="s">
        <v>780</v>
      </c>
    </row>
    <row r="18" spans="1:10" ht="17.25" customHeight="1">
      <c r="A18" s="2294"/>
      <c r="B18" s="2294"/>
      <c r="C18" s="2294"/>
      <c r="D18" s="253"/>
      <c r="E18" s="254" t="s">
        <v>53</v>
      </c>
      <c r="F18" s="255"/>
      <c r="G18" s="256" t="s">
        <v>54</v>
      </c>
      <c r="I18" s="215">
        <v>42559</v>
      </c>
      <c r="J18" s="216" t="s">
        <v>781</v>
      </c>
    </row>
    <row r="19" spans="1:10" ht="12.75" customHeight="1">
      <c r="A19" s="2294"/>
      <c r="B19" s="2294"/>
      <c r="C19" s="2294"/>
      <c r="D19" s="253"/>
      <c r="E19" s="2298" t="s">
        <v>56</v>
      </c>
      <c r="F19" s="2298"/>
      <c r="G19" s="257" t="s">
        <v>57</v>
      </c>
      <c r="I19" s="234">
        <v>42859</v>
      </c>
      <c r="J19" s="214" t="s">
        <v>762</v>
      </c>
    </row>
    <row r="20" spans="1:10" ht="17.25" customHeight="1">
      <c r="A20" s="223" t="s">
        <v>55</v>
      </c>
      <c r="B20" s="221"/>
      <c r="C20" s="221"/>
      <c r="D20" s="253"/>
      <c r="E20" s="10"/>
      <c r="F20" s="235"/>
      <c r="G20" s="235"/>
      <c r="I20" s="215">
        <v>42879</v>
      </c>
      <c r="J20" s="216" t="s">
        <v>782</v>
      </c>
    </row>
    <row r="21" spans="1:10" ht="16.5" customHeight="1">
      <c r="A21" s="2294" t="s">
        <v>58</v>
      </c>
      <c r="B21" s="2294"/>
      <c r="C21" s="2294"/>
      <c r="D21" s="253"/>
      <c r="E21" s="236" t="s">
        <v>59</v>
      </c>
      <c r="F21" s="228"/>
      <c r="G21" s="228"/>
      <c r="I21" s="215">
        <v>42907</v>
      </c>
      <c r="J21" s="216" t="s">
        <v>765</v>
      </c>
    </row>
    <row r="22" spans="1:10" ht="21.75" customHeight="1">
      <c r="A22" s="2294"/>
      <c r="B22" s="2294"/>
      <c r="C22" s="2294"/>
      <c r="D22" s="253"/>
      <c r="E22" s="2295" t="s">
        <v>60</v>
      </c>
      <c r="F22" s="2295"/>
      <c r="G22" s="2295"/>
      <c r="I22" s="237">
        <v>42936</v>
      </c>
      <c r="J22" s="216" t="s">
        <v>766</v>
      </c>
    </row>
    <row r="23" spans="1:10" ht="14.25" customHeight="1">
      <c r="A23" s="2294"/>
      <c r="B23" s="2294"/>
      <c r="C23" s="2294"/>
      <c r="D23" s="253"/>
      <c r="E23" s="2295"/>
      <c r="F23" s="2295"/>
      <c r="G23" s="2295"/>
      <c r="I23" s="215">
        <v>43013</v>
      </c>
      <c r="J23" s="216" t="s">
        <v>804</v>
      </c>
    </row>
    <row r="24" spans="1:10" ht="16.5" customHeight="1">
      <c r="A24" s="223" t="s">
        <v>61</v>
      </c>
      <c r="B24" s="221"/>
      <c r="C24" s="221"/>
      <c r="D24" s="235"/>
      <c r="E24" s="240"/>
      <c r="F24" s="258" t="s">
        <v>783</v>
      </c>
      <c r="G24" s="259"/>
      <c r="I24" s="722"/>
      <c r="J24" s="216"/>
    </row>
    <row r="25" spans="1:10" ht="16.5" customHeight="1">
      <c r="A25" s="2287" t="s">
        <v>62</v>
      </c>
      <c r="B25" s="2287"/>
      <c r="C25" s="2287"/>
      <c r="D25" s="235"/>
      <c r="E25" s="2288"/>
      <c r="F25" s="2290" t="s">
        <v>784</v>
      </c>
      <c r="G25" s="2291"/>
      <c r="I25" s="215"/>
      <c r="J25" s="216"/>
    </row>
    <row r="26" spans="1:10" ht="19.5" customHeight="1">
      <c r="A26" s="2287"/>
      <c r="B26" s="2287"/>
      <c r="C26" s="2287"/>
      <c r="D26" s="235"/>
      <c r="E26" s="2289"/>
      <c r="F26" s="2292"/>
      <c r="G26" s="2293"/>
      <c r="I26" s="237"/>
      <c r="J26" s="216"/>
    </row>
    <row r="27" spans="1:10" ht="21" customHeight="1">
      <c r="A27" s="2287"/>
      <c r="B27" s="2287"/>
      <c r="C27" s="2287"/>
      <c r="D27" s="235"/>
      <c r="E27" s="241"/>
      <c r="F27" s="258" t="s">
        <v>63</v>
      </c>
      <c r="G27" s="260"/>
      <c r="I27" s="238"/>
      <c r="J27" s="239"/>
    </row>
    <row r="28" spans="1:10" ht="16.5" customHeight="1">
      <c r="A28" s="2287"/>
      <c r="B28" s="2287"/>
      <c r="C28" s="2287"/>
      <c r="D28" s="235"/>
      <c r="I28" s="11"/>
      <c r="J28" s="11"/>
    </row>
    <row r="29" spans="1:10" ht="20.25" customHeight="1">
      <c r="A29" s="224" t="s">
        <v>64</v>
      </c>
      <c r="B29" s="225"/>
      <c r="C29" s="225"/>
      <c r="D29" s="235"/>
      <c r="E29" s="261" t="s">
        <v>65</v>
      </c>
      <c r="F29" s="262"/>
      <c r="G29" s="263"/>
      <c r="I29" s="11"/>
      <c r="J29" s="11"/>
    </row>
    <row r="30" spans="1:10" ht="42.75" customHeight="1">
      <c r="A30" s="226" t="e">
        <f>{#REF!}</f>
        <v>#REF!</v>
      </c>
      <c r="B30" s="2278" t="s">
        <v>66</v>
      </c>
      <c r="C30" s="2278"/>
      <c r="D30" s="235"/>
      <c r="E30" s="2281" t="s">
        <v>764</v>
      </c>
      <c r="F30" s="2282"/>
      <c r="G30" s="2283"/>
      <c r="I30" s="11"/>
      <c r="J30" s="11"/>
    </row>
    <row r="31" spans="1:10" ht="9" customHeight="1">
      <c r="A31" s="227"/>
      <c r="B31" s="228"/>
      <c r="C31" s="228"/>
      <c r="D31" s="235"/>
      <c r="E31" s="2281"/>
      <c r="F31" s="2282"/>
      <c r="G31" s="2283"/>
      <c r="I31" s="11"/>
      <c r="J31" s="11"/>
    </row>
    <row r="32" spans="1:10" ht="59.25" customHeight="1">
      <c r="A32" s="226" t="e">
        <f>{#VALUE!}</f>
        <v>#VALUE!</v>
      </c>
      <c r="B32" s="2279" t="s">
        <v>763</v>
      </c>
      <c r="C32" s="2280"/>
      <c r="D32" s="235"/>
      <c r="E32" s="2281"/>
      <c r="F32" s="2282"/>
      <c r="G32" s="2283"/>
      <c r="I32" s="11"/>
      <c r="J32" s="11"/>
    </row>
    <row r="33" spans="1:8" ht="7.5" customHeight="1">
      <c r="A33" s="227"/>
      <c r="B33" s="228"/>
      <c r="C33" s="228"/>
      <c r="D33" s="235"/>
      <c r="E33" s="2281"/>
      <c r="F33" s="2282"/>
      <c r="G33" s="2283"/>
    </row>
    <row r="34" spans="1:8" ht="39" customHeight="1">
      <c r="A34" s="229" t="e">
        <f>{#N/A}</f>
        <v>#N/A</v>
      </c>
      <c r="B34" s="2278" t="s">
        <v>67</v>
      </c>
      <c r="C34" s="2278"/>
      <c r="D34" s="235"/>
      <c r="E34" s="2284"/>
      <c r="F34" s="2285"/>
      <c r="G34" s="2286"/>
    </row>
    <row r="35" spans="1:8">
      <c r="D35" s="9"/>
      <c r="E35" s="8"/>
      <c r="F35" s="8"/>
      <c r="G35" s="8"/>
      <c r="H35" s="8"/>
    </row>
    <row r="36" spans="1:8">
      <c r="D36" s="9"/>
      <c r="E36" s="8"/>
      <c r="F36" s="8"/>
      <c r="G36" s="8"/>
      <c r="H36" s="8"/>
    </row>
    <row r="37" spans="1:8">
      <c r="A37" s="10"/>
      <c r="B37" s="10"/>
      <c r="C37" s="10"/>
      <c r="D37" s="9"/>
      <c r="E37" s="10"/>
      <c r="F37" s="10"/>
      <c r="G37" s="10"/>
    </row>
    <row r="38" spans="1:8">
      <c r="A38" s="10"/>
      <c r="B38" s="10"/>
      <c r="C38" s="10"/>
      <c r="D38" s="9"/>
    </row>
    <row r="39" spans="1:8">
      <c r="D39" s="9"/>
    </row>
    <row r="41" spans="1:8">
      <c r="D41" s="7"/>
    </row>
    <row r="42" spans="1:8">
      <c r="D42" s="7"/>
    </row>
    <row r="43" spans="1:8" ht="14.25" customHeight="1">
      <c r="D43" s="7"/>
    </row>
    <row r="44" spans="1:8">
      <c r="D44" s="7"/>
    </row>
    <row r="45" spans="1:8">
      <c r="D45" s="7"/>
    </row>
    <row r="46" spans="1:8">
      <c r="D46" s="7"/>
    </row>
    <row r="47" spans="1:8">
      <c r="D47" s="7"/>
    </row>
    <row r="49" spans="4:7" ht="15">
      <c r="D49" s="7"/>
      <c r="E49" s="12"/>
      <c r="F49" s="7"/>
      <c r="G49" s="7"/>
    </row>
    <row r="50" spans="4:7">
      <c r="D50" s="7"/>
      <c r="E50" s="7"/>
      <c r="F50" s="7"/>
      <c r="G50" s="7"/>
    </row>
    <row r="51" spans="4:7" ht="15">
      <c r="D51" s="7"/>
      <c r="E51" s="12"/>
      <c r="F51" s="7"/>
      <c r="G51" s="7"/>
    </row>
    <row r="52" spans="4:7">
      <c r="D52" s="7"/>
      <c r="E52" s="7"/>
      <c r="F52" s="7"/>
      <c r="G52" s="7"/>
    </row>
    <row r="53" spans="4:7" ht="15">
      <c r="D53" s="7"/>
      <c r="E53" s="12"/>
      <c r="F53" s="7"/>
      <c r="G53" s="7"/>
    </row>
    <row r="54" spans="4:7">
      <c r="D54" s="7"/>
      <c r="E54" s="7"/>
      <c r="F54" s="7"/>
      <c r="G54" s="7"/>
    </row>
    <row r="55" spans="4:7" ht="15">
      <c r="D55" s="7"/>
      <c r="E55" s="12"/>
      <c r="F55" s="7"/>
      <c r="G55" s="7"/>
    </row>
  </sheetData>
  <sheetProtection formatCells="0" formatColumns="0" formatRows="0"/>
  <mergeCells count="19">
    <mergeCell ref="A1:B1"/>
    <mergeCell ref="E1:F1"/>
    <mergeCell ref="E2:F2"/>
    <mergeCell ref="A4:C7"/>
    <mergeCell ref="E5:G7"/>
    <mergeCell ref="A21:C23"/>
    <mergeCell ref="E22:G23"/>
    <mergeCell ref="A15:C19"/>
    <mergeCell ref="E8:G11"/>
    <mergeCell ref="A10:C13"/>
    <mergeCell ref="E19:F19"/>
    <mergeCell ref="E12:G16"/>
    <mergeCell ref="B30:C30"/>
    <mergeCell ref="B34:C34"/>
    <mergeCell ref="B32:C32"/>
    <mergeCell ref="E30:G34"/>
    <mergeCell ref="A25:C28"/>
    <mergeCell ref="E25:E26"/>
    <mergeCell ref="F25:G26"/>
  </mergeCells>
  <hyperlinks>
    <hyperlink ref="G1" location="Betrieb!E10" display="  ►"/>
    <hyperlink ref="G18" r:id="rId1"/>
  </hyperlinks>
  <pageMargins left="0.47244094488188981" right="0.47244094488188981" top="0.59055118110236227" bottom="0.59055118110236227" header="0.51181102362204722" footer="0.31496062992125984"/>
  <pageSetup paperSize="9" scale="90" firstPageNumber="0" pageOrder="overThenDown" orientation="portrait" blackAndWhite="1" horizontalDpi="300" verticalDpi="300" r:id="rId2"/>
  <headerFooter alignWithMargins="0">
    <oddFooter>&amp;L&amp;11&amp;F</oddFoot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theme="5" tint="0.39997558519241921"/>
  </sheetPr>
  <dimension ref="A1:JG130"/>
  <sheetViews>
    <sheetView zoomScale="90" zoomScaleNormal="90" workbookViewId="0">
      <selection activeCell="C5" sqref="C5"/>
    </sheetView>
  </sheetViews>
  <sheetFormatPr baseColWidth="10" defaultColWidth="12.7109375" defaultRowHeight="12.75"/>
  <cols>
    <col min="1" max="1" width="1.7109375" style="1874" customWidth="1"/>
    <col min="2" max="2" width="3.85546875" style="1874" customWidth="1"/>
    <col min="3" max="3" width="17.5703125" style="1874" customWidth="1"/>
    <col min="4" max="4" width="6" style="1874" customWidth="1"/>
    <col min="5" max="5" width="20.140625" style="1874" customWidth="1"/>
    <col min="6" max="6" width="23.42578125" style="1874" customWidth="1"/>
    <col min="7" max="7" width="8.140625" style="1874" customWidth="1"/>
    <col min="8" max="8" width="9.140625" style="1874" hidden="1" customWidth="1"/>
    <col min="9" max="9" width="9.7109375" style="1874" hidden="1" customWidth="1"/>
    <col min="10" max="11" width="9" style="1874" hidden="1" customWidth="1"/>
    <col min="12" max="12" width="6.7109375" style="1874" hidden="1" customWidth="1"/>
    <col min="13" max="13" width="4" style="1874" customWidth="1"/>
    <col min="14" max="14" width="6" style="1874" hidden="1" customWidth="1"/>
    <col min="15" max="15" width="14.5703125" style="1874" hidden="1" customWidth="1"/>
    <col min="16" max="16" width="12" style="1874" hidden="1" customWidth="1"/>
    <col min="17" max="17" width="10.140625" style="1874" hidden="1" customWidth="1"/>
    <col min="18" max="18" width="13.5703125" style="1874" customWidth="1"/>
    <col min="19" max="19" width="4.28515625" style="1874" customWidth="1"/>
    <col min="20" max="20" width="13.5703125" style="1874" customWidth="1"/>
    <col min="21" max="21" width="4.28515625" style="1874" customWidth="1"/>
    <col min="22" max="22" width="13.5703125" style="1874" customWidth="1"/>
    <col min="23" max="23" width="4.28515625" style="1874" customWidth="1"/>
    <col min="24" max="24" width="13.5703125" style="1874" customWidth="1"/>
    <col min="25" max="25" width="4.28515625" style="1874" customWidth="1"/>
    <col min="26" max="26" width="13.5703125" style="1874" customWidth="1"/>
    <col min="27" max="27" width="4.28515625" style="1874" customWidth="1"/>
    <col min="28" max="28" width="13.5703125" style="1874" customWidth="1"/>
    <col min="29" max="29" width="4.28515625" style="1874" customWidth="1"/>
    <col min="30" max="30" width="2.140625" style="1874" customWidth="1"/>
    <col min="31" max="31" width="17.85546875" style="1874" customWidth="1"/>
    <col min="32" max="32" width="10.42578125" style="10" customWidth="1"/>
    <col min="33" max="33" width="2.5703125" style="1874" customWidth="1"/>
    <col min="34" max="34" width="12.42578125" style="1874" customWidth="1"/>
    <col min="35" max="35" width="12.28515625" style="1874" customWidth="1"/>
    <col min="36" max="36" width="2.5703125" style="1874" customWidth="1"/>
    <col min="37" max="38" width="10.42578125" style="1874" hidden="1" customWidth="1"/>
    <col min="39" max="40" width="17.7109375" style="1874" customWidth="1"/>
    <col min="41" max="41" width="7.7109375" style="1874" hidden="1" customWidth="1"/>
    <col min="42" max="47" width="12.140625" style="1874" hidden="1" customWidth="1"/>
    <col min="48" max="48" width="10.140625" style="1874" hidden="1" customWidth="1"/>
    <col min="49" max="50" width="9.42578125" style="1874" hidden="1" customWidth="1"/>
    <col min="51" max="51" width="7.28515625" style="1874" hidden="1" customWidth="1"/>
    <col min="52" max="52" width="9.42578125" style="1874" hidden="1" customWidth="1"/>
    <col min="53" max="53" width="8.5703125" style="1874" hidden="1" customWidth="1"/>
    <col min="54" max="54" width="10.42578125" style="1874" hidden="1" customWidth="1"/>
    <col min="55" max="56" width="8.5703125" style="1874" hidden="1" customWidth="1"/>
    <col min="57" max="59" width="9.7109375" style="1874" hidden="1" customWidth="1"/>
    <col min="60" max="61" width="8.5703125" style="1874" hidden="1" customWidth="1"/>
    <col min="62" max="62" width="4.140625" style="1874" hidden="1" customWidth="1"/>
    <col min="63" max="63" width="8.5703125" style="1874" hidden="1" customWidth="1"/>
    <col min="64" max="64" width="9.140625" style="1874" hidden="1" customWidth="1"/>
    <col min="65" max="65" width="10.85546875" style="1874" hidden="1" customWidth="1"/>
    <col min="66" max="67" width="8.5703125" style="1874" hidden="1" customWidth="1"/>
    <col min="68" max="71" width="10.28515625" style="1874" hidden="1" customWidth="1"/>
    <col min="72" max="74" width="8.5703125" style="1874" hidden="1" customWidth="1"/>
    <col min="75" max="75" width="10" style="1874" hidden="1" customWidth="1"/>
    <col min="76" max="76" width="15.28515625" style="1874" hidden="1" customWidth="1"/>
    <col min="77" max="77" width="15.42578125" style="1874" hidden="1" customWidth="1"/>
    <col min="78" max="99" width="11.28515625" style="1874" hidden="1" customWidth="1"/>
    <col min="100" max="102" width="8.5703125" style="1874" hidden="1" customWidth="1"/>
    <col min="103" max="103" width="25.85546875" style="1874" hidden="1" customWidth="1"/>
    <col min="104" max="105" width="17.85546875" style="1874" hidden="1" customWidth="1"/>
    <col min="106" max="107" width="14.28515625" style="1874" hidden="1" customWidth="1"/>
    <col min="108" max="108" width="7.140625" style="1874" hidden="1" customWidth="1"/>
    <col min="109" max="109" width="25.42578125" style="1874" hidden="1" customWidth="1"/>
    <col min="110" max="112" width="8.28515625" style="1874" hidden="1" customWidth="1"/>
    <col min="113" max="115" width="7.140625" style="1874" hidden="1" customWidth="1"/>
    <col min="116" max="116" width="22" style="1874" hidden="1" customWidth="1"/>
    <col min="117" max="117" width="9" style="1874" hidden="1" customWidth="1"/>
    <col min="118" max="126" width="9.42578125" style="1874" hidden="1" customWidth="1"/>
    <col min="127" max="127" width="10.5703125" style="1874" hidden="1" customWidth="1"/>
    <col min="128" max="128" width="15.28515625" style="1874" hidden="1" customWidth="1"/>
    <col min="129" max="129" width="8.7109375" style="1874" hidden="1" customWidth="1"/>
    <col min="130" max="130" width="7" style="1874" hidden="1" customWidth="1"/>
    <col min="131" max="131" width="12.140625" style="1874" hidden="1" customWidth="1"/>
    <col min="132" max="132" width="9.42578125" style="1874" hidden="1" customWidth="1"/>
    <col min="133" max="136" width="9.28515625" style="1874" hidden="1" customWidth="1"/>
    <col min="137" max="137" width="4.7109375" style="1874" hidden="1" customWidth="1"/>
    <col min="138" max="138" width="6.28515625" style="1874" hidden="1" customWidth="1"/>
    <col min="139" max="144" width="9.28515625" style="1874" hidden="1" customWidth="1"/>
    <col min="145" max="145" width="6.42578125" style="1874" hidden="1" customWidth="1"/>
    <col min="146" max="146" width="10.140625" style="1874" hidden="1" customWidth="1"/>
    <col min="147" max="147" width="6.42578125" style="1874" hidden="1" customWidth="1"/>
    <col min="148" max="159" width="5.140625" style="1874" hidden="1" customWidth="1"/>
    <col min="160" max="160" width="8.7109375" style="1903" hidden="1" customWidth="1"/>
    <col min="161" max="172" width="5.140625" style="1874" hidden="1" customWidth="1"/>
    <col min="173" max="173" width="8.85546875" style="1903" hidden="1" customWidth="1"/>
    <col min="174" max="197" width="5.140625" style="1874" hidden="1" customWidth="1"/>
    <col min="198" max="198" width="8.85546875" style="1903" hidden="1" customWidth="1"/>
    <col min="199" max="210" width="5.140625" style="1874" hidden="1" customWidth="1"/>
    <col min="211" max="211" width="8.85546875" style="1903" hidden="1" customWidth="1"/>
    <col min="212" max="223" width="5.140625" style="1874" hidden="1" customWidth="1"/>
    <col min="224" max="224" width="8.85546875" style="1903" hidden="1" customWidth="1"/>
    <col min="225" max="236" width="5.140625" style="1874" hidden="1" customWidth="1"/>
    <col min="237" max="237" width="8.85546875" style="1903" hidden="1" customWidth="1"/>
    <col min="238" max="238" width="5.140625" style="1874" hidden="1" customWidth="1"/>
    <col min="239" max="239" width="7.7109375" style="1874" hidden="1" customWidth="1"/>
    <col min="240" max="252" width="5.140625" style="1874" hidden="1" customWidth="1"/>
    <col min="253" max="253" width="8" style="1874" hidden="1" customWidth="1"/>
    <col min="254" max="267" width="5.140625" style="1874" hidden="1" customWidth="1"/>
    <col min="268" max="298" width="5.140625" style="1874" customWidth="1"/>
    <col min="299" max="16384" width="12.7109375" style="1874"/>
  </cols>
  <sheetData>
    <row r="1" spans="1:265" ht="29.25" customHeight="1">
      <c r="A1" s="1319"/>
      <c r="B1" s="1992" t="s">
        <v>1210</v>
      </c>
      <c r="C1" s="1993"/>
      <c r="D1" s="1847"/>
      <c r="E1" s="1847"/>
      <c r="F1" s="1847"/>
      <c r="G1" s="1847"/>
      <c r="H1" s="1847"/>
      <c r="I1" s="1847"/>
      <c r="J1" s="1847"/>
      <c r="K1" s="1847"/>
      <c r="L1" s="1847"/>
      <c r="M1" s="1847"/>
      <c r="N1" s="1994"/>
      <c r="O1" s="1994"/>
      <c r="P1" s="1994"/>
      <c r="Q1" s="1994"/>
      <c r="R1" s="1995"/>
      <c r="S1" s="1996"/>
      <c r="T1" s="1844"/>
      <c r="U1" s="1844"/>
      <c r="V1" s="1844"/>
      <c r="W1" s="1844"/>
      <c r="X1" s="2452" t="s">
        <v>0</v>
      </c>
      <c r="Y1" s="2454"/>
      <c r="Z1" s="2452" t="s">
        <v>1</v>
      </c>
      <c r="AA1" s="2454"/>
      <c r="AB1" s="1844"/>
      <c r="AC1" s="1844"/>
      <c r="AD1" s="1845"/>
      <c r="AE1" s="2472" t="s">
        <v>1263</v>
      </c>
      <c r="AF1" s="2472"/>
      <c r="AG1" s="1846"/>
      <c r="AH1" s="2495" t="s">
        <v>1251</v>
      </c>
      <c r="AI1" s="2495"/>
      <c r="AJ1" s="1319"/>
      <c r="AK1" s="2505" t="s">
        <v>1350</v>
      </c>
      <c r="AL1" s="2506"/>
      <c r="AM1" s="1319"/>
      <c r="AN1" s="876"/>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2494" t="s">
        <v>1146</v>
      </c>
      <c r="BX1" s="2494"/>
      <c r="BY1" s="2494"/>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853" t="s">
        <v>1269</v>
      </c>
      <c r="DM1" s="10"/>
      <c r="DN1" s="10"/>
      <c r="DO1" s="10"/>
      <c r="DP1" s="10"/>
      <c r="DQ1" s="10"/>
      <c r="DR1" s="10"/>
      <c r="DS1" s="10"/>
      <c r="DT1" s="10"/>
      <c r="DU1" s="10"/>
      <c r="DV1" s="10"/>
      <c r="DW1" s="10"/>
      <c r="DX1" s="10"/>
      <c r="DY1" s="10"/>
      <c r="EF1" s="10"/>
      <c r="EG1" s="10"/>
      <c r="EH1" s="10"/>
      <c r="EI1" s="10"/>
      <c r="EJ1" s="10"/>
      <c r="EK1" s="10"/>
      <c r="EL1" s="10"/>
      <c r="EM1" s="10"/>
      <c r="EN1" s="10"/>
      <c r="EO1" s="10"/>
      <c r="EP1" s="10"/>
      <c r="EQ1" s="10"/>
      <c r="ER1" s="10"/>
      <c r="ES1" s="10"/>
      <c r="ET1" s="10"/>
      <c r="EU1" s="10"/>
      <c r="EV1" s="10"/>
      <c r="EW1" s="10"/>
      <c r="EX1" s="10"/>
      <c r="EY1" s="10"/>
      <c r="EZ1" s="10"/>
      <c r="FA1" s="10"/>
      <c r="FB1" s="10"/>
      <c r="FC1" s="10"/>
      <c r="FD1" s="1875"/>
      <c r="FE1" s="10"/>
      <c r="FF1" s="10"/>
      <c r="FG1" s="10"/>
      <c r="FH1" s="10"/>
      <c r="FI1" s="10"/>
      <c r="FJ1" s="10"/>
      <c r="FK1" s="10"/>
      <c r="FL1" s="10"/>
      <c r="FM1" s="10"/>
      <c r="FN1" s="10"/>
      <c r="FO1" s="10"/>
      <c r="FP1" s="10"/>
      <c r="FQ1" s="1875"/>
      <c r="FR1" s="10"/>
      <c r="FS1" s="10"/>
      <c r="FT1" s="10"/>
      <c r="FU1" s="10"/>
      <c r="FV1" s="10"/>
      <c r="FW1" s="10"/>
      <c r="FX1" s="10"/>
      <c r="FY1" s="10"/>
      <c r="FZ1" s="10"/>
      <c r="GA1" s="10"/>
      <c r="GB1" s="10"/>
      <c r="GC1" s="10"/>
      <c r="GD1" s="10"/>
      <c r="GE1" s="10"/>
      <c r="GF1" s="10"/>
      <c r="GG1" s="10"/>
      <c r="GH1" s="10"/>
      <c r="GI1" s="10"/>
      <c r="GJ1" s="10"/>
      <c r="GK1" s="10"/>
      <c r="GL1" s="10"/>
      <c r="GM1" s="10"/>
      <c r="GN1" s="10"/>
      <c r="GO1" s="10"/>
      <c r="GP1" s="1875"/>
      <c r="GQ1" s="10"/>
      <c r="GR1" s="10"/>
      <c r="GS1" s="10"/>
      <c r="GT1" s="10"/>
      <c r="GU1" s="10"/>
      <c r="GV1" s="10"/>
      <c r="GW1" s="10"/>
      <c r="GX1" s="10"/>
      <c r="GY1" s="10"/>
      <c r="GZ1" s="10"/>
      <c r="HA1" s="10"/>
      <c r="HB1" s="10"/>
      <c r="HC1" s="1876"/>
      <c r="HD1" s="10"/>
      <c r="HE1" s="10"/>
      <c r="HF1" s="10"/>
      <c r="HG1" s="10"/>
      <c r="HH1" s="10"/>
      <c r="HI1" s="10"/>
      <c r="HJ1" s="10"/>
      <c r="HK1" s="10"/>
      <c r="HL1" s="10"/>
      <c r="HM1" s="10"/>
      <c r="HN1" s="10"/>
      <c r="HO1" s="10"/>
      <c r="HP1" s="1875"/>
      <c r="HQ1" s="10"/>
      <c r="HR1" s="10"/>
      <c r="HS1" s="10"/>
      <c r="HT1" s="10"/>
      <c r="HU1" s="10"/>
      <c r="HV1" s="10"/>
      <c r="HW1" s="10"/>
      <c r="HX1" s="10"/>
      <c r="HY1" s="10"/>
      <c r="HZ1" s="10"/>
      <c r="IA1" s="10"/>
      <c r="IB1" s="10"/>
      <c r="IC1" s="1875"/>
      <c r="ID1" s="10"/>
      <c r="IE1" s="10"/>
      <c r="IF1" s="10"/>
      <c r="IG1" s="10"/>
      <c r="IH1" s="10"/>
      <c r="II1" s="10"/>
      <c r="IJ1" s="10"/>
      <c r="IK1" s="10"/>
      <c r="IL1" s="10"/>
      <c r="IM1" s="10"/>
      <c r="IN1" s="10"/>
      <c r="IO1" s="10"/>
      <c r="IP1" s="10"/>
      <c r="IQ1" s="10"/>
    </row>
    <row r="2" spans="1:265" ht="15" customHeight="1">
      <c r="A2" s="1319"/>
      <c r="B2" s="725"/>
      <c r="C2" s="726"/>
      <c r="D2" s="726"/>
      <c r="E2" s="726"/>
      <c r="F2" s="725"/>
      <c r="G2" s="725"/>
      <c r="H2" s="725"/>
      <c r="I2" s="725"/>
      <c r="J2" s="725"/>
      <c r="K2" s="725"/>
      <c r="L2" s="983"/>
      <c r="M2" s="844"/>
      <c r="N2" s="844"/>
      <c r="O2" s="844"/>
      <c r="P2" s="844"/>
      <c r="Q2" s="844"/>
      <c r="R2" s="844"/>
      <c r="S2" s="844"/>
      <c r="T2" s="844"/>
      <c r="U2" s="844"/>
      <c r="V2" s="844"/>
      <c r="W2" s="844"/>
      <c r="X2" s="844"/>
      <c r="Y2" s="844"/>
      <c r="Z2" s="844"/>
      <c r="AA2" s="844"/>
      <c r="AB2" s="844"/>
      <c r="AC2" s="844"/>
      <c r="AD2" s="844"/>
      <c r="AE2" s="844"/>
      <c r="AF2" s="844"/>
      <c r="AG2" s="844"/>
      <c r="AH2" s="876"/>
      <c r="AI2" s="876"/>
      <c r="AJ2" s="876"/>
      <c r="AK2" s="876"/>
      <c r="AL2" s="876"/>
      <c r="AM2" s="1319"/>
      <c r="AN2" s="876"/>
      <c r="AO2" s="10"/>
      <c r="AP2" s="10" t="s">
        <v>10</v>
      </c>
      <c r="AQ2" s="10"/>
      <c r="AR2" s="10"/>
      <c r="AS2" s="10"/>
      <c r="AT2" s="10"/>
      <c r="AU2" s="10"/>
      <c r="AV2" s="10"/>
      <c r="AW2" s="10"/>
      <c r="AX2" s="10"/>
      <c r="AY2" s="10"/>
      <c r="AZ2" s="10"/>
      <c r="BA2" s="10" t="s">
        <v>1034</v>
      </c>
      <c r="BB2" s="10"/>
      <c r="BC2" s="10"/>
      <c r="BD2" s="10"/>
      <c r="BE2" s="10"/>
      <c r="BF2" s="10"/>
      <c r="BG2" s="10"/>
      <c r="BH2" s="10"/>
      <c r="BI2" s="10"/>
      <c r="BJ2" s="10"/>
      <c r="BK2" s="10"/>
      <c r="BL2" s="10" t="s">
        <v>863</v>
      </c>
      <c r="BM2" s="10"/>
      <c r="BN2" s="10"/>
      <c r="BO2" s="10"/>
      <c r="BP2" s="10"/>
      <c r="BQ2" s="10"/>
      <c r="BR2" s="10"/>
      <c r="BS2" s="10"/>
      <c r="BT2" s="10"/>
      <c r="BU2" s="10"/>
      <c r="BV2" s="10"/>
      <c r="BW2" s="2494" t="s">
        <v>898</v>
      </c>
      <c r="BX2" s="2494" t="s">
        <v>1147</v>
      </c>
      <c r="BY2" s="2494"/>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B2" s="10"/>
      <c r="EC2" s="10"/>
      <c r="ED2" s="10"/>
      <c r="EE2" s="10"/>
      <c r="EF2" s="10"/>
      <c r="FA2" s="10"/>
      <c r="FB2" s="10"/>
      <c r="FC2" s="10"/>
      <c r="FD2" s="1875"/>
      <c r="FE2" s="10"/>
      <c r="FF2" s="10"/>
      <c r="FG2" s="10"/>
      <c r="FH2" s="10"/>
      <c r="FI2" s="10"/>
      <c r="FJ2" s="10"/>
      <c r="FK2" s="10"/>
      <c r="FL2" s="10"/>
      <c r="FM2" s="10"/>
      <c r="FN2" s="10"/>
      <c r="FO2" s="10"/>
      <c r="FP2" s="10"/>
      <c r="FQ2" s="1875"/>
      <c r="FR2" s="10"/>
      <c r="FS2" s="10"/>
      <c r="FT2" s="10"/>
      <c r="FU2" s="10"/>
      <c r="FV2" s="10"/>
      <c r="FW2" s="10"/>
      <c r="FX2" s="10"/>
      <c r="FY2" s="10"/>
      <c r="FZ2" s="10"/>
      <c r="GA2" s="10"/>
      <c r="GB2" s="10"/>
      <c r="GC2" s="10"/>
      <c r="GD2" s="10"/>
      <c r="GE2" s="10"/>
      <c r="GF2" s="10"/>
      <c r="GG2" s="10"/>
      <c r="GH2" s="10"/>
      <c r="GI2" s="10"/>
      <c r="GJ2" s="10"/>
      <c r="GK2" s="10"/>
      <c r="GL2" s="10"/>
      <c r="GM2" s="10"/>
      <c r="GN2" s="10"/>
      <c r="GO2" s="10"/>
      <c r="GP2" s="1875"/>
      <c r="GQ2" s="10"/>
      <c r="GR2" s="10"/>
      <c r="GS2" s="10"/>
      <c r="GT2" s="10"/>
      <c r="GU2" s="10"/>
      <c r="GV2" s="10"/>
      <c r="GW2" s="10"/>
      <c r="GX2" s="10"/>
      <c r="GY2" s="10"/>
      <c r="GZ2" s="10"/>
      <c r="HA2" s="10"/>
      <c r="HB2" s="10"/>
      <c r="HC2" s="1876"/>
      <c r="HD2" s="10"/>
      <c r="HE2" s="10"/>
      <c r="HF2" s="10"/>
      <c r="HG2" s="10"/>
      <c r="HH2" s="10"/>
      <c r="HI2" s="10"/>
      <c r="HJ2" s="10"/>
      <c r="HK2" s="10"/>
      <c r="HL2" s="10"/>
      <c r="HM2" s="10"/>
      <c r="HN2" s="10"/>
      <c r="HO2" s="10"/>
      <c r="HP2" s="1875"/>
      <c r="HQ2" s="10"/>
      <c r="HR2" s="10"/>
      <c r="HS2" s="10"/>
      <c r="HT2" s="10"/>
      <c r="HU2" s="10"/>
      <c r="HV2" s="10"/>
      <c r="HW2" s="10"/>
      <c r="HX2" s="10"/>
      <c r="HY2" s="10"/>
      <c r="HZ2" s="10"/>
      <c r="IA2" s="10"/>
      <c r="IB2" s="10"/>
      <c r="IC2" s="1875"/>
      <c r="ID2" s="10"/>
      <c r="IG2" s="10"/>
      <c r="IH2" s="10"/>
      <c r="II2" s="10"/>
      <c r="IJ2" s="10"/>
      <c r="IK2" s="10"/>
      <c r="IL2" s="10"/>
      <c r="IM2" s="10"/>
      <c r="IN2" s="10"/>
      <c r="IO2" s="10"/>
      <c r="IP2" s="10"/>
      <c r="IQ2" s="10"/>
    </row>
    <row r="3" spans="1:265" ht="30" customHeight="1" thickBot="1">
      <c r="A3" s="1319"/>
      <c r="B3" s="2491" t="s">
        <v>1211</v>
      </c>
      <c r="C3" s="2491"/>
      <c r="D3" s="2491"/>
      <c r="E3" s="2491"/>
      <c r="F3" s="2491"/>
      <c r="G3" s="2491"/>
      <c r="H3" s="2491"/>
      <c r="I3" s="2491"/>
      <c r="J3" s="2491"/>
      <c r="K3" s="2491"/>
      <c r="L3" s="2491"/>
      <c r="M3" s="2491"/>
      <c r="N3" s="1324"/>
      <c r="O3" s="1324"/>
      <c r="P3" s="1324"/>
      <c r="Q3" s="1469"/>
      <c r="R3" s="2475" t="s">
        <v>1447</v>
      </c>
      <c r="S3" s="2474"/>
      <c r="T3" s="2474"/>
      <c r="U3" s="2474"/>
      <c r="V3" s="2474"/>
      <c r="W3" s="2474"/>
      <c r="X3" s="2474"/>
      <c r="Y3" s="2474"/>
      <c r="Z3" s="2474"/>
      <c r="AA3" s="2474"/>
      <c r="AB3" s="2474"/>
      <c r="AC3" s="2476"/>
      <c r="AD3" s="844"/>
      <c r="AE3" s="2477" t="s">
        <v>1445</v>
      </c>
      <c r="AF3" s="2478"/>
      <c r="AG3" s="844"/>
      <c r="AH3" s="2496" t="s">
        <v>1252</v>
      </c>
      <c r="AI3" s="2498" t="s">
        <v>850</v>
      </c>
      <c r="AJ3" s="876"/>
      <c r="AK3" s="2500" t="s">
        <v>1355</v>
      </c>
      <c r="AL3" s="2501"/>
      <c r="AM3" s="1319"/>
      <c r="AN3" s="876"/>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2494"/>
      <c r="BX3" s="1997"/>
      <c r="BY3" s="1997"/>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2507" t="s">
        <v>1358</v>
      </c>
      <c r="DM3" s="2507"/>
      <c r="DN3" s="2507"/>
      <c r="DO3" s="2507"/>
      <c r="DP3" s="2508" t="s">
        <v>1359</v>
      </c>
      <c r="DQ3" s="2509"/>
      <c r="DR3" s="2508" t="s">
        <v>1360</v>
      </c>
      <c r="DS3" s="2509"/>
      <c r="DT3" s="2509"/>
      <c r="DU3" s="2508" t="s">
        <v>1361</v>
      </c>
      <c r="DV3" s="2509"/>
      <c r="DW3" s="2509"/>
      <c r="DX3" s="10"/>
      <c r="DY3" s="10"/>
      <c r="DZ3" s="1875"/>
      <c r="EA3" s="1853" t="s">
        <v>1333</v>
      </c>
      <c r="EB3" s="10"/>
      <c r="EC3" s="10"/>
      <c r="ED3" s="10"/>
      <c r="EE3" s="10"/>
      <c r="EF3" s="10"/>
      <c r="EH3" s="2483" t="s">
        <v>1334</v>
      </c>
      <c r="EI3" s="2483"/>
      <c r="EJ3" s="2483"/>
      <c r="EK3" s="2483"/>
      <c r="EL3" s="2483"/>
      <c r="EM3" s="2483"/>
      <c r="EN3" s="2483"/>
      <c r="EQ3" s="1853" t="s">
        <v>1311</v>
      </c>
      <c r="ER3" s="1853"/>
      <c r="ES3" s="1853"/>
      <c r="ET3" s="1853"/>
      <c r="EU3" s="1853"/>
      <c r="EV3" s="1853"/>
      <c r="EW3" s="1853"/>
      <c r="EX3" s="1853"/>
      <c r="EY3" s="1853"/>
      <c r="EZ3" s="1853"/>
      <c r="FA3" s="1853"/>
      <c r="FB3" s="1853"/>
      <c r="FC3" s="1853"/>
      <c r="FD3" s="1887"/>
      <c r="FE3" s="1853"/>
      <c r="FF3" s="1853"/>
      <c r="FG3" s="1853"/>
      <c r="FH3" s="1853"/>
      <c r="FI3" s="1853"/>
      <c r="FJ3" s="1853"/>
      <c r="FK3" s="1853"/>
      <c r="FL3" s="1853"/>
      <c r="FM3" s="1853"/>
      <c r="FN3" s="1853"/>
      <c r="FO3" s="1853"/>
      <c r="FP3" s="1853"/>
      <c r="FQ3" s="1887"/>
      <c r="FR3" s="1853"/>
      <c r="FS3" s="1853"/>
      <c r="FT3" s="1853"/>
      <c r="FU3" s="1853"/>
      <c r="FV3" s="1853"/>
      <c r="FW3" s="1853"/>
      <c r="FX3" s="1853"/>
      <c r="FY3" s="1853"/>
      <c r="FZ3" s="1853"/>
      <c r="GA3" s="1853"/>
      <c r="GB3" s="1853"/>
      <c r="GC3" s="1853"/>
      <c r="GD3" s="1853"/>
      <c r="GE3" s="1853"/>
      <c r="GF3" s="1853"/>
      <c r="GG3" s="1853"/>
      <c r="GH3" s="1853"/>
      <c r="GI3" s="1853"/>
      <c r="GJ3" s="1853"/>
      <c r="GK3" s="1853"/>
      <c r="GL3" s="1853"/>
      <c r="GM3" s="1853"/>
      <c r="GN3" s="1853"/>
      <c r="GO3" s="1853"/>
      <c r="GP3" s="1887"/>
      <c r="GQ3" s="1853"/>
      <c r="GR3" s="1853"/>
      <c r="GS3" s="1853"/>
      <c r="GT3" s="1853"/>
      <c r="GU3" s="1853"/>
      <c r="GV3" s="1853"/>
      <c r="GW3" s="1853"/>
      <c r="GX3" s="1853"/>
      <c r="GY3" s="1853"/>
      <c r="GZ3" s="1853"/>
      <c r="HA3" s="1853"/>
      <c r="HB3" s="1853"/>
      <c r="HC3" s="1887"/>
      <c r="HD3" s="1853"/>
      <c r="HE3" s="1853"/>
      <c r="HF3" s="1853"/>
      <c r="HG3" s="1853"/>
      <c r="HH3" s="1853"/>
      <c r="HI3" s="1853"/>
      <c r="HJ3" s="1853"/>
      <c r="HK3" s="1853"/>
      <c r="HL3" s="1853"/>
      <c r="HM3" s="1853"/>
      <c r="HN3" s="1853"/>
      <c r="HO3" s="1853"/>
      <c r="HP3" s="1887"/>
      <c r="HQ3" s="1853"/>
      <c r="HR3" s="1853"/>
      <c r="HS3" s="1853"/>
      <c r="HT3" s="1853"/>
      <c r="HU3" s="1853"/>
      <c r="HV3" s="1853"/>
      <c r="HW3" s="1853"/>
      <c r="HX3" s="1853"/>
      <c r="HY3" s="1853"/>
      <c r="HZ3" s="1853"/>
      <c r="IA3" s="1853"/>
      <c r="IB3" s="1853"/>
      <c r="IC3" s="1887"/>
      <c r="ID3" s="1853"/>
      <c r="IE3" s="2483" t="s">
        <v>1340</v>
      </c>
      <c r="IF3" s="2483"/>
      <c r="IG3" s="2483"/>
      <c r="IH3" s="2483"/>
      <c r="II3" s="2483"/>
      <c r="IJ3" s="2483"/>
      <c r="IK3" s="2483"/>
      <c r="IL3" s="2483"/>
      <c r="IM3" s="2483"/>
      <c r="IN3" s="2483"/>
      <c r="IO3" s="2483"/>
      <c r="IP3" s="2483"/>
      <c r="IQ3" s="2483"/>
      <c r="IS3" s="2483" t="s">
        <v>1344</v>
      </c>
      <c r="IT3" s="2483"/>
      <c r="IU3" s="2483"/>
      <c r="IV3" s="2483"/>
      <c r="IW3" s="2483"/>
      <c r="IX3" s="2483"/>
      <c r="IY3" s="2483"/>
      <c r="IZ3" s="2483"/>
      <c r="JA3" s="2483"/>
      <c r="JB3" s="2483"/>
      <c r="JC3" s="2483"/>
      <c r="JD3" s="2483"/>
      <c r="JE3" s="2483"/>
    </row>
    <row r="4" spans="1:265" ht="39" customHeight="1" thickBot="1">
      <c r="A4" s="1319"/>
      <c r="B4" s="1998" t="s">
        <v>732</v>
      </c>
      <c r="C4" s="1999" t="s">
        <v>731</v>
      </c>
      <c r="D4" s="2000" t="s">
        <v>10</v>
      </c>
      <c r="E4" s="2001" t="s">
        <v>834</v>
      </c>
      <c r="F4" s="2002" t="s">
        <v>835</v>
      </c>
      <c r="G4" s="2003" t="s">
        <v>729</v>
      </c>
      <c r="H4" s="2004" t="s">
        <v>847</v>
      </c>
      <c r="I4" s="2005" t="s">
        <v>1056</v>
      </c>
      <c r="J4" s="2004" t="s">
        <v>1004</v>
      </c>
      <c r="K4" s="2005" t="s">
        <v>1054</v>
      </c>
      <c r="L4" s="2003" t="s">
        <v>1209</v>
      </c>
      <c r="M4" s="2006"/>
      <c r="N4" s="2007"/>
      <c r="O4" s="2004" t="s">
        <v>847</v>
      </c>
      <c r="P4" s="2004" t="s">
        <v>848</v>
      </c>
      <c r="Q4" s="2007"/>
      <c r="R4" s="2487" t="s">
        <v>865</v>
      </c>
      <c r="S4" s="2487"/>
      <c r="T4" s="2487" t="s">
        <v>1222</v>
      </c>
      <c r="U4" s="2487"/>
      <c r="V4" s="2487" t="s">
        <v>1223</v>
      </c>
      <c r="W4" s="2487"/>
      <c r="X4" s="2487" t="s">
        <v>1224</v>
      </c>
      <c r="Y4" s="2487"/>
      <c r="Z4" s="2487" t="s">
        <v>1225</v>
      </c>
      <c r="AA4" s="2487"/>
      <c r="AB4" s="2487" t="s">
        <v>849</v>
      </c>
      <c r="AC4" s="2488"/>
      <c r="AD4" s="844"/>
      <c r="AE4" s="2008" t="s">
        <v>957</v>
      </c>
      <c r="AF4" s="2009" t="s">
        <v>1444</v>
      </c>
      <c r="AG4" s="844"/>
      <c r="AH4" s="2497"/>
      <c r="AI4" s="2499"/>
      <c r="AJ4" s="876"/>
      <c r="AK4" s="2010" t="s">
        <v>1356</v>
      </c>
      <c r="AL4" s="2011" t="s">
        <v>1357</v>
      </c>
      <c r="AM4" s="1319"/>
      <c r="AN4" s="876"/>
      <c r="AO4" s="2012" t="s">
        <v>10</v>
      </c>
      <c r="AP4" s="1855" t="s">
        <v>1014</v>
      </c>
      <c r="AQ4" s="1855" t="s">
        <v>1015</v>
      </c>
      <c r="AR4" s="2486" t="s">
        <v>1016</v>
      </c>
      <c r="AS4" s="2486"/>
      <c r="AT4" s="1855" t="s">
        <v>1017</v>
      </c>
      <c r="AU4" s="1855" t="s">
        <v>1018</v>
      </c>
      <c r="AV4" s="1855" t="s">
        <v>1019</v>
      </c>
      <c r="AW4" s="1855" t="s">
        <v>1033</v>
      </c>
      <c r="AX4" s="1855" t="s">
        <v>1031</v>
      </c>
      <c r="AY4" s="1855" t="s">
        <v>1365</v>
      </c>
      <c r="AZ4" s="1855" t="s">
        <v>1366</v>
      </c>
      <c r="BA4" s="1855" t="s">
        <v>1014</v>
      </c>
      <c r="BB4" s="1855" t="s">
        <v>1015</v>
      </c>
      <c r="BC4" s="2486" t="s">
        <v>1016</v>
      </c>
      <c r="BD4" s="2486"/>
      <c r="BE4" s="1855" t="s">
        <v>1017</v>
      </c>
      <c r="BF4" s="1855" t="s">
        <v>1018</v>
      </c>
      <c r="BG4" s="1855" t="s">
        <v>1019</v>
      </c>
      <c r="BH4" s="1855" t="s">
        <v>1033</v>
      </c>
      <c r="BI4" s="1855" t="s">
        <v>827</v>
      </c>
      <c r="BJ4" s="1855" t="s">
        <v>1032</v>
      </c>
      <c r="BK4" s="10"/>
      <c r="BL4" s="1855" t="s">
        <v>1014</v>
      </c>
      <c r="BM4" s="1855" t="s">
        <v>1015</v>
      </c>
      <c r="BN4" s="2486" t="s">
        <v>1016</v>
      </c>
      <c r="BO4" s="2486"/>
      <c r="BP4" s="1855" t="s">
        <v>1017</v>
      </c>
      <c r="BQ4" s="1855" t="s">
        <v>1018</v>
      </c>
      <c r="BR4" s="1855" t="s">
        <v>1019</v>
      </c>
      <c r="BS4" s="1855" t="s">
        <v>1020</v>
      </c>
      <c r="BT4" s="1855" t="s">
        <v>1031</v>
      </c>
      <c r="BU4" s="1855" t="s">
        <v>1032</v>
      </c>
      <c r="BV4" s="2013"/>
      <c r="BW4" s="2494"/>
      <c r="BX4" s="2014" t="s">
        <v>1148</v>
      </c>
      <c r="BY4" s="2015" t="s">
        <v>1149</v>
      </c>
      <c r="BZ4" s="10"/>
      <c r="CA4" s="2016" t="s">
        <v>1135</v>
      </c>
      <c r="CB4" s="2016" t="s">
        <v>1136</v>
      </c>
      <c r="CC4" s="2016" t="s">
        <v>1137</v>
      </c>
      <c r="CD4" s="2017" t="s">
        <v>1138</v>
      </c>
      <c r="CE4" s="2017" t="s">
        <v>1139</v>
      </c>
      <c r="CF4" s="2017" t="s">
        <v>623</v>
      </c>
      <c r="CG4" s="2016" t="s">
        <v>1140</v>
      </c>
      <c r="CH4" s="2017" t="s">
        <v>1138</v>
      </c>
      <c r="CI4" s="2017" t="s">
        <v>1139</v>
      </c>
      <c r="CJ4" s="2017" t="s">
        <v>623</v>
      </c>
      <c r="CK4" s="2016">
        <v>4</v>
      </c>
      <c r="CL4" s="2018" t="s">
        <v>1141</v>
      </c>
      <c r="CM4" s="2017" t="s">
        <v>1138</v>
      </c>
      <c r="CN4" s="2018" t="s">
        <v>1139</v>
      </c>
      <c r="CO4" s="2017" t="s">
        <v>623</v>
      </c>
      <c r="CP4" s="2016">
        <v>5</v>
      </c>
      <c r="CQ4" s="2016">
        <v>6</v>
      </c>
      <c r="CR4" s="2016" t="s">
        <v>1142</v>
      </c>
      <c r="CS4" s="2016" t="s">
        <v>1143</v>
      </c>
      <c r="CT4" s="2019" t="s">
        <v>1144</v>
      </c>
      <c r="CU4" s="2492" t="s">
        <v>1145</v>
      </c>
      <c r="CV4" s="2493"/>
      <c r="CW4" s="2493"/>
      <c r="CX4" s="10"/>
      <c r="CY4" s="2020" t="s">
        <v>1151</v>
      </c>
      <c r="CZ4" s="10"/>
      <c r="DA4" s="10"/>
      <c r="DB4" s="10"/>
      <c r="DC4" s="10"/>
      <c r="DD4" s="10"/>
      <c r="DE4" s="2020" t="s">
        <v>1254</v>
      </c>
      <c r="DF4" s="10"/>
      <c r="DG4" s="10"/>
      <c r="DH4" s="10"/>
      <c r="DI4" s="10"/>
      <c r="DJ4" s="10"/>
      <c r="DK4" s="10"/>
      <c r="DL4" s="2021" t="s">
        <v>1346</v>
      </c>
      <c r="DM4" s="2021" t="s">
        <v>1347</v>
      </c>
      <c r="DN4" s="2021" t="s">
        <v>1302</v>
      </c>
      <c r="DO4" s="2021" t="s">
        <v>1303</v>
      </c>
      <c r="DP4" s="1894" t="s">
        <v>1309</v>
      </c>
      <c r="DQ4" s="1895" t="s">
        <v>1310</v>
      </c>
      <c r="DR4" s="1896" t="s">
        <v>1338</v>
      </c>
      <c r="DS4" s="1900" t="s">
        <v>1339</v>
      </c>
      <c r="DT4" s="1900" t="s">
        <v>1335</v>
      </c>
      <c r="DU4" s="1896" t="s">
        <v>1345</v>
      </c>
      <c r="DV4" s="1897" t="s">
        <v>1348</v>
      </c>
      <c r="DW4" s="1897" t="s">
        <v>1349</v>
      </c>
      <c r="DX4" s="10"/>
      <c r="DY4" s="10"/>
      <c r="DZ4" s="1899" t="s">
        <v>1336</v>
      </c>
      <c r="EA4" s="1900" t="s">
        <v>865</v>
      </c>
      <c r="EB4" s="1900" t="s">
        <v>1222</v>
      </c>
      <c r="EC4" s="1900" t="s">
        <v>1223</v>
      </c>
      <c r="ED4" s="1900" t="s">
        <v>1224</v>
      </c>
      <c r="EE4" s="1900" t="s">
        <v>1225</v>
      </c>
      <c r="EF4" s="1900" t="s">
        <v>849</v>
      </c>
      <c r="EH4" s="1899" t="s">
        <v>1337</v>
      </c>
      <c r="EI4" s="1900" t="s">
        <v>865</v>
      </c>
      <c r="EJ4" s="1900" t="s">
        <v>1222</v>
      </c>
      <c r="EK4" s="1900" t="s">
        <v>1223</v>
      </c>
      <c r="EL4" s="1900" t="s">
        <v>1224</v>
      </c>
      <c r="EM4" s="1900" t="s">
        <v>1225</v>
      </c>
      <c r="EN4" s="1900" t="s">
        <v>849</v>
      </c>
      <c r="EP4" s="1900" t="s">
        <v>1363</v>
      </c>
      <c r="EQ4" s="1900" t="s">
        <v>1362</v>
      </c>
      <c r="ER4" s="2481" t="s">
        <v>1312</v>
      </c>
      <c r="ES4" s="2482"/>
      <c r="ET4" s="2482"/>
      <c r="EU4" s="2482"/>
      <c r="EV4" s="2481" t="s">
        <v>1313</v>
      </c>
      <c r="EW4" s="2482"/>
      <c r="EX4" s="2482"/>
      <c r="EY4" s="2482"/>
      <c r="EZ4" s="2481" t="s">
        <v>1314</v>
      </c>
      <c r="FA4" s="2482"/>
      <c r="FB4" s="2482"/>
      <c r="FC4" s="2482"/>
      <c r="FD4" s="1902" t="s">
        <v>1364</v>
      </c>
      <c r="FE4" s="2481" t="s">
        <v>1315</v>
      </c>
      <c r="FF4" s="2482"/>
      <c r="FG4" s="2482"/>
      <c r="FH4" s="2482"/>
      <c r="FI4" s="2481" t="s">
        <v>1316</v>
      </c>
      <c r="FJ4" s="2482"/>
      <c r="FK4" s="2482"/>
      <c r="FL4" s="2482"/>
      <c r="FM4" s="2481" t="s">
        <v>1317</v>
      </c>
      <c r="FN4" s="2482"/>
      <c r="FO4" s="2482"/>
      <c r="FP4" s="2482"/>
      <c r="FQ4" s="1902" t="s">
        <v>1364</v>
      </c>
      <c r="FR4" s="2481" t="s">
        <v>1318</v>
      </c>
      <c r="FS4" s="2482"/>
      <c r="FT4" s="2482"/>
      <c r="FU4" s="2482"/>
      <c r="FV4" s="2481" t="s">
        <v>1319</v>
      </c>
      <c r="FW4" s="2482"/>
      <c r="FX4" s="2482"/>
      <c r="FY4" s="2482"/>
      <c r="FZ4" s="2481" t="s">
        <v>1320</v>
      </c>
      <c r="GA4" s="2482"/>
      <c r="GB4" s="2482"/>
      <c r="GC4" s="2482"/>
      <c r="GD4" s="2481" t="s">
        <v>1321</v>
      </c>
      <c r="GE4" s="2482"/>
      <c r="GF4" s="2482"/>
      <c r="GG4" s="2482"/>
      <c r="GH4" s="2481" t="s">
        <v>1322</v>
      </c>
      <c r="GI4" s="2482"/>
      <c r="GJ4" s="2482"/>
      <c r="GK4" s="2482"/>
      <c r="GL4" s="2481" t="s">
        <v>1323</v>
      </c>
      <c r="GM4" s="2482"/>
      <c r="GN4" s="2482"/>
      <c r="GO4" s="2482"/>
      <c r="GP4" s="1902" t="s">
        <v>1364</v>
      </c>
      <c r="GQ4" s="2481" t="s">
        <v>1324</v>
      </c>
      <c r="GR4" s="2482"/>
      <c r="GS4" s="2482"/>
      <c r="GT4" s="2482"/>
      <c r="GU4" s="2481" t="s">
        <v>1325</v>
      </c>
      <c r="GV4" s="2482"/>
      <c r="GW4" s="2482"/>
      <c r="GX4" s="2482"/>
      <c r="GY4" s="2481" t="s">
        <v>1326</v>
      </c>
      <c r="GZ4" s="2482"/>
      <c r="HA4" s="2482"/>
      <c r="HB4" s="2482"/>
      <c r="HC4" s="1902" t="s">
        <v>1364</v>
      </c>
      <c r="HD4" s="2481" t="s">
        <v>1327</v>
      </c>
      <c r="HE4" s="2482"/>
      <c r="HF4" s="2482"/>
      <c r="HG4" s="2482"/>
      <c r="HH4" s="2481" t="s">
        <v>1328</v>
      </c>
      <c r="HI4" s="2482"/>
      <c r="HJ4" s="2482"/>
      <c r="HK4" s="2482"/>
      <c r="HL4" s="2481" t="s">
        <v>1329</v>
      </c>
      <c r="HM4" s="2482"/>
      <c r="HN4" s="2482"/>
      <c r="HO4" s="2482"/>
      <c r="HP4" s="1902" t="s">
        <v>1364</v>
      </c>
      <c r="HQ4" s="2481" t="s">
        <v>1330</v>
      </c>
      <c r="HR4" s="2482"/>
      <c r="HS4" s="2482"/>
      <c r="HT4" s="2482"/>
      <c r="HU4" s="2481" t="s">
        <v>1331</v>
      </c>
      <c r="HV4" s="2482"/>
      <c r="HW4" s="2482"/>
      <c r="HX4" s="2482"/>
      <c r="HY4" s="2481" t="s">
        <v>1332</v>
      </c>
      <c r="HZ4" s="2482"/>
      <c r="IA4" s="2482"/>
      <c r="IB4" s="2482"/>
      <c r="IC4" s="1902" t="s">
        <v>1364</v>
      </c>
      <c r="ID4" s="1903"/>
      <c r="IE4" s="1853" t="s">
        <v>623</v>
      </c>
      <c r="IF4" s="2481" t="s">
        <v>1341</v>
      </c>
      <c r="IG4" s="2481"/>
      <c r="IH4" s="2481"/>
      <c r="II4" s="2481"/>
      <c r="IJ4" s="2481" t="s">
        <v>1342</v>
      </c>
      <c r="IK4" s="2481"/>
      <c r="IL4" s="2481"/>
      <c r="IM4" s="2481"/>
      <c r="IN4" s="2481" t="s">
        <v>1343</v>
      </c>
      <c r="IO4" s="2481"/>
      <c r="IP4" s="2481"/>
      <c r="IQ4" s="2481"/>
      <c r="IS4" s="1853" t="s">
        <v>623</v>
      </c>
      <c r="IT4" s="2481" t="s">
        <v>1341</v>
      </c>
      <c r="IU4" s="2481"/>
      <c r="IV4" s="2481"/>
      <c r="IW4" s="2481"/>
      <c r="IX4" s="2481" t="s">
        <v>1342</v>
      </c>
      <c r="IY4" s="2481"/>
      <c r="IZ4" s="2481"/>
      <c r="JA4" s="2481"/>
      <c r="JB4" s="2481" t="s">
        <v>1343</v>
      </c>
      <c r="JC4" s="2481"/>
      <c r="JD4" s="2481"/>
      <c r="JE4" s="2481"/>
    </row>
    <row r="5" spans="1:265" s="2025" customFormat="1" ht="18" customHeight="1">
      <c r="A5" s="2022"/>
      <c r="B5" s="2023">
        <v>1</v>
      </c>
      <c r="C5" s="1105"/>
      <c r="D5" s="2130"/>
      <c r="E5" s="739"/>
      <c r="F5" s="1544"/>
      <c r="G5" s="1320"/>
      <c r="H5" s="1321">
        <f t="shared" ref="H5:H34" si="0">O5</f>
        <v>0</v>
      </c>
      <c r="I5" s="1321">
        <f>H5*D5</f>
        <v>0</v>
      </c>
      <c r="J5" s="1321">
        <f t="shared" ref="J5:J34" si="1">P5</f>
        <v>0</v>
      </c>
      <c r="K5" s="1321">
        <f t="shared" ref="K5:K34" si="2">L5*D5</f>
        <v>0</v>
      </c>
      <c r="L5" s="1322">
        <f>Summen_GL!F72</f>
        <v>0</v>
      </c>
      <c r="M5" s="1323">
        <f>L5-H5</f>
        <v>0</v>
      </c>
      <c r="N5" s="2024"/>
      <c r="O5" s="1321">
        <f>IF(G5="niedrig",VLOOKUP(E5,Liste_GL_von,2,0),IF(G5="mittel",VLOOKUP(E5,Liste_GL_von,3,0),IF(G5="hoch",VLOOKUP(E5,Liste_GL_von,4,0),0)))</f>
        <v>0</v>
      </c>
      <c r="P5" s="1321">
        <f t="shared" ref="P5:P34" si="3">IF(G5="niedrig",VLOOKUP(E5,Liste_GL_Kulturen,2,0),IF(G5="mittel",VLOOKUP(E5,Liste_GL_Kulturen,3,0),IF(G5="hoch",VLOOKUP(E5,Liste_GL_Kulturen,4,0),0)))</f>
        <v>0</v>
      </c>
      <c r="Q5" s="2024"/>
      <c r="R5" s="1470"/>
      <c r="S5" s="1471"/>
      <c r="T5" s="1470"/>
      <c r="U5" s="1471"/>
      <c r="V5" s="1470"/>
      <c r="W5" s="1471"/>
      <c r="X5" s="1470"/>
      <c r="Y5" s="1471"/>
      <c r="Z5" s="1470"/>
      <c r="AA5" s="1471"/>
      <c r="AB5" s="1470"/>
      <c r="AC5" s="1551"/>
      <c r="AD5" s="844"/>
      <c r="AE5" s="1561">
        <f>'meine Dünger'!C5</f>
        <v>0</v>
      </c>
      <c r="AF5" s="1562">
        <f>'meine Dünger'!AL5</f>
        <v>0</v>
      </c>
      <c r="AG5" s="844"/>
      <c r="AH5" s="1563" t="s">
        <v>852</v>
      </c>
      <c r="AI5" s="2132" t="s">
        <v>853</v>
      </c>
      <c r="AJ5" s="2022"/>
      <c r="AK5" s="1593">
        <f>IFERROR(AL5/D5,0)</f>
        <v>0</v>
      </c>
      <c r="AL5" s="1594">
        <f>DU5+DV5+DW5</f>
        <v>0</v>
      </c>
      <c r="AM5" s="1319"/>
      <c r="AN5" s="2022"/>
      <c r="AP5" s="1860">
        <f>IF($E5="Grünland  1 Nutzung",$D5,0)</f>
        <v>0</v>
      </c>
      <c r="AQ5" s="1860">
        <f>IF($E5="Grünland  2 Nutzungen",$D5,0)</f>
        <v>0</v>
      </c>
      <c r="AR5" s="1860">
        <f>IF($E5="GL kleebetont 3 Nutz.",$D5,0)</f>
        <v>0</v>
      </c>
      <c r="AS5" s="1860">
        <f>IF($E5="GL gräserbetont 3 Nutz.",$D5,0)</f>
        <v>0</v>
      </c>
      <c r="AT5" s="1860">
        <f>IF($E5="GL 4 Nutzungen",$D5,0)</f>
        <v>0</v>
      </c>
      <c r="AU5" s="1860">
        <f>IF($E5="GL 5 Nutzungen",$D5,0)</f>
        <v>0</v>
      </c>
      <c r="AV5" s="1860">
        <f>IF($E5="GL 6 Nutzungen",$D5,0)</f>
        <v>0</v>
      </c>
      <c r="AW5" s="1860">
        <f>IF($E5="Mähweide",$D5,0)</f>
        <v>0</v>
      </c>
      <c r="AX5" s="1860">
        <f>IF($E5="Dauerweide",$D5,0)</f>
        <v>0</v>
      </c>
      <c r="AY5" s="1860">
        <f>IF($E5="Hutweide",$D5,0)</f>
        <v>0</v>
      </c>
      <c r="AZ5" s="1860">
        <f>IF($E5="Hutweide mit Düngung",$D5,0)</f>
        <v>0</v>
      </c>
      <c r="BA5" s="2026">
        <f>IF($E5="Grünland  1 Nutzung",$I5,0)</f>
        <v>0</v>
      </c>
      <c r="BB5" s="2026">
        <f>IF($E5="Grünland  2 Nutzungen",$I5,0)</f>
        <v>0</v>
      </c>
      <c r="BC5" s="2026">
        <f>IF($E5="GL kleebetont 3 Nutz.",$I5,0)</f>
        <v>0</v>
      </c>
      <c r="BD5" s="2026">
        <f>IF($E5="GL gräserbetont 3 Nutz.",$I5,0)</f>
        <v>0</v>
      </c>
      <c r="BE5" s="2026">
        <f>IF($E5="GL 4 Nutzungen",$I5,0)</f>
        <v>0</v>
      </c>
      <c r="BF5" s="2026">
        <f>IF($E5="GL 5 Nutzungen",$I5,0)</f>
        <v>0</v>
      </c>
      <c r="BG5" s="2026">
        <f>IF($E5="GL 6 Nutzungen",$I5,0)</f>
        <v>0</v>
      </c>
      <c r="BH5" s="2026">
        <f>IF($E5="Mähweide",$I5,0)</f>
        <v>0</v>
      </c>
      <c r="BI5" s="2026">
        <f>IF($E5="Dauerweide",$I5,0)</f>
        <v>0</v>
      </c>
      <c r="BJ5" s="2026">
        <f>IF($E5="Hutweide",$I5,0)</f>
        <v>0</v>
      </c>
      <c r="BK5" s="2027"/>
      <c r="BL5" s="2026">
        <f>IF($E5="Grünland  1 Nutzung",$K5,0)</f>
        <v>0</v>
      </c>
      <c r="BM5" s="2026">
        <f>IF($E5="Grünland  2 Nutzungen",$K5,0)</f>
        <v>0</v>
      </c>
      <c r="BN5" s="2026">
        <f t="shared" ref="BN5:BN34" si="4">IF($E5="GL kleebetont 3 Nutz.",$K5,0)</f>
        <v>0</v>
      </c>
      <c r="BO5" s="2026">
        <f t="shared" ref="BO5:BO34" si="5">IF($E5="GL gräserbetont 3 Nutz.",$K5,0)</f>
        <v>0</v>
      </c>
      <c r="BP5" s="2026">
        <f t="shared" ref="BP5:BP34" si="6">IF($E5="GL 4 Nutzungen",$K5,0)</f>
        <v>0</v>
      </c>
      <c r="BQ5" s="2026">
        <f t="shared" ref="BQ5:BQ34" si="7">IF($E5="GL 5 Nutzungen",$K5,0)</f>
        <v>0</v>
      </c>
      <c r="BR5" s="2026">
        <f t="shared" ref="BR5:BR34" si="8">IF($E5="GL 6 Nutzungen",$K5,0)</f>
        <v>0</v>
      </c>
      <c r="BS5" s="2026">
        <f>IF($E5="Mähweide",$K5,0)</f>
        <v>0</v>
      </c>
      <c r="BT5" s="2026">
        <f t="shared" ref="BT5:BT34" si="9">IF($E5="Dauerweide",$K5,0)</f>
        <v>0</v>
      </c>
      <c r="BU5" s="2026">
        <f t="shared" ref="BU5:BU34" si="10">IF($E5="Hutweide",$K5,0)</f>
        <v>0</v>
      </c>
      <c r="BV5" s="2028"/>
      <c r="BW5" s="2029">
        <f t="shared" ref="BW5:BW34" si="11">IF(G5="niedrig",VLOOKUP(E5,$DE$6:$DH$16,2,0),IF(G5="mittel",VLOOKUP(E5,$DE$6:$DH$16,3,0),IF(G5="hoch",VLOOKUP(E5,$DE$6:$DH$16,4,0),0)))</f>
        <v>0</v>
      </c>
      <c r="BX5" s="2029">
        <f>CA5+CB5+CF5+CJ5+CO5+CT5</f>
        <v>0</v>
      </c>
      <c r="BY5" s="2029">
        <f>CU5+CV5+CW5+CP5+CQ5+CR5+CS5</f>
        <v>0</v>
      </c>
      <c r="CA5" s="2030">
        <f t="shared" ref="CA5:CA34" si="12">IF(E5="Grünland  1 Nutzung",BW5*D5,0)</f>
        <v>0</v>
      </c>
      <c r="CB5" s="2030">
        <f t="shared" ref="CB5:CB34" si="13">IF(E5="Grünland  2 Nutzungen",BW5*D5,0)</f>
        <v>0</v>
      </c>
      <c r="CC5" s="2030">
        <f t="shared" ref="CC5:CC34" si="14">IF(E5="GL kleebetont 3 Nutz.",BW5*D5,0)</f>
        <v>0</v>
      </c>
      <c r="CD5" s="2031">
        <f t="shared" ref="CD5:CD34" si="15">IF(F5="Ende Blüte",CC5,0)</f>
        <v>0</v>
      </c>
      <c r="CE5" s="2031">
        <f t="shared" ref="CE5:CE34" si="16">IF(F5="Überständig",CC5,0)</f>
        <v>0</v>
      </c>
      <c r="CF5" s="2031">
        <f>CD5+CE5</f>
        <v>0</v>
      </c>
      <c r="CG5" s="2030">
        <f t="shared" ref="CG5:CG34" si="17">IF(E5="GL gräserbetont 3 Nutz.",BW5*D5,0)</f>
        <v>0</v>
      </c>
      <c r="CH5" s="2032">
        <f t="shared" ref="CH5:CH34" si="18">IF(F5="Ende Blüte",CG5,0)</f>
        <v>0</v>
      </c>
      <c r="CI5" s="2032">
        <f t="shared" ref="CI5:CI34" si="19">IF(F5="Überständig",CG5,0)</f>
        <v>0</v>
      </c>
      <c r="CJ5" s="2032">
        <f>CH5+CI5</f>
        <v>0</v>
      </c>
      <c r="CK5" s="2030">
        <f t="shared" ref="CK5:CK34" si="20">IF(E5="GL 4 Nutzungen",BW5*D5,0)</f>
        <v>0</v>
      </c>
      <c r="CL5" s="2033">
        <f t="shared" ref="CL5:CL34" si="21">IF(F5="Mitte Blüte",CK5,0)</f>
        <v>0</v>
      </c>
      <c r="CM5" s="2032">
        <f t="shared" ref="CM5:CM34" si="22">IF(F5="Ende Blüte",CK5,0)</f>
        <v>0</v>
      </c>
      <c r="CN5" s="2033">
        <f t="shared" ref="CN5:CN34" si="23">IF(F5="Überständig",CK5,0)</f>
        <v>0</v>
      </c>
      <c r="CO5" s="2034">
        <f>CL5+CM5+CN5</f>
        <v>0</v>
      </c>
      <c r="CP5" s="2030">
        <f t="shared" ref="CP5:CP34" si="24">IF(E5="GL 5 Nutzungen",BW5*D5,0)</f>
        <v>0</v>
      </c>
      <c r="CQ5" s="2030">
        <f t="shared" ref="CQ5:CQ34" si="25">IF(E5="GL 6 Nutzungen",BW5*D5,0)</f>
        <v>0</v>
      </c>
      <c r="CR5" s="2030">
        <f t="shared" ref="CR5:CR34" si="26">IF(E5="Mähweide",BW5*D5,0)</f>
        <v>0</v>
      </c>
      <c r="CS5" s="2030">
        <f t="shared" ref="CS5:CS34" si="27">IF(E5="Dauerweide",BW5*D5,0)</f>
        <v>0</v>
      </c>
      <c r="CT5" s="2035">
        <f t="shared" ref="CT5:CT34" si="28">IF(E5="Hutweide",BW5*D5,0)</f>
        <v>0</v>
      </c>
      <c r="CU5" s="2036">
        <f>IF(CF5=0,CC5,0)</f>
        <v>0</v>
      </c>
      <c r="CV5" s="2036">
        <f>IF(CJ5=0,CG5,0)</f>
        <v>0</v>
      </c>
      <c r="CW5" s="2036">
        <f>IF(CO5=0,CK5,0)</f>
        <v>0</v>
      </c>
      <c r="CY5" s="2037"/>
      <c r="CZ5" s="2038" t="s">
        <v>1152</v>
      </c>
      <c r="DA5" s="2039"/>
      <c r="DB5" s="2040"/>
      <c r="DC5" s="10"/>
      <c r="DE5" s="2037"/>
      <c r="DF5" s="2038" t="s">
        <v>1152</v>
      </c>
      <c r="DG5" s="2039"/>
      <c r="DH5" s="2040"/>
      <c r="DL5" s="10">
        <f>DZ5*D5</f>
        <v>0</v>
      </c>
      <c r="DM5" s="10">
        <f t="shared" ref="DM5:DM34" si="29">EH5*D5</f>
        <v>0</v>
      </c>
      <c r="DN5" s="2027" t="e">
        <f>DL5/Betrieb!$E$23</f>
        <v>#DIV/0!</v>
      </c>
      <c r="DO5" s="2027" t="e">
        <f>DM5/Betrieb!$E$24</f>
        <v>#DIV/0!</v>
      </c>
      <c r="DP5" s="2041">
        <f>(Betrieb!$E$21*Betrieb!$H$21)+(Betrieb!$E$23*Betrieb!$H$23)</f>
        <v>0</v>
      </c>
      <c r="DQ5" s="2025">
        <f>(Betrieb!$E$22*Betrieb!$H$22)+(Betrieb!$E$24*Betrieb!$H$24)</f>
        <v>0</v>
      </c>
      <c r="DR5" s="2041">
        <f>IE5</f>
        <v>0</v>
      </c>
      <c r="DS5" s="2025">
        <f>IS5</f>
        <v>0</v>
      </c>
      <c r="DT5" s="2042">
        <f>EQ5</f>
        <v>0</v>
      </c>
      <c r="DU5" s="2043">
        <f>IFERROR((DN5/DR5)*DP5,0)</f>
        <v>0</v>
      </c>
      <c r="DV5" s="2043">
        <f>IFERROR((DO5/DS5)*DQ5,0)</f>
        <v>0</v>
      </c>
      <c r="DW5" s="2043">
        <f>IF(EP5="Weide/Hutweide",$DY$51*D5,((($DY$39+$DY$40+$DY$41)*D5)*EP5)+(((DT5*D5)*$DY$43)*EP5))</f>
        <v>0</v>
      </c>
      <c r="DZ5" s="2044">
        <f>SUM(EA5:EF5)</f>
        <v>0</v>
      </c>
      <c r="EA5" s="1874">
        <f t="shared" ref="EA5:EA34" si="30">(IFERROR(IF(SEARCH("gülle",R5),S5),0))+(IFERROR(IF(SEARCH("jauche",R5),S5),0))</f>
        <v>0</v>
      </c>
      <c r="EB5" s="1874">
        <f t="shared" ref="EB5:EB34" si="31">(IFERROR(IF(SEARCH("gülle",T5),U5),0))+(IFERROR(IF(SEARCH("jauche",T5),U5),0))</f>
        <v>0</v>
      </c>
      <c r="EC5" s="1874">
        <f t="shared" ref="EC5:EC34" si="32">(IFERROR(IF(SEARCH("gülle",V5),W5),0))+(IFERROR(IF(SEARCH("jauche",V5),W5),0))</f>
        <v>0</v>
      </c>
      <c r="ED5" s="1874">
        <f t="shared" ref="ED5:ED34" si="33">(IFERROR(IF(SEARCH("gülle",X5),Y5),0))+(IFERROR(IF(SEARCH("jauche",X5),Y5),0))</f>
        <v>0</v>
      </c>
      <c r="EE5" s="1874">
        <f t="shared" ref="EE5:EE34" si="34">(IFERROR(IF(SEARCH("gülle",Z5),AA5),0))+(IFERROR(IF(SEARCH("jauche",Z5),AA5),0))</f>
        <v>0</v>
      </c>
      <c r="EF5" s="1874">
        <f t="shared" ref="EF5:EF34" si="35">(IFERROR(IF(SEARCH("gülle",AB5),AC5),0))+(IFERROR(IF(SEARCH("jauche",AB5),AC5),0))</f>
        <v>0</v>
      </c>
      <c r="EH5" s="2044">
        <f>SUM(EI5:EN5)</f>
        <v>0</v>
      </c>
      <c r="EI5" s="2025">
        <f t="shared" ref="EI5:EI34" si="36">IFERROR(IF(SEARCH("mist",R5),S5),0)</f>
        <v>0</v>
      </c>
      <c r="EJ5" s="2025">
        <f t="shared" ref="EJ5:EJ34" si="37">IFERROR(IF(SEARCH("mist",T5),U5),0)</f>
        <v>0</v>
      </c>
      <c r="EK5" s="2025">
        <f t="shared" ref="EK5:EK34" si="38">IFERROR(IF(SEARCH("mist",V5),W5),0)</f>
        <v>0</v>
      </c>
      <c r="EL5" s="2025">
        <f t="shared" ref="EL5:EL34" si="39">IFERROR(IF(SEARCH("mist",X5),Y5),0)</f>
        <v>0</v>
      </c>
      <c r="EM5" s="2025">
        <f t="shared" ref="EM5:EM34" si="40">IFERROR(IF(SEARCH("mist",Z5),AA5),0)</f>
        <v>0</v>
      </c>
      <c r="EN5" s="2025">
        <f t="shared" ref="EN5:EN34" si="41">IFERROR(IF(SEARCH("mist",AB5),AC5),0)</f>
        <v>0</v>
      </c>
      <c r="EP5" s="2045">
        <f t="shared" ref="EP5:EP34" si="42">IF((AX5+AY5+AZ5)&gt;0,"Weide/Hutweide",(FD5+FQ5+GP5+HC5+HP5+IC5))</f>
        <v>0</v>
      </c>
      <c r="EQ5" s="2042">
        <f>SUM(ER5:FC5)+SUM(FE5:FP5)+SUM(FR5:GO5)+SUM(GQ5:HB5)+SUM(HD5:HO5)+SUM(HQ5:IB5)</f>
        <v>0</v>
      </c>
      <c r="ER5" s="2042">
        <f t="shared" ref="ER5:ER34" si="43">IF(AND(E5="Grünland  1 Nutzung", AH5="günstig", AI5="bis 2,5 km"),$DM$41,0)</f>
        <v>0</v>
      </c>
      <c r="ES5" s="2042">
        <f t="shared" ref="ES5:ES34" si="44">IF(AND(E5="Grünland  1 Nutzung", AH5="günstig", AI5="2,5 - 5,0 km"),$DM$42,0)</f>
        <v>0</v>
      </c>
      <c r="ET5" s="2042">
        <f t="shared" ref="ET5:ET34" si="45">IF(AND(E5="Grünland  1 Nutzung", AH5="günstig", AI5="5,0 - 10 km"),$DM$43,0)</f>
        <v>0</v>
      </c>
      <c r="EU5" s="2042">
        <f t="shared" ref="EU5:EU34" si="46">IF(AND(E5="Grünland  1 Nutzung", AH5="günstig", AI5="über 10 km"),$DM$44,0)</f>
        <v>0</v>
      </c>
      <c r="EV5" s="2042">
        <f t="shared" ref="EV5:EV34" si="47">IF(AND(E5="Grünland  1 Nutzung", AH5="normal", AI5="bis 2,5 km"),$DN$41,0)</f>
        <v>0</v>
      </c>
      <c r="EW5" s="2042">
        <f t="shared" ref="EW5:EW34" si="48">IF(AND(E5="Grünland  1 Nutzung", AH5="normal", AI5="2,5 - 5,0 km"),$DN$42,0)</f>
        <v>0</v>
      </c>
      <c r="EX5" s="2042">
        <f t="shared" ref="EX5:EX34" si="49">IF(AND(E5="Grünland  1 Nutzung", AH5="normal", AI5="5,0 - 10 km"),$DN$43,0)</f>
        <v>0</v>
      </c>
      <c r="EY5" s="2042">
        <f t="shared" ref="EY5:EY34" si="50">IF(AND(E5="Grünland  1 Nutzung", AH5="normal", AI5="über 10 km"),$DN$44,0)</f>
        <v>0</v>
      </c>
      <c r="EZ5" s="2042">
        <f t="shared" ref="EZ5:EZ34" si="51">IF(AND(E5="Grünland  1 Nutzung", AH5="ungünstig", AI5="bis 2,5 km"),$DO$41,0)</f>
        <v>0</v>
      </c>
      <c r="FA5" s="2042">
        <f t="shared" ref="FA5:FA34" si="52">IF(AND(E5="Grünland  1 Nutzung", AH5="ungünstig", AI5="2,5 - 5,0 km"),$DO$42,0)</f>
        <v>0</v>
      </c>
      <c r="FB5" s="2042">
        <f t="shared" ref="FB5:FB34" si="53">IF(AND(E5="Grünland  1 Nutzung", AH5="ungünstig", AI5="5,0 - 10 km"),$DO$43,0)</f>
        <v>0</v>
      </c>
      <c r="FC5" s="2042">
        <f t="shared" ref="FC5:FC34" si="54">IF(AND(E5="Grünland  1 Nutzung", AH5="ungünstig", AI5="über 10 km"),$DO$44,0)</f>
        <v>0</v>
      </c>
      <c r="FD5" s="2046">
        <f>IF(SUM(ER5:FC5)&gt;0,1,0)</f>
        <v>0</v>
      </c>
      <c r="FE5" s="2042">
        <f t="shared" ref="FE5:FE34" si="55">IF(AND(E5="Grünland  2 Nutzungen", AH5="günstig", AI5="bis 2,5 km"),$DP$41,0)</f>
        <v>0</v>
      </c>
      <c r="FF5" s="2042">
        <f t="shared" ref="FF5:FF34" si="56">IF(AND(E5="Grünland  2 Nutzungen", AH5="günstig", AI5="2,5 - 5,0 km"),$DP$42,0)</f>
        <v>0</v>
      </c>
      <c r="FG5" s="2042">
        <f t="shared" ref="FG5:FG34" si="57">IF(AND(E5="Grünland  2 Nutzungen", AH5="günstig", AI5="5,0 - 10 km"),$DP$43,0)</f>
        <v>0</v>
      </c>
      <c r="FH5" s="2042">
        <f t="shared" ref="FH5:FH34" si="58">IF(AND(E5="Grünland  2 Nutzungen", AH5="günstig", AI5="über 10 km"),$DP$44,0)</f>
        <v>0</v>
      </c>
      <c r="FI5" s="2042">
        <f t="shared" ref="FI5:FI34" si="59">IF(AND(E5="Grünland  2 Nutzungen", AH5="normal", AI5="bis 2,5 km"),$DQ$41,0)</f>
        <v>0</v>
      </c>
      <c r="FJ5" s="2042">
        <f>IF(AND(E5="Grünland  2 Nutzungen", AH5="normal", AI5="2,5 - 5,0 km"),$DQ$42,0)</f>
        <v>0</v>
      </c>
      <c r="FK5" s="2042">
        <f t="shared" ref="FK5:FK34" si="60">IF(AND(E5="Grünland  2 Nutzungen", AH5="normal", AI5="5,0 - 10 km"),$DQ$43,0)</f>
        <v>0</v>
      </c>
      <c r="FL5" s="2042">
        <f t="shared" ref="FL5:FL34" si="61">IF(AND(E5="Grünland  2 Nutzungen", AH5="normal", AI5="über 10 km"),$DQ$44,0)</f>
        <v>0</v>
      </c>
      <c r="FM5" s="2042">
        <f t="shared" ref="FM5:FM34" si="62">IF(AND(E5="Grünland  2 Nutzungen", AH5="ungünstig", AI5="bis 2,5 km"),$DR$41,0)</f>
        <v>0</v>
      </c>
      <c r="FN5" s="2042">
        <f t="shared" ref="FN5:FN34" si="63">IF(AND(E5="Grünland  2 Nutzungen", AH5="ungünstig", AI5="2,5 - 5,0 km"),$DR$42,0)</f>
        <v>0</v>
      </c>
      <c r="FO5" s="2042">
        <f t="shared" ref="FO5:FO34" si="64">IF(AND(E5="Grünland  2 Nutzungen", AH5="ungünstig", AI5="5,0 - 10 km"),$DR$43,0)</f>
        <v>0</v>
      </c>
      <c r="FP5" s="2042">
        <f t="shared" ref="FP5:FP34" si="65">IF(AND(E5="Grünland  2 Nutzungen", AH5="ungünstig", AI5="über 10 km"),$DR$44,0)</f>
        <v>0</v>
      </c>
      <c r="FQ5" s="2047">
        <f>IF(SUM(FE5:FP5)&gt;0,2,0)</f>
        <v>0</v>
      </c>
      <c r="FR5" s="2042">
        <f t="shared" ref="FR5:FR34" si="66">IF(AND(E5="GL kleebetont 3 Nutz.", AH5="günstig", AI5="bis 2,5 km"),$DP$41,0)</f>
        <v>0</v>
      </c>
      <c r="FS5" s="2042">
        <f t="shared" ref="FS5:FS34" si="67">IF(AND(E5="GL kleebetont 3 Nutz.", AH5="günstig", AI5="2,5 - 5,0 km"),$DP$42,0)</f>
        <v>0</v>
      </c>
      <c r="FT5" s="2042">
        <f t="shared" ref="FT5:FT34" si="68">IF(AND(E5="GL kleebetont 3 Nutz.", AH5="günstig", AI5="5,0 - 10 km"),$DP$43,0)</f>
        <v>0</v>
      </c>
      <c r="FU5" s="2042">
        <f t="shared" ref="FU5:FU34" si="69">IF(AND(E5="GL kleebetont 3 Nutz.", AH5="günstig", AI5="über 10 km"),$DP$44,0)</f>
        <v>0</v>
      </c>
      <c r="FV5" s="2042">
        <f t="shared" ref="FV5:FV34" si="70">IF(AND(E5="GL kleebetont 3 Nutz.", AH5="normal", AI5="bis 2,5 km"),$DQ$41,0)</f>
        <v>0</v>
      </c>
      <c r="FW5" s="2042">
        <f t="shared" ref="FW5:FW34" si="71">IF(AND(E5="GL kleebetont 3 Nutz.", AH5="normal", AI5="2,5 - 5,0 km"),$DQ$42,0)</f>
        <v>0</v>
      </c>
      <c r="FX5" s="2042">
        <f t="shared" ref="FX5:FX34" si="72">IF(AND(E5="GL kleebetont 3 Nutz.", AH5="normal", AI5="5,0 - 10 km"),$DQ$43,0)</f>
        <v>0</v>
      </c>
      <c r="FY5" s="2042">
        <f t="shared" ref="FY5:FY34" si="73">IF(AND(E5="GL kleebetont 3 Nutz.", AH5="normal", AI5="über 10 km"),$DQ$44,0)</f>
        <v>0</v>
      </c>
      <c r="FZ5" s="2042">
        <f t="shared" ref="FZ5:FZ34" si="74">IF(AND(E5="GL kleebetont 3 Nutz.", AH5="ungünstig", AI5="bis 2,5 km"),$DR$41,0)</f>
        <v>0</v>
      </c>
      <c r="GA5" s="2042">
        <f t="shared" ref="GA5:GA34" si="75">IF(AND(E5="GL kleebetont 3 Nutz.", AH5="ungünstig", AI5="2,5 - 5,0 km"),$DR$42,0)</f>
        <v>0</v>
      </c>
      <c r="GB5" s="2042">
        <f t="shared" ref="GB5:GB34" si="76">IF(AND(E5="GL kleebetont 3 Nutz.", AH5="ungünstig", AI5="5,0 - 10 km"),$DR$43,0)</f>
        <v>0</v>
      </c>
      <c r="GC5" s="2042">
        <f t="shared" ref="GC5:GC34" si="77">IF(AND(E5="GL kleebetont 3 Nutz.", AH5="ungünstig", AI5="über 10 km"),$DR$44,0)</f>
        <v>0</v>
      </c>
      <c r="GD5" s="2042">
        <f t="shared" ref="GD5:GD34" si="78">IF(AND(E5="GL gräserbetont 3 Nutz.", AH5="günstig", AI5="bis 2,5 km"),$DP$41,0)</f>
        <v>0</v>
      </c>
      <c r="GE5" s="2042">
        <f t="shared" ref="GE5:GE34" si="79">IF(AND(E5="GL gräserbetont 3 Nutz.", AH5="günstig", AI5="2,5 - 5,0 km"),$DP$42,0)</f>
        <v>0</v>
      </c>
      <c r="GF5" s="2042">
        <f t="shared" ref="GF5:GF34" si="80">IF(AND(E5="GL gräserbetont 3 Nutz.", AH5="günstig", AI5="5,0 - 10 km"),$DP$43,0)</f>
        <v>0</v>
      </c>
      <c r="GG5" s="2042">
        <f t="shared" ref="GG5:GG34" si="81">IF(AND(E5="GL gräserbetont 3 Nutz.", AH5="günstig", AI5="über 10 km"),$DP$44,0)</f>
        <v>0</v>
      </c>
      <c r="GH5" s="2042">
        <f t="shared" ref="GH5:GH34" si="82">IF(AND(E5="GL gräserbetont 3 Nutz.", AH5="normal", AI5="bis 2,5 km"),$DQ$41,0)</f>
        <v>0</v>
      </c>
      <c r="GI5" s="2042">
        <f t="shared" ref="GI5:GI34" si="83">IF(AND(E5="GL gräserbetont 3 Nutz.", AH5="normal", AI5="2,5 - 5,0 km"),$DQ$42,0)</f>
        <v>0</v>
      </c>
      <c r="GJ5" s="2042">
        <f t="shared" ref="GJ5:GJ34" si="84">IF(AND(E5="GL gräserbetont 3 Nutz.", AH5="normal", AI5="5,0 - 10 km"),$DQ$43,0)</f>
        <v>0</v>
      </c>
      <c r="GK5" s="2042">
        <f t="shared" ref="GK5:GK34" si="85">IF(AND(E5="GL gräserbetont 3 Nutz.", AH5="normal", AI5="über 10 km"),$DQ$44,0)</f>
        <v>0</v>
      </c>
      <c r="GL5" s="2042">
        <f t="shared" ref="GL5:GL34" si="86">IF(AND(E5="GL gräserbetont 3 Nutz.", AH5="ungünstig", AI5="bis 2,5 km"),$DR$41,0)</f>
        <v>0</v>
      </c>
      <c r="GM5" s="2042">
        <f t="shared" ref="GM5:GM34" si="87">IF(AND(E5="GL gräserbetont 3 Nutz.", AH5="ungünstig", AI5="2,5 - 5,0 km"),$DR$42,0)</f>
        <v>0</v>
      </c>
      <c r="GN5" s="2042">
        <f t="shared" ref="GN5:GN34" si="88">IF(AND(E5="GL gräserbetont 3 Nutz.", AH5="ungünstig", AI5="5,0 - 10 km"),$DR$43,0)</f>
        <v>0</v>
      </c>
      <c r="GO5" s="2042">
        <f t="shared" ref="GO5:GO34" si="89">IF(AND(E5="GL gräserbetont 3 Nutz.", AH5="ungünstig", AI5="über 10 km"),$DR$44,0)</f>
        <v>0</v>
      </c>
      <c r="GP5" s="2047">
        <f>IF(SUM(FR5:GO5)&gt;0,3,0)</f>
        <v>0</v>
      </c>
      <c r="GQ5" s="2042">
        <f t="shared" ref="GQ5:GQ34" si="90">IF(AND(E5="GL 4 Nutzungen", AH5="günstig", AI5="bis 2,5 km"),$DP$41,0)</f>
        <v>0</v>
      </c>
      <c r="GR5" s="2042">
        <f t="shared" ref="GR5:GR34" si="91">IF(AND(E5="GL 4 Nutzungen", AH5="günstig", AI5="2,5 - 5,0 km"),$DP$42,0)</f>
        <v>0</v>
      </c>
      <c r="GS5" s="2042">
        <f t="shared" ref="GS5:GS34" si="92">IF(AND(E5="GL 4 Nutzungen", AH5="günstig", AI5="5,0 - 10 km"),$DP$43,0)</f>
        <v>0</v>
      </c>
      <c r="GT5" s="2042">
        <f t="shared" ref="GT5:GT34" si="93">IF(AND(E5="GL 4 Nutzungen", AH5="günstig", AI5="über 10 km"),$DP$44,0)</f>
        <v>0</v>
      </c>
      <c r="GU5" s="2042">
        <f t="shared" ref="GU5:GU34" si="94">IF(AND(E5="GL 4 Nutzungen", AH5="normal", AI5="bis 2,5 km"),$DQ$41,0)</f>
        <v>0</v>
      </c>
      <c r="GV5" s="2042">
        <f t="shared" ref="GV5:GV34" si="95">IF(AND(E5="GL 4 Nutzungen", AH5="normal", AI5="2,5 - 5,0 km"),$DQ$42,0)</f>
        <v>0</v>
      </c>
      <c r="GW5" s="2042">
        <f t="shared" ref="GW5:GW34" si="96">IF(AND(E5="GL 4 Nutzungen", AH5="normal", AI5="5,0 - 10 km"),$DQ$43,0)</f>
        <v>0</v>
      </c>
      <c r="GX5" s="2042">
        <f t="shared" ref="GX5:GX34" si="97">IF(AND(E5="GL 4 Nutzungen", AH5="normal", AI5="über 10 km"),$DQ$44,0)</f>
        <v>0</v>
      </c>
      <c r="GY5" s="2042">
        <f t="shared" ref="GY5:GY34" si="98">IF(AND(E5="GL 4 Nutzungen", AH5="ungünstig", AI5="bis 2,5 km"),$DR$41,0)</f>
        <v>0</v>
      </c>
      <c r="GZ5" s="2042">
        <f t="shared" ref="GZ5:GZ34" si="99">IF(AND(E5="GL 4 Nutzungen", AH5="ungünstig", AI5="2,5 - 5,0 km"),$DR$42,0)</f>
        <v>0</v>
      </c>
      <c r="HA5" s="2042">
        <f t="shared" ref="HA5:HA34" si="100">IF(AND(E5="GL 4 Nutzungen", AH5="ungünstig", AI5="5,0 - 10 km"),$DR$43,0)</f>
        <v>0</v>
      </c>
      <c r="HB5" s="2042">
        <f t="shared" ref="HB5:HB34" si="101">IF(AND(E5="GL 4 Nutzungen", AH5="ungünstig", AI5="über 10 km"),$DR$44,0)</f>
        <v>0</v>
      </c>
      <c r="HC5" s="2047">
        <f>IF(SUM(GQ5:HB5)&gt;0,4,0)</f>
        <v>0</v>
      </c>
      <c r="HD5" s="2042">
        <f t="shared" ref="HD5:HD34" si="102">IF(AND(E5="GL 5 Nutzungen", AH5="günstig", AI5="bis 2,5 km"),$DS$41,0)</f>
        <v>0</v>
      </c>
      <c r="HE5" s="2042">
        <f t="shared" ref="HE5:HE34" si="103">IF(AND(E5="GL 5 Nutzungen", AH5="günstig", AI5="2,5 - 5,0 km"),$DS$42,0)</f>
        <v>0</v>
      </c>
      <c r="HF5" s="2042">
        <f t="shared" ref="HF5:HF34" si="104">IF(AND(E5="GL 5 Nutzungen", AH5="günstig", AI5="5,0 - 10 km"),$DS$43,0)</f>
        <v>0</v>
      </c>
      <c r="HG5" s="2042">
        <f t="shared" ref="HG5:HG34" si="105">IF(AND(E5="GL 5 Nutzungen", AH5="günstig", AI5="über 10 km"),$DS$44,0)</f>
        <v>0</v>
      </c>
      <c r="HH5" s="2042">
        <f t="shared" ref="HH5:HH34" si="106">IF(AND(E5="GL 5 Nutzungen", AH5="normal", AI5="bis 2,5 km"),$DT$41,0)</f>
        <v>0</v>
      </c>
      <c r="HI5" s="2042">
        <f t="shared" ref="HI5:HI34" si="107">IF(AND(E5="GL 5 Nutzungen", AH5="normal", AI5="2,5 - 5,0 km"),$DT$42,0)</f>
        <v>0</v>
      </c>
      <c r="HJ5" s="2042">
        <f t="shared" ref="HJ5:HJ34" si="108">IF(AND(E5="GL 5 Nutzungen", AH5="normal", AI5="5,0 - 10 km"),$DT$43,0)</f>
        <v>0</v>
      </c>
      <c r="HK5" s="2042">
        <f t="shared" ref="HK5:HK34" si="109">IF(AND(E5="GL 5 Nutzungen", AH5="normal", AI5="über 10 km"),$DT$44,0)</f>
        <v>0</v>
      </c>
      <c r="HL5" s="2042">
        <f t="shared" ref="HL5:HL34" si="110">IF(AND(E5="GL 5 Nutzungen", AH5="ungünstig", AI5="bis 2,5 km"),$DU$41,0)</f>
        <v>0</v>
      </c>
      <c r="HM5" s="2042">
        <f t="shared" ref="HM5:HM34" si="111">IF(AND(E5="GL 5 Nutzungen", AH5="ungünstig", AI5="2,5 - 5,0 km"),$DU$42,0)</f>
        <v>0</v>
      </c>
      <c r="HN5" s="2042">
        <f t="shared" ref="HN5:HN34" si="112">IF(AND(E5="GL 5 Nutzungen", AH5="ungünstig", AI5="5,0 - 10 km"),$DU$43,0)</f>
        <v>0</v>
      </c>
      <c r="HO5" s="2042">
        <f t="shared" ref="HO5:HO34" si="113">IF(AND(E5="GL 5 Nutzungen", AH5="ungünstig", AI5="über 10 km"),$DU$44,0)</f>
        <v>0</v>
      </c>
      <c r="HP5" s="2047">
        <f>IF(SUM(HD5:HO5)&gt;0,5,0)</f>
        <v>0</v>
      </c>
      <c r="HQ5" s="2042">
        <f t="shared" ref="HQ5:HQ34" si="114">IF(AND(E5="GL 6 Nutzungen", AH5="günstig", AI5="bis 2,5 km"),$DS$41,0)</f>
        <v>0</v>
      </c>
      <c r="HR5" s="2042">
        <f t="shared" ref="HR5:HR34" si="115">IF(AND(E5="GL 6 Nutzungen", AH5="günstig", AI5="2,5 - 5,0 km"),$DS$42,0)</f>
        <v>0</v>
      </c>
      <c r="HS5" s="2042">
        <f t="shared" ref="HS5:HS34" si="116">IF(AND(E5="GL 6 Nutzungen", AH5="günstig", AI5="5,0 - 10 km"),$DS$43,0)</f>
        <v>0</v>
      </c>
      <c r="HT5" s="2042">
        <f t="shared" ref="HT5:HT34" si="117">IF(AND(E5="GL 6 Nutzungen", AH5="günstig", AI5="über 10 km"),$DS$44,0)</f>
        <v>0</v>
      </c>
      <c r="HU5" s="2042">
        <f t="shared" ref="HU5:HU34" si="118">IF(AND(E5="GL 6 Nutzungen", AH5="normal", AI5="bis 2,5 km"),$DT$41,0)</f>
        <v>0</v>
      </c>
      <c r="HV5" s="2042">
        <f t="shared" ref="HV5:HV34" si="119">IF(AND(E5="GL 6 Nutzungen", AH5="normal", AI5="2,5 - 5,0 km"),$DT$42,0)</f>
        <v>0</v>
      </c>
      <c r="HW5" s="2042">
        <f t="shared" ref="HW5:HW34" si="120">IF(AND(E5="GL 6 Nutzungen", AH5="normal", AI5="5,0 - 10 km"),$DT$43,0)</f>
        <v>0</v>
      </c>
      <c r="HX5" s="2042">
        <f t="shared" ref="HX5:HX34" si="121">IF(AND(E5="GL 6 Nutzungen", AH5="normal", AI5="über 10 km"),$DT$44,0)</f>
        <v>0</v>
      </c>
      <c r="HY5" s="2042">
        <f t="shared" ref="HY5:HY34" si="122">IF(AND(E5="GL 6 Nutzungen", AH5="ungünstig", AI5="bis 2,5 km"),$DU$41,0)</f>
        <v>0</v>
      </c>
      <c r="HZ5" s="2042">
        <f t="shared" ref="HZ5:HZ34" si="123">IF(AND(E5="GL 6 Nutzungen", AH5="ungünstig", AI5="2,5 - 5,0 km"),$DU$42,0)</f>
        <v>0</v>
      </c>
      <c r="IA5" s="2042">
        <f t="shared" ref="IA5:IA34" si="124">IF(AND(E5="GL 6 Nutzungen", AH5="ungünstig", AI5="5,0 - 10 km"),$DU$43,0)</f>
        <v>0</v>
      </c>
      <c r="IB5" s="2042">
        <f t="shared" ref="IB5:IB34" si="125">IF(AND(E5="GL 6 Nutzungen", AH5="ungünstig", AI5="über 10 km"),$DU$44,0)</f>
        <v>0</v>
      </c>
      <c r="IC5" s="2047">
        <f>IF(SUM(HQ5:IB5)&gt;0,6,0)</f>
        <v>0</v>
      </c>
      <c r="ID5" s="2042"/>
      <c r="IE5" s="2044">
        <f>SUM(IF5:IQ5)</f>
        <v>0</v>
      </c>
      <c r="IF5" s="2025">
        <f t="shared" ref="IF5:IF34" si="126">IF(AND(DZ5&gt;0,AH5="günstig",AI5="bis 2,5 km"),$DM$55,0)</f>
        <v>0</v>
      </c>
      <c r="IG5" s="2025">
        <f t="shared" ref="IG5:IG34" si="127">IF(AND(DZ5&gt;0,AH5="günstig",AI5="2,5 - 5,0 km"),$DM$56,0)</f>
        <v>0</v>
      </c>
      <c r="IH5" s="2025">
        <f t="shared" ref="IH5:IH34" si="128">IF(AND(DZ5&gt;0,AH5="günstig",AI5="5,0 - 10 km"),$DM$57,0)</f>
        <v>0</v>
      </c>
      <c r="II5" s="2025">
        <f t="shared" ref="II5:II34" si="129">IF(AND(DZ5&gt;0,AH5="günstig",AI5="über 10 km"),$DM$58,0)</f>
        <v>0</v>
      </c>
      <c r="IJ5" s="2025">
        <f t="shared" ref="IJ5:IJ34" si="130">IF(AND(DZ5&gt;0,AH5="normal",AI5="bis 2,5 km"),$DN$55,0)</f>
        <v>0</v>
      </c>
      <c r="IK5" s="2025">
        <f t="shared" ref="IK5:IK34" si="131">IF(AND(DZ5&gt;0,AH5="normal",AI5="2,5 - 5,0 km"),$DN$56,0)</f>
        <v>0</v>
      </c>
      <c r="IL5" s="2025">
        <f t="shared" ref="IL5:IL34" si="132">IF(AND(DZ5&gt;0,AH5="normal",AI5="5,0 - 10 km"),$DN$57,0)</f>
        <v>0</v>
      </c>
      <c r="IM5" s="2025">
        <f t="shared" ref="IM5:IM34" si="133">IF(AND(DZ5&gt;0,AH5="normal",AI5="über 10 km"),$DN$58,0)</f>
        <v>0</v>
      </c>
      <c r="IN5" s="2025">
        <f t="shared" ref="IN5:IN34" si="134">IF(AND(DZ5&gt;0,AH5="ungünstig",AI5="bis 2,5 km"),$DO$55,0)</f>
        <v>0</v>
      </c>
      <c r="IO5" s="2025">
        <f t="shared" ref="IO5:IO34" si="135">IF(AND(DZ5&gt;0,AH5="ungünstig",AI5="2,5 - 5,0 km"),$DO$56,0)</f>
        <v>0</v>
      </c>
      <c r="IP5" s="2025">
        <f t="shared" ref="IP5:IP34" si="136">IF(AND(DZ5&gt;0,AH5="ungünstig",AI5="5,0 - 10 km"),$DO$57,0)</f>
        <v>0</v>
      </c>
      <c r="IQ5" s="2025">
        <f t="shared" ref="IQ5:IQ34" si="137">IF(AND(DZ5&gt;0,AH5="ungünstig",AI5="über 10 km"),$DO$58,0)</f>
        <v>0</v>
      </c>
      <c r="IS5" s="2044">
        <f>SUM(IT5:JE5)</f>
        <v>0</v>
      </c>
      <c r="IT5" s="2025">
        <f t="shared" ref="IT5:IT34" si="138">IF(AND(EH5&gt;0,AH5="günstig",AI5="bis 2,5 km"),$DM$55,0)</f>
        <v>0</v>
      </c>
      <c r="IU5" s="2025">
        <f t="shared" ref="IU5:IU34" si="139">IF(AND(EH5&gt;0,AH5="günstig",AI5="2,5 - 5,0 km"),$DM$56,0)</f>
        <v>0</v>
      </c>
      <c r="IV5" s="2025">
        <f t="shared" ref="IV5:IV34" si="140">IF(AND(EH5&gt;0,AH5="günstig",AI5="5,0 - 10 km"),$DM$57,0)</f>
        <v>0</v>
      </c>
      <c r="IW5" s="2025">
        <f t="shared" ref="IW5:IW34" si="141">IF(AND(EH5&gt;0,AH5="günstig",AI5="über 10 km"),$DM$58,0)</f>
        <v>0</v>
      </c>
      <c r="IX5" s="2025">
        <f t="shared" ref="IX5:IX34" si="142">IF(AND(EH5&gt;0,AH5="normal",AI5="bis 2,5 km"),$DN$55,0)</f>
        <v>0</v>
      </c>
      <c r="IY5" s="2025">
        <f t="shared" ref="IY5:IY34" si="143">IF(AND(EH5&gt;0,AH5="normal",AI5="2,5 - 5,0 km"),$DN$56,0)</f>
        <v>0</v>
      </c>
      <c r="IZ5" s="2025">
        <f t="shared" ref="IZ5:IZ34" si="144">IF(AND(EH5&gt;0,AH5="normal",AI5="5,0 - 10 km"),$DN$57,0)</f>
        <v>0</v>
      </c>
      <c r="JA5" s="2025">
        <f t="shared" ref="JA5:JA34" si="145">IF(AND(EH5&gt;0,AH5="normal",AI5="über 10 km"),$DN$58,0)</f>
        <v>0</v>
      </c>
      <c r="JB5" s="2025">
        <f t="shared" ref="JB5:JB34" si="146">IF(AND(EH5&gt;0,AH5="ungünstig",AI5="bis 2,5 km"),$DO$55,0)</f>
        <v>0</v>
      </c>
      <c r="JC5" s="2025">
        <f t="shared" ref="JC5:JC34" si="147">IF(AND(EH5&gt;0,AH5="ungünstig",AI5="2,5 - 5,0 km"),$DO$56,0)</f>
        <v>0</v>
      </c>
      <c r="JD5" s="2025">
        <f t="shared" ref="JD5:JD34" si="148">IF(AND(EH5&gt;0,AH5="ungünstig",AI5="5,0 - 10 km"),$DO$57,0)</f>
        <v>0</v>
      </c>
      <c r="JE5" s="2025">
        <f t="shared" ref="JE5:JE34" si="149">IF(AND(EH5&gt;0,AH5="ungünstig",AI5="über 10 km"),$DO$58,0)</f>
        <v>0</v>
      </c>
    </row>
    <row r="6" spans="1:265" ht="18" customHeight="1">
      <c r="A6" s="1319"/>
      <c r="B6" s="2023">
        <v>2</v>
      </c>
      <c r="C6" s="1105"/>
      <c r="D6" s="2130"/>
      <c r="E6" s="739"/>
      <c r="F6" s="1544"/>
      <c r="G6" s="1320"/>
      <c r="H6" s="1321">
        <f t="shared" si="0"/>
        <v>0</v>
      </c>
      <c r="I6" s="1321">
        <f t="shared" ref="I6:I34" si="150">H6*D6</f>
        <v>0</v>
      </c>
      <c r="J6" s="1321">
        <f t="shared" si="1"/>
        <v>0</v>
      </c>
      <c r="K6" s="1321">
        <f t="shared" si="2"/>
        <v>0</v>
      </c>
      <c r="L6" s="1322">
        <f>Summen_GL!F73</f>
        <v>0</v>
      </c>
      <c r="M6" s="1323">
        <f t="shared" ref="M6:M34" si="151">L6-H6</f>
        <v>0</v>
      </c>
      <c r="N6" s="2024"/>
      <c r="O6" s="1321">
        <f>IF(G6="niedrig",VLOOKUP(E6,Liste_GL_von,2,0),IF(G6="mittel",VLOOKUP(E6,Liste_GL_von,3,0),IF(G6="hoch",VLOOKUP(E6,Liste_GL_von,4,0),0)))</f>
        <v>0</v>
      </c>
      <c r="P6" s="1321">
        <f t="shared" si="3"/>
        <v>0</v>
      </c>
      <c r="Q6" s="2024"/>
      <c r="R6" s="1470"/>
      <c r="S6" s="1471"/>
      <c r="T6" s="1470"/>
      <c r="U6" s="1471"/>
      <c r="V6" s="1470"/>
      <c r="W6" s="1471"/>
      <c r="X6" s="1470"/>
      <c r="Y6" s="1471"/>
      <c r="Z6" s="1470"/>
      <c r="AA6" s="1471"/>
      <c r="AB6" s="1470"/>
      <c r="AC6" s="1551"/>
      <c r="AD6" s="844"/>
      <c r="AE6" s="1561">
        <f>'meine Dünger'!C6</f>
        <v>0</v>
      </c>
      <c r="AF6" s="1562">
        <f>'meine Dünger'!AL6</f>
        <v>0</v>
      </c>
      <c r="AG6" s="844"/>
      <c r="AH6" s="1563" t="s">
        <v>852</v>
      </c>
      <c r="AI6" s="2132" t="s">
        <v>851</v>
      </c>
      <c r="AJ6" s="1319"/>
      <c r="AK6" s="1593">
        <f t="shared" ref="AK6:AK34" si="152">IFERROR(AL6/D6,0)</f>
        <v>0</v>
      </c>
      <c r="AL6" s="1594">
        <f t="shared" ref="AL6:AL34" si="153">DU6+DV6+DW6</f>
        <v>0</v>
      </c>
      <c r="AM6" s="1319"/>
      <c r="AN6" s="1319"/>
      <c r="AP6" s="1860">
        <f t="shared" ref="AP6:AP34" si="154">IF($E6="Grünland  1 Nutzung",$D6,0)</f>
        <v>0</v>
      </c>
      <c r="AQ6" s="1860">
        <f t="shared" ref="AQ6:AQ34" si="155">IF($E6="Grünland  2 Nutzungen",$D6,0)</f>
        <v>0</v>
      </c>
      <c r="AR6" s="1860">
        <f t="shared" ref="AR6:AR34" si="156">IF($E6="GL kleebetont 3 Nutz.",$D6,0)</f>
        <v>0</v>
      </c>
      <c r="AS6" s="1860">
        <f t="shared" ref="AS6:AS34" si="157">IF($E6="GL gräserbetont 3 Nutz.",$D6,0)</f>
        <v>0</v>
      </c>
      <c r="AT6" s="1860">
        <f t="shared" ref="AT6:AT34" si="158">IF($E6="GL 4 Nutzungen",$D6,0)</f>
        <v>0</v>
      </c>
      <c r="AU6" s="1860">
        <f t="shared" ref="AU6:AU34" si="159">IF($E6="GL 5 Nutzungen",$D6,0)</f>
        <v>0</v>
      </c>
      <c r="AV6" s="1860">
        <f t="shared" ref="AV6:AV34" si="160">IF($E6="GL 6 Nutzungen",$D6,0)</f>
        <v>0</v>
      </c>
      <c r="AW6" s="1860">
        <f t="shared" ref="AW6:AW34" si="161">IF($E6="Mähweide",$D6,0)</f>
        <v>0</v>
      </c>
      <c r="AX6" s="1860">
        <f t="shared" ref="AX6:AX34" si="162">IF($E6="Dauerweide",$D6,0)</f>
        <v>0</v>
      </c>
      <c r="AY6" s="1860">
        <f t="shared" ref="AY6:AY34" si="163">IF($E6="Hutweide",$D6,0)</f>
        <v>0</v>
      </c>
      <c r="AZ6" s="1860">
        <f t="shared" ref="AZ6:AZ34" si="164">IF($E6="Hutweide mit Düngung",$D6,0)</f>
        <v>0</v>
      </c>
      <c r="BA6" s="2026">
        <f t="shared" ref="BA6:BA34" si="165">IF($E6="Grünland  1 Nutzung",$I6,0)</f>
        <v>0</v>
      </c>
      <c r="BB6" s="2026">
        <f t="shared" ref="BB6:BB34" si="166">IF($E6="Grünland  2 Nutzungen",$I6,0)</f>
        <v>0</v>
      </c>
      <c r="BC6" s="2026">
        <f t="shared" ref="BC6:BC34" si="167">IF($E6="GL kleebetont 3 Nutz.",$I6,0)</f>
        <v>0</v>
      </c>
      <c r="BD6" s="2026">
        <f t="shared" ref="BD6:BD34" si="168">IF($E6="GL gräserbetont 3 Nutz.",$I6,0)</f>
        <v>0</v>
      </c>
      <c r="BE6" s="2026">
        <f t="shared" ref="BE6:BE34" si="169">IF($E6="GL 4 Nutzungen",$I6,0)</f>
        <v>0</v>
      </c>
      <c r="BF6" s="2026">
        <f t="shared" ref="BF6:BF34" si="170">IF($E6="GL 5 Nutzungen",$I6,0)</f>
        <v>0</v>
      </c>
      <c r="BG6" s="2026">
        <f t="shared" ref="BG6:BG34" si="171">IF($E6="GL 6 Nutzungen",$I6,0)</f>
        <v>0</v>
      </c>
      <c r="BH6" s="2026">
        <f t="shared" ref="BH6:BH34" si="172">IF($E6="Mähweide",$I6,0)</f>
        <v>0</v>
      </c>
      <c r="BI6" s="2026">
        <f t="shared" ref="BI6:BI34" si="173">IF($E6="Dauerweide",$I6,0)</f>
        <v>0</v>
      </c>
      <c r="BJ6" s="2026">
        <f t="shared" ref="BJ6:BJ34" si="174">IF($E6="Hutweide",$I6,0)</f>
        <v>0</v>
      </c>
      <c r="BK6" s="2027"/>
      <c r="BL6" s="2026">
        <f t="shared" ref="BL6:BL34" si="175">IF($E6="Grünland  1 Nutzung",$K6,0)</f>
        <v>0</v>
      </c>
      <c r="BM6" s="2026">
        <f t="shared" ref="BM6:BM34" si="176">IF($E6="Grünland  2 Nutzungen",$K6,0)</f>
        <v>0</v>
      </c>
      <c r="BN6" s="2026">
        <f t="shared" si="4"/>
        <v>0</v>
      </c>
      <c r="BO6" s="2026">
        <f t="shared" si="5"/>
        <v>0</v>
      </c>
      <c r="BP6" s="2026">
        <f t="shared" si="6"/>
        <v>0</v>
      </c>
      <c r="BQ6" s="2026">
        <f t="shared" si="7"/>
        <v>0</v>
      </c>
      <c r="BR6" s="2026">
        <f t="shared" si="8"/>
        <v>0</v>
      </c>
      <c r="BS6" s="2026">
        <f t="shared" ref="BS6:BS34" si="177">IF($E6="Mähweide",$K6,0)</f>
        <v>0</v>
      </c>
      <c r="BT6" s="2026">
        <f t="shared" si="9"/>
        <v>0</v>
      </c>
      <c r="BU6" s="2026">
        <f t="shared" si="10"/>
        <v>0</v>
      </c>
      <c r="BV6" s="2028"/>
      <c r="BW6" s="2029">
        <f t="shared" si="11"/>
        <v>0</v>
      </c>
      <c r="BX6" s="2029">
        <f t="shared" ref="BX6:BX34" si="178">CA6+CB6+CF6+CJ6+CO6+CT6</f>
        <v>0</v>
      </c>
      <c r="BY6" s="2029">
        <f t="shared" ref="BY6:BY34" si="179">CU6+CV6+CW6+CP6+CQ6+CR6+CS6</f>
        <v>0</v>
      </c>
      <c r="CA6" s="2030">
        <f t="shared" si="12"/>
        <v>0</v>
      </c>
      <c r="CB6" s="2030">
        <f t="shared" si="13"/>
        <v>0</v>
      </c>
      <c r="CC6" s="2030">
        <f t="shared" si="14"/>
        <v>0</v>
      </c>
      <c r="CD6" s="2031">
        <f t="shared" si="15"/>
        <v>0</v>
      </c>
      <c r="CE6" s="2031">
        <f t="shared" si="16"/>
        <v>0</v>
      </c>
      <c r="CF6" s="2031">
        <f t="shared" ref="CF6:CF34" si="180">CD6+CE6</f>
        <v>0</v>
      </c>
      <c r="CG6" s="2030">
        <f t="shared" si="17"/>
        <v>0</v>
      </c>
      <c r="CH6" s="2032">
        <f t="shared" si="18"/>
        <v>0</v>
      </c>
      <c r="CI6" s="2032">
        <f t="shared" si="19"/>
        <v>0</v>
      </c>
      <c r="CJ6" s="2032">
        <f t="shared" ref="CJ6:CJ34" si="181">CH6+CI6</f>
        <v>0</v>
      </c>
      <c r="CK6" s="2030">
        <f t="shared" si="20"/>
        <v>0</v>
      </c>
      <c r="CL6" s="2033">
        <f t="shared" si="21"/>
        <v>0</v>
      </c>
      <c r="CM6" s="2032">
        <f t="shared" si="22"/>
        <v>0</v>
      </c>
      <c r="CN6" s="2033">
        <f t="shared" si="23"/>
        <v>0</v>
      </c>
      <c r="CO6" s="2033">
        <f t="shared" ref="CO6:CO34" si="182">CL6+CM6+CN6</f>
        <v>0</v>
      </c>
      <c r="CP6" s="2030">
        <f t="shared" si="24"/>
        <v>0</v>
      </c>
      <c r="CQ6" s="2030">
        <f t="shared" si="25"/>
        <v>0</v>
      </c>
      <c r="CR6" s="2030">
        <f t="shared" si="26"/>
        <v>0</v>
      </c>
      <c r="CS6" s="2030">
        <f t="shared" si="27"/>
        <v>0</v>
      </c>
      <c r="CT6" s="2035">
        <f t="shared" si="28"/>
        <v>0</v>
      </c>
      <c r="CU6" s="2036">
        <f t="shared" ref="CU6:CU34" si="183">IF(CF6=0,CC6,0)</f>
        <v>0</v>
      </c>
      <c r="CV6" s="2036">
        <f t="shared" ref="CV6:CV34" si="184">IF(CJ6=0,CG6,0)</f>
        <v>0</v>
      </c>
      <c r="CW6" s="2036">
        <f t="shared" ref="CW6:CW34" si="185">IF(CO6=0,CK6,0)</f>
        <v>0</v>
      </c>
      <c r="CY6" s="2048" t="s">
        <v>1153</v>
      </c>
      <c r="CZ6" s="2049" t="s">
        <v>5</v>
      </c>
      <c r="DA6" s="2049" t="s">
        <v>6</v>
      </c>
      <c r="DB6" s="2050" t="s">
        <v>29</v>
      </c>
      <c r="DC6" s="10"/>
      <c r="DE6" s="2048" t="s">
        <v>1153</v>
      </c>
      <c r="DF6" s="2049" t="s">
        <v>5</v>
      </c>
      <c r="DG6" s="2049" t="s">
        <v>6</v>
      </c>
      <c r="DH6" s="2050" t="s">
        <v>29</v>
      </c>
      <c r="DL6" s="10">
        <f t="shared" ref="DL6:DL34" si="186">DZ6*D6</f>
        <v>0</v>
      </c>
      <c r="DM6" s="10">
        <f t="shared" si="29"/>
        <v>0</v>
      </c>
      <c r="DN6" s="2027" t="e">
        <f>DL6/Betrieb!$E$23</f>
        <v>#DIV/0!</v>
      </c>
      <c r="DO6" s="2027" t="e">
        <f>DM6/Betrieb!$E$24</f>
        <v>#DIV/0!</v>
      </c>
      <c r="DP6" s="2041">
        <f>(Betrieb!$E$21*Betrieb!$H$21)+(Betrieb!$E$23*Betrieb!$H$23)</f>
        <v>0</v>
      </c>
      <c r="DQ6" s="2025">
        <f>(Betrieb!$E$22*Betrieb!$H$22)+(Betrieb!$E$24*Betrieb!$H$24)</f>
        <v>0</v>
      </c>
      <c r="DR6" s="2041">
        <f t="shared" ref="DR6:DR34" si="187">IE6</f>
        <v>0</v>
      </c>
      <c r="DS6" s="2025">
        <f t="shared" ref="DS6:DS34" si="188">IS6</f>
        <v>0</v>
      </c>
      <c r="DT6" s="2042">
        <f t="shared" ref="DT6:DT34" si="189">EQ6</f>
        <v>0</v>
      </c>
      <c r="DU6" s="2043">
        <f>IFERROR((DN6/DR6)*DP6,0)</f>
        <v>0</v>
      </c>
      <c r="DV6" s="2043">
        <f t="shared" ref="DV6:DV34" si="190">IFERROR((DO6/DS6)*DQ6,0)</f>
        <v>0</v>
      </c>
      <c r="DW6" s="2043">
        <f>IF(EP6="Weide/Hutweide",$DY$51*D6,((($DY$39+$DY$40+$DY$41)*D6)*EP6)+(((DT6*D6)*$DY$43)*EP6))</f>
        <v>0</v>
      </c>
      <c r="DZ6" s="2044">
        <f t="shared" ref="DZ6:DZ34" si="191">SUM(EA6:EF6)</f>
        <v>0</v>
      </c>
      <c r="EA6" s="1874">
        <f t="shared" si="30"/>
        <v>0</v>
      </c>
      <c r="EB6" s="1874">
        <f t="shared" si="31"/>
        <v>0</v>
      </c>
      <c r="EC6" s="1874">
        <f t="shared" si="32"/>
        <v>0</v>
      </c>
      <c r="ED6" s="1874">
        <f t="shared" si="33"/>
        <v>0</v>
      </c>
      <c r="EE6" s="1874">
        <f t="shared" si="34"/>
        <v>0</v>
      </c>
      <c r="EF6" s="1874">
        <f t="shared" si="35"/>
        <v>0</v>
      </c>
      <c r="EH6" s="2044">
        <f t="shared" ref="EH6:EH34" si="192">SUM(EI6:EN6)</f>
        <v>0</v>
      </c>
      <c r="EI6" s="2025">
        <f t="shared" si="36"/>
        <v>0</v>
      </c>
      <c r="EJ6" s="2025">
        <f t="shared" si="37"/>
        <v>0</v>
      </c>
      <c r="EK6" s="2025">
        <f t="shared" si="38"/>
        <v>0</v>
      </c>
      <c r="EL6" s="2025">
        <f t="shared" si="39"/>
        <v>0</v>
      </c>
      <c r="EM6" s="2025">
        <f t="shared" si="40"/>
        <v>0</v>
      </c>
      <c r="EN6" s="2025">
        <f t="shared" si="41"/>
        <v>0</v>
      </c>
      <c r="EP6" s="2045">
        <f t="shared" si="42"/>
        <v>0</v>
      </c>
      <c r="EQ6" s="2042">
        <f t="shared" ref="EQ6:EQ34" si="193">SUM(ER6:FC6)+SUM(FE6:FP6)+SUM(FR6:GO6)+SUM(GQ6:HB6)+SUM(HD6:HO6)+SUM(HQ6:IB6)</f>
        <v>0</v>
      </c>
      <c r="ER6" s="2042">
        <f t="shared" si="43"/>
        <v>0</v>
      </c>
      <c r="ES6" s="2042">
        <f t="shared" si="44"/>
        <v>0</v>
      </c>
      <c r="ET6" s="2042">
        <f t="shared" si="45"/>
        <v>0</v>
      </c>
      <c r="EU6" s="2042">
        <f t="shared" si="46"/>
        <v>0</v>
      </c>
      <c r="EV6" s="2042">
        <f t="shared" si="47"/>
        <v>0</v>
      </c>
      <c r="EW6" s="2042">
        <f t="shared" si="48"/>
        <v>0</v>
      </c>
      <c r="EX6" s="2042">
        <f t="shared" si="49"/>
        <v>0</v>
      </c>
      <c r="EY6" s="2042">
        <f t="shared" si="50"/>
        <v>0</v>
      </c>
      <c r="EZ6" s="2042">
        <f t="shared" si="51"/>
        <v>0</v>
      </c>
      <c r="FA6" s="2042">
        <f t="shared" si="52"/>
        <v>0</v>
      </c>
      <c r="FB6" s="2042">
        <f t="shared" si="53"/>
        <v>0</v>
      </c>
      <c r="FC6" s="2042">
        <f t="shared" si="54"/>
        <v>0</v>
      </c>
      <c r="FD6" s="2046">
        <f t="shared" ref="FD6:FD34" si="194">IF(SUM(ER6:FC6)&gt;0,1,0)</f>
        <v>0</v>
      </c>
      <c r="FE6" s="2042">
        <f t="shared" si="55"/>
        <v>0</v>
      </c>
      <c r="FF6" s="2042">
        <f t="shared" si="56"/>
        <v>0</v>
      </c>
      <c r="FG6" s="2042">
        <f t="shared" si="57"/>
        <v>0</v>
      </c>
      <c r="FH6" s="2042">
        <f t="shared" si="58"/>
        <v>0</v>
      </c>
      <c r="FI6" s="2042">
        <f t="shared" si="59"/>
        <v>0</v>
      </c>
      <c r="FJ6" s="2042">
        <f t="shared" ref="FJ6:FJ34" si="195">IF(AND(E6="Grünland  2 Nutzungen", AH6="normal", AI6="2,5 - 5,0 km"),$DQ$42,0)</f>
        <v>0</v>
      </c>
      <c r="FK6" s="2042">
        <f t="shared" si="60"/>
        <v>0</v>
      </c>
      <c r="FL6" s="2042">
        <f t="shared" si="61"/>
        <v>0</v>
      </c>
      <c r="FM6" s="2042">
        <f t="shared" si="62"/>
        <v>0</v>
      </c>
      <c r="FN6" s="2042">
        <f t="shared" si="63"/>
        <v>0</v>
      </c>
      <c r="FO6" s="2042">
        <f t="shared" si="64"/>
        <v>0</v>
      </c>
      <c r="FP6" s="2042">
        <f t="shared" si="65"/>
        <v>0</v>
      </c>
      <c r="FQ6" s="2047">
        <f t="shared" ref="FQ6:FQ34" si="196">IF(SUM(FE6:FP6)&gt;0,2,0)</f>
        <v>0</v>
      </c>
      <c r="FR6" s="2042">
        <f t="shared" si="66"/>
        <v>0</v>
      </c>
      <c r="FS6" s="2042">
        <f t="shared" si="67"/>
        <v>0</v>
      </c>
      <c r="FT6" s="2042">
        <f t="shared" si="68"/>
        <v>0</v>
      </c>
      <c r="FU6" s="2042">
        <f t="shared" si="69"/>
        <v>0</v>
      </c>
      <c r="FV6" s="2042">
        <f t="shared" si="70"/>
        <v>0</v>
      </c>
      <c r="FW6" s="2042">
        <f t="shared" si="71"/>
        <v>0</v>
      </c>
      <c r="FX6" s="2042">
        <f t="shared" si="72"/>
        <v>0</v>
      </c>
      <c r="FY6" s="2042">
        <f t="shared" si="73"/>
        <v>0</v>
      </c>
      <c r="FZ6" s="2042">
        <f t="shared" si="74"/>
        <v>0</v>
      </c>
      <c r="GA6" s="2042">
        <f t="shared" si="75"/>
        <v>0</v>
      </c>
      <c r="GB6" s="2042">
        <f t="shared" si="76"/>
        <v>0</v>
      </c>
      <c r="GC6" s="2042">
        <f t="shared" si="77"/>
        <v>0</v>
      </c>
      <c r="GD6" s="2042">
        <f t="shared" si="78"/>
        <v>0</v>
      </c>
      <c r="GE6" s="2042">
        <f t="shared" si="79"/>
        <v>0</v>
      </c>
      <c r="GF6" s="2042">
        <f t="shared" si="80"/>
        <v>0</v>
      </c>
      <c r="GG6" s="2042">
        <f t="shared" si="81"/>
        <v>0</v>
      </c>
      <c r="GH6" s="2042">
        <f t="shared" si="82"/>
        <v>0</v>
      </c>
      <c r="GI6" s="2042">
        <f t="shared" si="83"/>
        <v>0</v>
      </c>
      <c r="GJ6" s="2042">
        <f t="shared" si="84"/>
        <v>0</v>
      </c>
      <c r="GK6" s="2042">
        <f t="shared" si="85"/>
        <v>0</v>
      </c>
      <c r="GL6" s="2042">
        <f t="shared" si="86"/>
        <v>0</v>
      </c>
      <c r="GM6" s="2042">
        <f t="shared" si="87"/>
        <v>0</v>
      </c>
      <c r="GN6" s="2042">
        <f t="shared" si="88"/>
        <v>0</v>
      </c>
      <c r="GO6" s="2042">
        <f t="shared" si="89"/>
        <v>0</v>
      </c>
      <c r="GP6" s="2047">
        <f t="shared" ref="GP6:GP34" si="197">IF(SUM(FR6:GO6)&gt;0,3,0)</f>
        <v>0</v>
      </c>
      <c r="GQ6" s="2042">
        <f t="shared" si="90"/>
        <v>0</v>
      </c>
      <c r="GR6" s="2042">
        <f t="shared" si="91"/>
        <v>0</v>
      </c>
      <c r="GS6" s="2042">
        <f t="shared" si="92"/>
        <v>0</v>
      </c>
      <c r="GT6" s="2042">
        <f t="shared" si="93"/>
        <v>0</v>
      </c>
      <c r="GU6" s="2042">
        <f t="shared" si="94"/>
        <v>0</v>
      </c>
      <c r="GV6" s="2042">
        <f t="shared" si="95"/>
        <v>0</v>
      </c>
      <c r="GW6" s="2042">
        <f t="shared" si="96"/>
        <v>0</v>
      </c>
      <c r="GX6" s="2042">
        <f t="shared" si="97"/>
        <v>0</v>
      </c>
      <c r="GY6" s="2042">
        <f t="shared" si="98"/>
        <v>0</v>
      </c>
      <c r="GZ6" s="2042">
        <f t="shared" si="99"/>
        <v>0</v>
      </c>
      <c r="HA6" s="2042">
        <f t="shared" si="100"/>
        <v>0</v>
      </c>
      <c r="HB6" s="2042">
        <f t="shared" si="101"/>
        <v>0</v>
      </c>
      <c r="HC6" s="2047">
        <f t="shared" ref="HC6:HC34" si="198">IF(SUM(GQ6:HB6)&gt;0,4,0)</f>
        <v>0</v>
      </c>
      <c r="HD6" s="2042">
        <f t="shared" si="102"/>
        <v>0</v>
      </c>
      <c r="HE6" s="2042">
        <f t="shared" si="103"/>
        <v>0</v>
      </c>
      <c r="HF6" s="2042">
        <f t="shared" si="104"/>
        <v>0</v>
      </c>
      <c r="HG6" s="2042">
        <f t="shared" si="105"/>
        <v>0</v>
      </c>
      <c r="HH6" s="2042">
        <f t="shared" si="106"/>
        <v>0</v>
      </c>
      <c r="HI6" s="2042">
        <f t="shared" si="107"/>
        <v>0</v>
      </c>
      <c r="HJ6" s="2042">
        <f t="shared" si="108"/>
        <v>0</v>
      </c>
      <c r="HK6" s="2042">
        <f t="shared" si="109"/>
        <v>0</v>
      </c>
      <c r="HL6" s="2042">
        <f t="shared" si="110"/>
        <v>0</v>
      </c>
      <c r="HM6" s="2042">
        <f t="shared" si="111"/>
        <v>0</v>
      </c>
      <c r="HN6" s="2042">
        <f t="shared" si="112"/>
        <v>0</v>
      </c>
      <c r="HO6" s="2042">
        <f t="shared" si="113"/>
        <v>0</v>
      </c>
      <c r="HP6" s="2047">
        <f t="shared" ref="HP6:HP34" si="199">IF(SUM(HD6:HO6)&gt;0,5,0)</f>
        <v>0</v>
      </c>
      <c r="HQ6" s="2042">
        <f t="shared" si="114"/>
        <v>0</v>
      </c>
      <c r="HR6" s="2042">
        <f t="shared" si="115"/>
        <v>0</v>
      </c>
      <c r="HS6" s="2042">
        <f t="shared" si="116"/>
        <v>0</v>
      </c>
      <c r="HT6" s="2042">
        <f t="shared" si="117"/>
        <v>0</v>
      </c>
      <c r="HU6" s="2042">
        <f t="shared" si="118"/>
        <v>0</v>
      </c>
      <c r="HV6" s="2042">
        <f t="shared" si="119"/>
        <v>0</v>
      </c>
      <c r="HW6" s="2042">
        <f t="shared" si="120"/>
        <v>0</v>
      </c>
      <c r="HX6" s="2042">
        <f t="shared" si="121"/>
        <v>0</v>
      </c>
      <c r="HY6" s="2042">
        <f t="shared" si="122"/>
        <v>0</v>
      </c>
      <c r="HZ6" s="2042">
        <f t="shared" si="123"/>
        <v>0</v>
      </c>
      <c r="IA6" s="2042">
        <f t="shared" si="124"/>
        <v>0</v>
      </c>
      <c r="IB6" s="2042">
        <f t="shared" si="125"/>
        <v>0</v>
      </c>
      <c r="IC6" s="2047">
        <f t="shared" ref="IC6:IC34" si="200">IF(SUM(HQ6:IB6)&gt;0,6,0)</f>
        <v>0</v>
      </c>
      <c r="IE6" s="2044">
        <f t="shared" ref="IE6:IE34" si="201">SUM(IF6:IQ6)</f>
        <v>0</v>
      </c>
      <c r="IF6" s="2025">
        <f t="shared" si="126"/>
        <v>0</v>
      </c>
      <c r="IG6" s="2025">
        <f t="shared" si="127"/>
        <v>0</v>
      </c>
      <c r="IH6" s="2025">
        <f t="shared" si="128"/>
        <v>0</v>
      </c>
      <c r="II6" s="2025">
        <f t="shared" si="129"/>
        <v>0</v>
      </c>
      <c r="IJ6" s="2025">
        <f t="shared" si="130"/>
        <v>0</v>
      </c>
      <c r="IK6" s="2025">
        <f t="shared" si="131"/>
        <v>0</v>
      </c>
      <c r="IL6" s="2025">
        <f t="shared" si="132"/>
        <v>0</v>
      </c>
      <c r="IM6" s="2025">
        <f t="shared" si="133"/>
        <v>0</v>
      </c>
      <c r="IN6" s="2025">
        <f t="shared" si="134"/>
        <v>0</v>
      </c>
      <c r="IO6" s="2025">
        <f t="shared" si="135"/>
        <v>0</v>
      </c>
      <c r="IP6" s="2025">
        <f t="shared" si="136"/>
        <v>0</v>
      </c>
      <c r="IQ6" s="2025">
        <f t="shared" si="137"/>
        <v>0</v>
      </c>
      <c r="IS6" s="2044">
        <f t="shared" ref="IS6:IS34" si="202">SUM(IT6:JE6)</f>
        <v>0</v>
      </c>
      <c r="IT6" s="2025">
        <f t="shared" si="138"/>
        <v>0</v>
      </c>
      <c r="IU6" s="2025">
        <f t="shared" si="139"/>
        <v>0</v>
      </c>
      <c r="IV6" s="2025">
        <f t="shared" si="140"/>
        <v>0</v>
      </c>
      <c r="IW6" s="2025">
        <f t="shared" si="141"/>
        <v>0</v>
      </c>
      <c r="IX6" s="2025">
        <f t="shared" si="142"/>
        <v>0</v>
      </c>
      <c r="IY6" s="2025">
        <f t="shared" si="143"/>
        <v>0</v>
      </c>
      <c r="IZ6" s="2025">
        <f t="shared" si="144"/>
        <v>0</v>
      </c>
      <c r="JA6" s="2025">
        <f t="shared" si="145"/>
        <v>0</v>
      </c>
      <c r="JB6" s="2025">
        <f t="shared" si="146"/>
        <v>0</v>
      </c>
      <c r="JC6" s="2025">
        <f t="shared" si="147"/>
        <v>0</v>
      </c>
      <c r="JD6" s="2025">
        <f t="shared" si="148"/>
        <v>0</v>
      </c>
      <c r="JE6" s="2025">
        <f t="shared" si="149"/>
        <v>0</v>
      </c>
    </row>
    <row r="7" spans="1:265" ht="18" customHeight="1">
      <c r="A7" s="1319"/>
      <c r="B7" s="2023">
        <v>3</v>
      </c>
      <c r="C7" s="1105"/>
      <c r="D7" s="2130"/>
      <c r="E7" s="739"/>
      <c r="F7" s="1544"/>
      <c r="G7" s="1320"/>
      <c r="H7" s="1321">
        <f t="shared" si="0"/>
        <v>0</v>
      </c>
      <c r="I7" s="1321">
        <f t="shared" si="150"/>
        <v>0</v>
      </c>
      <c r="J7" s="1321">
        <f t="shared" si="1"/>
        <v>0</v>
      </c>
      <c r="K7" s="1321">
        <f t="shared" si="2"/>
        <v>0</v>
      </c>
      <c r="L7" s="1322">
        <f>Summen_GL!F74</f>
        <v>0</v>
      </c>
      <c r="M7" s="1323">
        <f t="shared" si="151"/>
        <v>0</v>
      </c>
      <c r="N7" s="2024"/>
      <c r="O7" s="1321">
        <f>IF(G7="niedrig",VLOOKUP(E7,Liste_GL_von,2,0),IF(G7="mittel",VLOOKUP(E7,Liste_GL_von,3,0),IF(G7="hoch",VLOOKUP(E7,Liste_GL_von,4,0),0)))</f>
        <v>0</v>
      </c>
      <c r="P7" s="1321">
        <f t="shared" si="3"/>
        <v>0</v>
      </c>
      <c r="Q7" s="2024"/>
      <c r="R7" s="1470"/>
      <c r="S7" s="1471"/>
      <c r="T7" s="1470"/>
      <c r="U7" s="1471"/>
      <c r="V7" s="1470"/>
      <c r="W7" s="1471"/>
      <c r="X7" s="1470"/>
      <c r="Y7" s="1471"/>
      <c r="Z7" s="1470"/>
      <c r="AA7" s="1471"/>
      <c r="AB7" s="1470"/>
      <c r="AC7" s="1551"/>
      <c r="AD7" s="844"/>
      <c r="AE7" s="1561">
        <f>'meine Dünger'!C7</f>
        <v>0</v>
      </c>
      <c r="AF7" s="1562">
        <f>'meine Dünger'!AL7</f>
        <v>0</v>
      </c>
      <c r="AG7" s="844"/>
      <c r="AH7" s="1563" t="s">
        <v>854</v>
      </c>
      <c r="AI7" s="2132" t="s">
        <v>851</v>
      </c>
      <c r="AJ7" s="1319"/>
      <c r="AK7" s="1593">
        <f t="shared" si="152"/>
        <v>0</v>
      </c>
      <c r="AL7" s="1594">
        <f t="shared" si="153"/>
        <v>0</v>
      </c>
      <c r="AM7" s="1319"/>
      <c r="AN7" s="1319"/>
      <c r="AP7" s="1860">
        <f t="shared" si="154"/>
        <v>0</v>
      </c>
      <c r="AQ7" s="1860">
        <f t="shared" si="155"/>
        <v>0</v>
      </c>
      <c r="AR7" s="1860">
        <f t="shared" si="156"/>
        <v>0</v>
      </c>
      <c r="AS7" s="1860">
        <f t="shared" si="157"/>
        <v>0</v>
      </c>
      <c r="AT7" s="1860">
        <f t="shared" si="158"/>
        <v>0</v>
      </c>
      <c r="AU7" s="1860">
        <f t="shared" si="159"/>
        <v>0</v>
      </c>
      <c r="AV7" s="1860">
        <f t="shared" si="160"/>
        <v>0</v>
      </c>
      <c r="AW7" s="1860">
        <f t="shared" si="161"/>
        <v>0</v>
      </c>
      <c r="AX7" s="1860">
        <f t="shared" si="162"/>
        <v>0</v>
      </c>
      <c r="AY7" s="1860">
        <f t="shared" si="163"/>
        <v>0</v>
      </c>
      <c r="AZ7" s="1860">
        <f t="shared" si="164"/>
        <v>0</v>
      </c>
      <c r="BA7" s="2026">
        <f t="shared" si="165"/>
        <v>0</v>
      </c>
      <c r="BB7" s="2026">
        <f t="shared" si="166"/>
        <v>0</v>
      </c>
      <c r="BC7" s="2026">
        <f t="shared" si="167"/>
        <v>0</v>
      </c>
      <c r="BD7" s="2026">
        <f t="shared" si="168"/>
        <v>0</v>
      </c>
      <c r="BE7" s="2026">
        <f t="shared" si="169"/>
        <v>0</v>
      </c>
      <c r="BF7" s="2026">
        <f t="shared" si="170"/>
        <v>0</v>
      </c>
      <c r="BG7" s="2026">
        <f t="shared" si="171"/>
        <v>0</v>
      </c>
      <c r="BH7" s="2026">
        <f t="shared" si="172"/>
        <v>0</v>
      </c>
      <c r="BI7" s="2026">
        <f t="shared" si="173"/>
        <v>0</v>
      </c>
      <c r="BJ7" s="2026">
        <f t="shared" si="174"/>
        <v>0</v>
      </c>
      <c r="BK7" s="2027"/>
      <c r="BL7" s="2026">
        <f t="shared" si="175"/>
        <v>0</v>
      </c>
      <c r="BM7" s="2026">
        <f t="shared" si="176"/>
        <v>0</v>
      </c>
      <c r="BN7" s="2026">
        <f t="shared" si="4"/>
        <v>0</v>
      </c>
      <c r="BO7" s="2026">
        <f t="shared" si="5"/>
        <v>0</v>
      </c>
      <c r="BP7" s="2026">
        <f t="shared" si="6"/>
        <v>0</v>
      </c>
      <c r="BQ7" s="2026">
        <f t="shared" si="7"/>
        <v>0</v>
      </c>
      <c r="BR7" s="2026">
        <f t="shared" si="8"/>
        <v>0</v>
      </c>
      <c r="BS7" s="2026">
        <f t="shared" si="177"/>
        <v>0</v>
      </c>
      <c r="BT7" s="2026">
        <f t="shared" si="9"/>
        <v>0</v>
      </c>
      <c r="BU7" s="2026">
        <f t="shared" si="10"/>
        <v>0</v>
      </c>
      <c r="BV7" s="2028"/>
      <c r="BW7" s="2029">
        <f t="shared" si="11"/>
        <v>0</v>
      </c>
      <c r="BX7" s="2029">
        <f t="shared" si="178"/>
        <v>0</v>
      </c>
      <c r="BY7" s="2029">
        <f t="shared" si="179"/>
        <v>0</v>
      </c>
      <c r="CA7" s="2030">
        <f t="shared" si="12"/>
        <v>0</v>
      </c>
      <c r="CB7" s="2030">
        <f t="shared" si="13"/>
        <v>0</v>
      </c>
      <c r="CC7" s="2030">
        <f t="shared" si="14"/>
        <v>0</v>
      </c>
      <c r="CD7" s="2031">
        <f t="shared" si="15"/>
        <v>0</v>
      </c>
      <c r="CE7" s="2031">
        <f t="shared" si="16"/>
        <v>0</v>
      </c>
      <c r="CF7" s="2031">
        <f t="shared" si="180"/>
        <v>0</v>
      </c>
      <c r="CG7" s="2030">
        <f t="shared" si="17"/>
        <v>0</v>
      </c>
      <c r="CH7" s="2032">
        <f t="shared" si="18"/>
        <v>0</v>
      </c>
      <c r="CI7" s="2032">
        <f t="shared" si="19"/>
        <v>0</v>
      </c>
      <c r="CJ7" s="2032">
        <f t="shared" si="181"/>
        <v>0</v>
      </c>
      <c r="CK7" s="2030">
        <f t="shared" si="20"/>
        <v>0</v>
      </c>
      <c r="CL7" s="2033">
        <f t="shared" si="21"/>
        <v>0</v>
      </c>
      <c r="CM7" s="2032">
        <f t="shared" si="22"/>
        <v>0</v>
      </c>
      <c r="CN7" s="2033">
        <f t="shared" si="23"/>
        <v>0</v>
      </c>
      <c r="CO7" s="2033">
        <f t="shared" si="182"/>
        <v>0</v>
      </c>
      <c r="CP7" s="2030">
        <f t="shared" si="24"/>
        <v>0</v>
      </c>
      <c r="CQ7" s="2030">
        <f t="shared" si="25"/>
        <v>0</v>
      </c>
      <c r="CR7" s="2030">
        <f t="shared" si="26"/>
        <v>0</v>
      </c>
      <c r="CS7" s="2030">
        <f t="shared" si="27"/>
        <v>0</v>
      </c>
      <c r="CT7" s="2035">
        <f t="shared" si="28"/>
        <v>0</v>
      </c>
      <c r="CU7" s="2036">
        <f t="shared" si="183"/>
        <v>0</v>
      </c>
      <c r="CV7" s="2036">
        <f t="shared" si="184"/>
        <v>0</v>
      </c>
      <c r="CW7" s="2036">
        <f t="shared" si="185"/>
        <v>0</v>
      </c>
      <c r="CY7" s="2051" t="s">
        <v>830</v>
      </c>
      <c r="CZ7" s="2052">
        <v>2500</v>
      </c>
      <c r="DA7" s="2052">
        <v>3000</v>
      </c>
      <c r="DB7" s="2053">
        <v>3500</v>
      </c>
      <c r="DC7" s="10"/>
      <c r="DE7" s="2051" t="s">
        <v>830</v>
      </c>
      <c r="DF7" s="2052">
        <v>3000</v>
      </c>
      <c r="DG7" s="2052">
        <v>3000</v>
      </c>
      <c r="DH7" s="2052">
        <v>3000</v>
      </c>
      <c r="DL7" s="10">
        <f t="shared" si="186"/>
        <v>0</v>
      </c>
      <c r="DM7" s="10">
        <f t="shared" si="29"/>
        <v>0</v>
      </c>
      <c r="DN7" s="2027" t="e">
        <f>DL7/Betrieb!$E$23</f>
        <v>#DIV/0!</v>
      </c>
      <c r="DO7" s="2027" t="e">
        <f>DM7/Betrieb!$E$24</f>
        <v>#DIV/0!</v>
      </c>
      <c r="DP7" s="2041">
        <f>(Betrieb!$E$21*Betrieb!$H$21)+(Betrieb!$E$23*Betrieb!$H$23)</f>
        <v>0</v>
      </c>
      <c r="DQ7" s="2025">
        <f>(Betrieb!$E$22*Betrieb!$H$22)+(Betrieb!$E$24*Betrieb!$H$24)</f>
        <v>0</v>
      </c>
      <c r="DR7" s="2041">
        <f t="shared" si="187"/>
        <v>0</v>
      </c>
      <c r="DS7" s="2025">
        <f t="shared" si="188"/>
        <v>0</v>
      </c>
      <c r="DT7" s="2042">
        <f t="shared" si="189"/>
        <v>0</v>
      </c>
      <c r="DU7" s="2043">
        <f t="shared" ref="DU7:DU34" si="203">IFERROR((DN7/DR7)*DP7,0)</f>
        <v>0</v>
      </c>
      <c r="DV7" s="2043">
        <f t="shared" si="190"/>
        <v>0</v>
      </c>
      <c r="DW7" s="2043">
        <f t="shared" ref="DW7:DW34" si="204">IF(EP7="Weide/Hutweide",$DY$51*D7,((($DY$39+$DY$40+$DY$41)*D7)*EP7)+(((DT7*D7)*$DY$43)*EP7))</f>
        <v>0</v>
      </c>
      <c r="DZ7" s="2044">
        <f t="shared" si="191"/>
        <v>0</v>
      </c>
      <c r="EA7" s="1874">
        <f t="shared" si="30"/>
        <v>0</v>
      </c>
      <c r="EB7" s="1874">
        <f t="shared" si="31"/>
        <v>0</v>
      </c>
      <c r="EC7" s="1874">
        <f t="shared" si="32"/>
        <v>0</v>
      </c>
      <c r="ED7" s="1874">
        <f t="shared" si="33"/>
        <v>0</v>
      </c>
      <c r="EE7" s="1874">
        <f t="shared" si="34"/>
        <v>0</v>
      </c>
      <c r="EF7" s="1874">
        <f t="shared" si="35"/>
        <v>0</v>
      </c>
      <c r="EH7" s="2044">
        <f t="shared" si="192"/>
        <v>0</v>
      </c>
      <c r="EI7" s="2025">
        <f t="shared" si="36"/>
        <v>0</v>
      </c>
      <c r="EJ7" s="2025">
        <f t="shared" si="37"/>
        <v>0</v>
      </c>
      <c r="EK7" s="2025">
        <f t="shared" si="38"/>
        <v>0</v>
      </c>
      <c r="EL7" s="2025">
        <f t="shared" si="39"/>
        <v>0</v>
      </c>
      <c r="EM7" s="2025">
        <f t="shared" si="40"/>
        <v>0</v>
      </c>
      <c r="EN7" s="2025">
        <f t="shared" si="41"/>
        <v>0</v>
      </c>
      <c r="EP7" s="2045">
        <f t="shared" si="42"/>
        <v>0</v>
      </c>
      <c r="EQ7" s="2042">
        <f t="shared" si="193"/>
        <v>0</v>
      </c>
      <c r="ER7" s="2042">
        <f t="shared" si="43"/>
        <v>0</v>
      </c>
      <c r="ES7" s="2042">
        <f t="shared" si="44"/>
        <v>0</v>
      </c>
      <c r="ET7" s="2042">
        <f t="shared" si="45"/>
        <v>0</v>
      </c>
      <c r="EU7" s="2042">
        <f t="shared" si="46"/>
        <v>0</v>
      </c>
      <c r="EV7" s="2042">
        <f t="shared" si="47"/>
        <v>0</v>
      </c>
      <c r="EW7" s="2042">
        <f t="shared" si="48"/>
        <v>0</v>
      </c>
      <c r="EX7" s="2042">
        <f t="shared" si="49"/>
        <v>0</v>
      </c>
      <c r="EY7" s="2042">
        <f t="shared" si="50"/>
        <v>0</v>
      </c>
      <c r="EZ7" s="2042">
        <f t="shared" si="51"/>
        <v>0</v>
      </c>
      <c r="FA7" s="2042">
        <f t="shared" si="52"/>
        <v>0</v>
      </c>
      <c r="FB7" s="2042">
        <f t="shared" si="53"/>
        <v>0</v>
      </c>
      <c r="FC7" s="2042">
        <f t="shared" si="54"/>
        <v>0</v>
      </c>
      <c r="FD7" s="2046">
        <f t="shared" si="194"/>
        <v>0</v>
      </c>
      <c r="FE7" s="2042">
        <f t="shared" si="55"/>
        <v>0</v>
      </c>
      <c r="FF7" s="2042">
        <f t="shared" si="56"/>
        <v>0</v>
      </c>
      <c r="FG7" s="2042">
        <f t="shared" si="57"/>
        <v>0</v>
      </c>
      <c r="FH7" s="2042">
        <f t="shared" si="58"/>
        <v>0</v>
      </c>
      <c r="FI7" s="2042">
        <f t="shared" si="59"/>
        <v>0</v>
      </c>
      <c r="FJ7" s="2042">
        <f t="shared" si="195"/>
        <v>0</v>
      </c>
      <c r="FK7" s="2042">
        <f t="shared" si="60"/>
        <v>0</v>
      </c>
      <c r="FL7" s="2042">
        <f t="shared" si="61"/>
        <v>0</v>
      </c>
      <c r="FM7" s="2042">
        <f t="shared" si="62"/>
        <v>0</v>
      </c>
      <c r="FN7" s="2042">
        <f t="shared" si="63"/>
        <v>0</v>
      </c>
      <c r="FO7" s="2042">
        <f t="shared" si="64"/>
        <v>0</v>
      </c>
      <c r="FP7" s="2042">
        <f t="shared" si="65"/>
        <v>0</v>
      </c>
      <c r="FQ7" s="2047">
        <f t="shared" si="196"/>
        <v>0</v>
      </c>
      <c r="FR7" s="2042">
        <f t="shared" si="66"/>
        <v>0</v>
      </c>
      <c r="FS7" s="2042">
        <f t="shared" si="67"/>
        <v>0</v>
      </c>
      <c r="FT7" s="2042">
        <f t="shared" si="68"/>
        <v>0</v>
      </c>
      <c r="FU7" s="2042">
        <f t="shared" si="69"/>
        <v>0</v>
      </c>
      <c r="FV7" s="2042">
        <f t="shared" si="70"/>
        <v>0</v>
      </c>
      <c r="FW7" s="2042">
        <f t="shared" si="71"/>
        <v>0</v>
      </c>
      <c r="FX7" s="2042">
        <f t="shared" si="72"/>
        <v>0</v>
      </c>
      <c r="FY7" s="2042">
        <f t="shared" si="73"/>
        <v>0</v>
      </c>
      <c r="FZ7" s="2042">
        <f t="shared" si="74"/>
        <v>0</v>
      </c>
      <c r="GA7" s="2042">
        <f t="shared" si="75"/>
        <v>0</v>
      </c>
      <c r="GB7" s="2042">
        <f t="shared" si="76"/>
        <v>0</v>
      </c>
      <c r="GC7" s="2042">
        <f t="shared" si="77"/>
        <v>0</v>
      </c>
      <c r="GD7" s="2042">
        <f t="shared" si="78"/>
        <v>0</v>
      </c>
      <c r="GE7" s="2042">
        <f t="shared" si="79"/>
        <v>0</v>
      </c>
      <c r="GF7" s="2042">
        <f t="shared" si="80"/>
        <v>0</v>
      </c>
      <c r="GG7" s="2042">
        <f t="shared" si="81"/>
        <v>0</v>
      </c>
      <c r="GH7" s="2042">
        <f t="shared" si="82"/>
        <v>0</v>
      </c>
      <c r="GI7" s="2042">
        <f t="shared" si="83"/>
        <v>0</v>
      </c>
      <c r="GJ7" s="2042">
        <f t="shared" si="84"/>
        <v>0</v>
      </c>
      <c r="GK7" s="2042">
        <f t="shared" si="85"/>
        <v>0</v>
      </c>
      <c r="GL7" s="2042">
        <f t="shared" si="86"/>
        <v>0</v>
      </c>
      <c r="GM7" s="2042">
        <f t="shared" si="87"/>
        <v>0</v>
      </c>
      <c r="GN7" s="2042">
        <f t="shared" si="88"/>
        <v>0</v>
      </c>
      <c r="GO7" s="2042">
        <f t="shared" si="89"/>
        <v>0</v>
      </c>
      <c r="GP7" s="2047">
        <f t="shared" si="197"/>
        <v>0</v>
      </c>
      <c r="GQ7" s="2042">
        <f t="shared" si="90"/>
        <v>0</v>
      </c>
      <c r="GR7" s="2042">
        <f t="shared" si="91"/>
        <v>0</v>
      </c>
      <c r="GS7" s="2042">
        <f t="shared" si="92"/>
        <v>0</v>
      </c>
      <c r="GT7" s="2042">
        <f t="shared" si="93"/>
        <v>0</v>
      </c>
      <c r="GU7" s="2042">
        <f t="shared" si="94"/>
        <v>0</v>
      </c>
      <c r="GV7" s="2042">
        <f t="shared" si="95"/>
        <v>0</v>
      </c>
      <c r="GW7" s="2042">
        <f t="shared" si="96"/>
        <v>0</v>
      </c>
      <c r="GX7" s="2042">
        <f t="shared" si="97"/>
        <v>0</v>
      </c>
      <c r="GY7" s="2042">
        <f t="shared" si="98"/>
        <v>0</v>
      </c>
      <c r="GZ7" s="2042">
        <f t="shared" si="99"/>
        <v>0</v>
      </c>
      <c r="HA7" s="2042">
        <f t="shared" si="100"/>
        <v>0</v>
      </c>
      <c r="HB7" s="2042">
        <f t="shared" si="101"/>
        <v>0</v>
      </c>
      <c r="HC7" s="2047">
        <f t="shared" si="198"/>
        <v>0</v>
      </c>
      <c r="HD7" s="2042">
        <f t="shared" si="102"/>
        <v>0</v>
      </c>
      <c r="HE7" s="2042">
        <f t="shared" si="103"/>
        <v>0</v>
      </c>
      <c r="HF7" s="2042">
        <f t="shared" si="104"/>
        <v>0</v>
      </c>
      <c r="HG7" s="2042">
        <f t="shared" si="105"/>
        <v>0</v>
      </c>
      <c r="HH7" s="2042">
        <f t="shared" si="106"/>
        <v>0</v>
      </c>
      <c r="HI7" s="2042">
        <f t="shared" si="107"/>
        <v>0</v>
      </c>
      <c r="HJ7" s="2042">
        <f t="shared" si="108"/>
        <v>0</v>
      </c>
      <c r="HK7" s="2042">
        <f t="shared" si="109"/>
        <v>0</v>
      </c>
      <c r="HL7" s="2042">
        <f t="shared" si="110"/>
        <v>0</v>
      </c>
      <c r="HM7" s="2042">
        <f t="shared" si="111"/>
        <v>0</v>
      </c>
      <c r="HN7" s="2042">
        <f t="shared" si="112"/>
        <v>0</v>
      </c>
      <c r="HO7" s="2042">
        <f t="shared" si="113"/>
        <v>0</v>
      </c>
      <c r="HP7" s="2047">
        <f t="shared" si="199"/>
        <v>0</v>
      </c>
      <c r="HQ7" s="2042">
        <f t="shared" si="114"/>
        <v>0</v>
      </c>
      <c r="HR7" s="2042">
        <f t="shared" si="115"/>
        <v>0</v>
      </c>
      <c r="HS7" s="2042">
        <f t="shared" si="116"/>
        <v>0</v>
      </c>
      <c r="HT7" s="2042">
        <f t="shared" si="117"/>
        <v>0</v>
      </c>
      <c r="HU7" s="2042">
        <f t="shared" si="118"/>
        <v>0</v>
      </c>
      <c r="HV7" s="2042">
        <f t="shared" si="119"/>
        <v>0</v>
      </c>
      <c r="HW7" s="2042">
        <f t="shared" si="120"/>
        <v>0</v>
      </c>
      <c r="HX7" s="2042">
        <f t="shared" si="121"/>
        <v>0</v>
      </c>
      <c r="HY7" s="2042">
        <f t="shared" si="122"/>
        <v>0</v>
      </c>
      <c r="HZ7" s="2042">
        <f t="shared" si="123"/>
        <v>0</v>
      </c>
      <c r="IA7" s="2042">
        <f t="shared" si="124"/>
        <v>0</v>
      </c>
      <c r="IB7" s="2042">
        <f t="shared" si="125"/>
        <v>0</v>
      </c>
      <c r="IC7" s="2047">
        <f t="shared" si="200"/>
        <v>0</v>
      </c>
      <c r="IE7" s="2044">
        <f>SUM(IF7:IQ7)</f>
        <v>0</v>
      </c>
      <c r="IF7" s="2025">
        <f t="shared" si="126"/>
        <v>0</v>
      </c>
      <c r="IG7" s="2025">
        <f t="shared" si="127"/>
        <v>0</v>
      </c>
      <c r="IH7" s="2025">
        <f t="shared" si="128"/>
        <v>0</v>
      </c>
      <c r="II7" s="2025">
        <f t="shared" si="129"/>
        <v>0</v>
      </c>
      <c r="IJ7" s="2025">
        <f t="shared" si="130"/>
        <v>0</v>
      </c>
      <c r="IK7" s="2025">
        <f t="shared" si="131"/>
        <v>0</v>
      </c>
      <c r="IL7" s="2025">
        <f t="shared" si="132"/>
        <v>0</v>
      </c>
      <c r="IM7" s="2025">
        <f t="shared" si="133"/>
        <v>0</v>
      </c>
      <c r="IN7" s="2025">
        <f t="shared" si="134"/>
        <v>0</v>
      </c>
      <c r="IO7" s="2025">
        <f t="shared" si="135"/>
        <v>0</v>
      </c>
      <c r="IP7" s="2025">
        <f t="shared" si="136"/>
        <v>0</v>
      </c>
      <c r="IQ7" s="2025">
        <f t="shared" si="137"/>
        <v>0</v>
      </c>
      <c r="IS7" s="2044">
        <f t="shared" si="202"/>
        <v>0</v>
      </c>
      <c r="IT7" s="2025">
        <f t="shared" si="138"/>
        <v>0</v>
      </c>
      <c r="IU7" s="2025">
        <f t="shared" si="139"/>
        <v>0</v>
      </c>
      <c r="IV7" s="2025">
        <f t="shared" si="140"/>
        <v>0</v>
      </c>
      <c r="IW7" s="2025">
        <f t="shared" si="141"/>
        <v>0</v>
      </c>
      <c r="IX7" s="2025">
        <f t="shared" si="142"/>
        <v>0</v>
      </c>
      <c r="IY7" s="2025">
        <f t="shared" si="143"/>
        <v>0</v>
      </c>
      <c r="IZ7" s="2025">
        <f t="shared" si="144"/>
        <v>0</v>
      </c>
      <c r="JA7" s="2025">
        <f t="shared" si="145"/>
        <v>0</v>
      </c>
      <c r="JB7" s="2025">
        <f t="shared" si="146"/>
        <v>0</v>
      </c>
      <c r="JC7" s="2025">
        <f t="shared" si="147"/>
        <v>0</v>
      </c>
      <c r="JD7" s="2025">
        <f t="shared" si="148"/>
        <v>0</v>
      </c>
      <c r="JE7" s="2025">
        <f t="shared" si="149"/>
        <v>0</v>
      </c>
    </row>
    <row r="8" spans="1:265" ht="18" customHeight="1">
      <c r="A8" s="1319"/>
      <c r="B8" s="2023">
        <v>4</v>
      </c>
      <c r="C8" s="1105"/>
      <c r="D8" s="2130"/>
      <c r="E8" s="739"/>
      <c r="F8" s="1544"/>
      <c r="G8" s="1320"/>
      <c r="H8" s="1321">
        <f t="shared" si="0"/>
        <v>0</v>
      </c>
      <c r="I8" s="1321">
        <f t="shared" si="150"/>
        <v>0</v>
      </c>
      <c r="J8" s="1321">
        <f t="shared" si="1"/>
        <v>0</v>
      </c>
      <c r="K8" s="1321">
        <f t="shared" si="2"/>
        <v>0</v>
      </c>
      <c r="L8" s="1322">
        <f>Summen_GL!F75</f>
        <v>0</v>
      </c>
      <c r="M8" s="1323">
        <f t="shared" si="151"/>
        <v>0</v>
      </c>
      <c r="N8" s="2024"/>
      <c r="O8" s="1321">
        <f t="shared" ref="O8:O34" si="205">IF(G8="niedrig",VLOOKUP(E8,Liste_GL_von,2,0),IF(G8="mittel",VLOOKUP(E8,Liste_GL_von,3,0),IF(G8="hoch",VLOOKUP(E8,Liste_GL_von,4,0),0)))</f>
        <v>0</v>
      </c>
      <c r="P8" s="1321">
        <f t="shared" si="3"/>
        <v>0</v>
      </c>
      <c r="Q8" s="2024"/>
      <c r="R8" s="1470"/>
      <c r="S8" s="1471"/>
      <c r="T8" s="1470"/>
      <c r="U8" s="1471"/>
      <c r="V8" s="1470"/>
      <c r="W8" s="1471"/>
      <c r="X8" s="1470"/>
      <c r="Y8" s="1471"/>
      <c r="Z8" s="1470"/>
      <c r="AA8" s="1471"/>
      <c r="AB8" s="1470"/>
      <c r="AC8" s="1551"/>
      <c r="AD8" s="844"/>
      <c r="AE8" s="1561">
        <f>'meine Dünger'!C8</f>
        <v>0</v>
      </c>
      <c r="AF8" s="1562">
        <f>'meine Dünger'!AL8</f>
        <v>0</v>
      </c>
      <c r="AG8" s="844"/>
      <c r="AH8" s="1563" t="s">
        <v>854</v>
      </c>
      <c r="AI8" s="2132" t="s">
        <v>853</v>
      </c>
      <c r="AJ8" s="1319"/>
      <c r="AK8" s="1593">
        <f t="shared" si="152"/>
        <v>0</v>
      </c>
      <c r="AL8" s="1594">
        <f t="shared" si="153"/>
        <v>0</v>
      </c>
      <c r="AM8" s="1319"/>
      <c r="AN8" s="1319"/>
      <c r="AP8" s="1860">
        <f t="shared" si="154"/>
        <v>0</v>
      </c>
      <c r="AQ8" s="1860">
        <f t="shared" si="155"/>
        <v>0</v>
      </c>
      <c r="AR8" s="1860">
        <f t="shared" si="156"/>
        <v>0</v>
      </c>
      <c r="AS8" s="1860">
        <f t="shared" si="157"/>
        <v>0</v>
      </c>
      <c r="AT8" s="1860">
        <f t="shared" si="158"/>
        <v>0</v>
      </c>
      <c r="AU8" s="1860">
        <f t="shared" si="159"/>
        <v>0</v>
      </c>
      <c r="AV8" s="1860">
        <f t="shared" si="160"/>
        <v>0</v>
      </c>
      <c r="AW8" s="1860">
        <f t="shared" si="161"/>
        <v>0</v>
      </c>
      <c r="AX8" s="1860">
        <f t="shared" si="162"/>
        <v>0</v>
      </c>
      <c r="AY8" s="1860">
        <f t="shared" si="163"/>
        <v>0</v>
      </c>
      <c r="AZ8" s="1860">
        <f t="shared" si="164"/>
        <v>0</v>
      </c>
      <c r="BA8" s="2026">
        <f t="shared" si="165"/>
        <v>0</v>
      </c>
      <c r="BB8" s="2026">
        <f t="shared" si="166"/>
        <v>0</v>
      </c>
      <c r="BC8" s="2026">
        <f t="shared" si="167"/>
        <v>0</v>
      </c>
      <c r="BD8" s="2026">
        <f t="shared" si="168"/>
        <v>0</v>
      </c>
      <c r="BE8" s="2026">
        <f t="shared" si="169"/>
        <v>0</v>
      </c>
      <c r="BF8" s="2026">
        <f t="shared" si="170"/>
        <v>0</v>
      </c>
      <c r="BG8" s="2026">
        <f t="shared" si="171"/>
        <v>0</v>
      </c>
      <c r="BH8" s="2026">
        <f t="shared" si="172"/>
        <v>0</v>
      </c>
      <c r="BI8" s="2026">
        <f t="shared" si="173"/>
        <v>0</v>
      </c>
      <c r="BJ8" s="2026">
        <f t="shared" si="174"/>
        <v>0</v>
      </c>
      <c r="BK8" s="2027"/>
      <c r="BL8" s="2026">
        <f t="shared" si="175"/>
        <v>0</v>
      </c>
      <c r="BM8" s="2026">
        <f t="shared" si="176"/>
        <v>0</v>
      </c>
      <c r="BN8" s="2026">
        <f t="shared" si="4"/>
        <v>0</v>
      </c>
      <c r="BO8" s="2026">
        <f t="shared" si="5"/>
        <v>0</v>
      </c>
      <c r="BP8" s="2026">
        <f t="shared" si="6"/>
        <v>0</v>
      </c>
      <c r="BQ8" s="2026">
        <f t="shared" si="7"/>
        <v>0</v>
      </c>
      <c r="BR8" s="2026">
        <f t="shared" si="8"/>
        <v>0</v>
      </c>
      <c r="BS8" s="2026">
        <f t="shared" si="177"/>
        <v>0</v>
      </c>
      <c r="BT8" s="2026">
        <f t="shared" si="9"/>
        <v>0</v>
      </c>
      <c r="BU8" s="2026">
        <f t="shared" si="10"/>
        <v>0</v>
      </c>
      <c r="BV8" s="2028"/>
      <c r="BW8" s="2029">
        <f t="shared" si="11"/>
        <v>0</v>
      </c>
      <c r="BX8" s="2029">
        <f t="shared" si="178"/>
        <v>0</v>
      </c>
      <c r="BY8" s="2029">
        <f t="shared" si="179"/>
        <v>0</v>
      </c>
      <c r="CA8" s="2030">
        <f t="shared" si="12"/>
        <v>0</v>
      </c>
      <c r="CB8" s="2030">
        <f t="shared" si="13"/>
        <v>0</v>
      </c>
      <c r="CC8" s="2030">
        <f t="shared" si="14"/>
        <v>0</v>
      </c>
      <c r="CD8" s="2031">
        <f t="shared" si="15"/>
        <v>0</v>
      </c>
      <c r="CE8" s="2031">
        <f t="shared" si="16"/>
        <v>0</v>
      </c>
      <c r="CF8" s="2031">
        <f t="shared" si="180"/>
        <v>0</v>
      </c>
      <c r="CG8" s="2030">
        <f t="shared" si="17"/>
        <v>0</v>
      </c>
      <c r="CH8" s="2032">
        <f t="shared" si="18"/>
        <v>0</v>
      </c>
      <c r="CI8" s="2032">
        <f t="shared" si="19"/>
        <v>0</v>
      </c>
      <c r="CJ8" s="2032">
        <f t="shared" si="181"/>
        <v>0</v>
      </c>
      <c r="CK8" s="2030">
        <f t="shared" si="20"/>
        <v>0</v>
      </c>
      <c r="CL8" s="2033">
        <f t="shared" si="21"/>
        <v>0</v>
      </c>
      <c r="CM8" s="2032">
        <f t="shared" si="22"/>
        <v>0</v>
      </c>
      <c r="CN8" s="2033">
        <f t="shared" si="23"/>
        <v>0</v>
      </c>
      <c r="CO8" s="2033">
        <f t="shared" si="182"/>
        <v>0</v>
      </c>
      <c r="CP8" s="2030">
        <f t="shared" si="24"/>
        <v>0</v>
      </c>
      <c r="CQ8" s="2030">
        <f t="shared" si="25"/>
        <v>0</v>
      </c>
      <c r="CR8" s="2030">
        <f t="shared" si="26"/>
        <v>0</v>
      </c>
      <c r="CS8" s="2030">
        <f t="shared" si="27"/>
        <v>0</v>
      </c>
      <c r="CT8" s="2035">
        <f t="shared" si="28"/>
        <v>0</v>
      </c>
      <c r="CU8" s="2036">
        <f t="shared" si="183"/>
        <v>0</v>
      </c>
      <c r="CV8" s="2036">
        <f t="shared" si="184"/>
        <v>0</v>
      </c>
      <c r="CW8" s="2036">
        <f t="shared" si="185"/>
        <v>0</v>
      </c>
      <c r="CY8" s="2054" t="s">
        <v>831</v>
      </c>
      <c r="CZ8" s="2052">
        <v>4000</v>
      </c>
      <c r="DA8" s="2052">
        <v>5000</v>
      </c>
      <c r="DB8" s="2053">
        <v>5500</v>
      </c>
      <c r="DC8" s="10"/>
      <c r="DE8" s="2054" t="s">
        <v>831</v>
      </c>
      <c r="DF8" s="2052">
        <v>5000</v>
      </c>
      <c r="DG8" s="2052">
        <v>5000</v>
      </c>
      <c r="DH8" s="2052">
        <v>5000</v>
      </c>
      <c r="DL8" s="10">
        <f t="shared" si="186"/>
        <v>0</v>
      </c>
      <c r="DM8" s="10">
        <f t="shared" si="29"/>
        <v>0</v>
      </c>
      <c r="DN8" s="2027" t="e">
        <f>DL8/Betrieb!$E$23</f>
        <v>#DIV/0!</v>
      </c>
      <c r="DO8" s="2027" t="e">
        <f>DM8/Betrieb!$E$24</f>
        <v>#DIV/0!</v>
      </c>
      <c r="DP8" s="2041">
        <f>(Betrieb!$E$21*Betrieb!$H$21)+(Betrieb!$E$23*Betrieb!$H$23)</f>
        <v>0</v>
      </c>
      <c r="DQ8" s="2025">
        <f>(Betrieb!$E$22*Betrieb!$H$22)+(Betrieb!$E$24*Betrieb!$H$24)</f>
        <v>0</v>
      </c>
      <c r="DR8" s="2041">
        <f t="shared" si="187"/>
        <v>0</v>
      </c>
      <c r="DS8" s="2025">
        <f t="shared" si="188"/>
        <v>0</v>
      </c>
      <c r="DT8" s="2042">
        <f t="shared" si="189"/>
        <v>0</v>
      </c>
      <c r="DU8" s="2043">
        <f t="shared" si="203"/>
        <v>0</v>
      </c>
      <c r="DV8" s="2043">
        <f t="shared" si="190"/>
        <v>0</v>
      </c>
      <c r="DW8" s="2043">
        <f t="shared" si="204"/>
        <v>0</v>
      </c>
      <c r="DZ8" s="2044">
        <f>SUM(EA8:EF8)</f>
        <v>0</v>
      </c>
      <c r="EA8" s="1874">
        <f t="shared" si="30"/>
        <v>0</v>
      </c>
      <c r="EB8" s="1874">
        <f t="shared" si="31"/>
        <v>0</v>
      </c>
      <c r="EC8" s="1874">
        <f t="shared" si="32"/>
        <v>0</v>
      </c>
      <c r="ED8" s="1874">
        <f t="shared" si="33"/>
        <v>0</v>
      </c>
      <c r="EE8" s="1874">
        <f t="shared" si="34"/>
        <v>0</v>
      </c>
      <c r="EF8" s="1874">
        <f t="shared" si="35"/>
        <v>0</v>
      </c>
      <c r="EH8" s="2044">
        <f t="shared" si="192"/>
        <v>0</v>
      </c>
      <c r="EI8" s="2025">
        <f t="shared" si="36"/>
        <v>0</v>
      </c>
      <c r="EJ8" s="2025">
        <f t="shared" si="37"/>
        <v>0</v>
      </c>
      <c r="EK8" s="2025">
        <f t="shared" si="38"/>
        <v>0</v>
      </c>
      <c r="EL8" s="2025">
        <f t="shared" si="39"/>
        <v>0</v>
      </c>
      <c r="EM8" s="2025">
        <f t="shared" si="40"/>
        <v>0</v>
      </c>
      <c r="EN8" s="2025">
        <f t="shared" si="41"/>
        <v>0</v>
      </c>
      <c r="EP8" s="2045">
        <f t="shared" si="42"/>
        <v>0</v>
      </c>
      <c r="EQ8" s="2042">
        <f t="shared" si="193"/>
        <v>0</v>
      </c>
      <c r="ER8" s="2042">
        <f t="shared" si="43"/>
        <v>0</v>
      </c>
      <c r="ES8" s="2042">
        <f t="shared" si="44"/>
        <v>0</v>
      </c>
      <c r="ET8" s="2042">
        <f t="shared" si="45"/>
        <v>0</v>
      </c>
      <c r="EU8" s="2042">
        <f t="shared" si="46"/>
        <v>0</v>
      </c>
      <c r="EV8" s="2042">
        <f t="shared" si="47"/>
        <v>0</v>
      </c>
      <c r="EW8" s="2042">
        <f t="shared" si="48"/>
        <v>0</v>
      </c>
      <c r="EX8" s="2042">
        <f t="shared" si="49"/>
        <v>0</v>
      </c>
      <c r="EY8" s="2042">
        <f t="shared" si="50"/>
        <v>0</v>
      </c>
      <c r="EZ8" s="2042">
        <f t="shared" si="51"/>
        <v>0</v>
      </c>
      <c r="FA8" s="2042">
        <f t="shared" si="52"/>
        <v>0</v>
      </c>
      <c r="FB8" s="2042">
        <f t="shared" si="53"/>
        <v>0</v>
      </c>
      <c r="FC8" s="2042">
        <f t="shared" si="54"/>
        <v>0</v>
      </c>
      <c r="FD8" s="2046">
        <f t="shared" si="194"/>
        <v>0</v>
      </c>
      <c r="FE8" s="2042">
        <f t="shared" si="55"/>
        <v>0</v>
      </c>
      <c r="FF8" s="2042">
        <f t="shared" si="56"/>
        <v>0</v>
      </c>
      <c r="FG8" s="2042">
        <f t="shared" si="57"/>
        <v>0</v>
      </c>
      <c r="FH8" s="2042">
        <f t="shared" si="58"/>
        <v>0</v>
      </c>
      <c r="FI8" s="2042">
        <f t="shared" si="59"/>
        <v>0</v>
      </c>
      <c r="FJ8" s="2042">
        <f t="shared" si="195"/>
        <v>0</v>
      </c>
      <c r="FK8" s="2042">
        <f t="shared" si="60"/>
        <v>0</v>
      </c>
      <c r="FL8" s="2042">
        <f t="shared" si="61"/>
        <v>0</v>
      </c>
      <c r="FM8" s="2042">
        <f t="shared" si="62"/>
        <v>0</v>
      </c>
      <c r="FN8" s="2042">
        <f t="shared" si="63"/>
        <v>0</v>
      </c>
      <c r="FO8" s="2042">
        <f t="shared" si="64"/>
        <v>0</v>
      </c>
      <c r="FP8" s="2042">
        <f t="shared" si="65"/>
        <v>0</v>
      </c>
      <c r="FQ8" s="2047">
        <f t="shared" si="196"/>
        <v>0</v>
      </c>
      <c r="FR8" s="2042">
        <f t="shared" si="66"/>
        <v>0</v>
      </c>
      <c r="FS8" s="2042">
        <f t="shared" si="67"/>
        <v>0</v>
      </c>
      <c r="FT8" s="2042">
        <f t="shared" si="68"/>
        <v>0</v>
      </c>
      <c r="FU8" s="2042">
        <f t="shared" si="69"/>
        <v>0</v>
      </c>
      <c r="FV8" s="2042">
        <f t="shared" si="70"/>
        <v>0</v>
      </c>
      <c r="FW8" s="2042">
        <f t="shared" si="71"/>
        <v>0</v>
      </c>
      <c r="FX8" s="2042">
        <f t="shared" si="72"/>
        <v>0</v>
      </c>
      <c r="FY8" s="2042">
        <f t="shared" si="73"/>
        <v>0</v>
      </c>
      <c r="FZ8" s="2042">
        <f t="shared" si="74"/>
        <v>0</v>
      </c>
      <c r="GA8" s="2042">
        <f t="shared" si="75"/>
        <v>0</v>
      </c>
      <c r="GB8" s="2042">
        <f t="shared" si="76"/>
        <v>0</v>
      </c>
      <c r="GC8" s="2042">
        <f t="shared" si="77"/>
        <v>0</v>
      </c>
      <c r="GD8" s="2042">
        <f t="shared" si="78"/>
        <v>0</v>
      </c>
      <c r="GE8" s="2042">
        <f t="shared" si="79"/>
        <v>0</v>
      </c>
      <c r="GF8" s="2042">
        <f t="shared" si="80"/>
        <v>0</v>
      </c>
      <c r="GG8" s="2042">
        <f t="shared" si="81"/>
        <v>0</v>
      </c>
      <c r="GH8" s="2042">
        <f t="shared" si="82"/>
        <v>0</v>
      </c>
      <c r="GI8" s="2042">
        <f t="shared" si="83"/>
        <v>0</v>
      </c>
      <c r="GJ8" s="2042">
        <f t="shared" si="84"/>
        <v>0</v>
      </c>
      <c r="GK8" s="2042">
        <f t="shared" si="85"/>
        <v>0</v>
      </c>
      <c r="GL8" s="2042">
        <f t="shared" si="86"/>
        <v>0</v>
      </c>
      <c r="GM8" s="2042">
        <f t="shared" si="87"/>
        <v>0</v>
      </c>
      <c r="GN8" s="2042">
        <f t="shared" si="88"/>
        <v>0</v>
      </c>
      <c r="GO8" s="2042">
        <f t="shared" si="89"/>
        <v>0</v>
      </c>
      <c r="GP8" s="2047">
        <f t="shared" si="197"/>
        <v>0</v>
      </c>
      <c r="GQ8" s="2042">
        <f t="shared" si="90"/>
        <v>0</v>
      </c>
      <c r="GR8" s="2042">
        <f t="shared" si="91"/>
        <v>0</v>
      </c>
      <c r="GS8" s="2042">
        <f t="shared" si="92"/>
        <v>0</v>
      </c>
      <c r="GT8" s="2042">
        <f t="shared" si="93"/>
        <v>0</v>
      </c>
      <c r="GU8" s="2042">
        <f t="shared" si="94"/>
        <v>0</v>
      </c>
      <c r="GV8" s="2042">
        <f t="shared" si="95"/>
        <v>0</v>
      </c>
      <c r="GW8" s="2042">
        <f t="shared" si="96"/>
        <v>0</v>
      </c>
      <c r="GX8" s="2042">
        <f t="shared" si="97"/>
        <v>0</v>
      </c>
      <c r="GY8" s="2042">
        <f t="shared" si="98"/>
        <v>0</v>
      </c>
      <c r="GZ8" s="2042">
        <f t="shared" si="99"/>
        <v>0</v>
      </c>
      <c r="HA8" s="2042">
        <f t="shared" si="100"/>
        <v>0</v>
      </c>
      <c r="HB8" s="2042">
        <f t="shared" si="101"/>
        <v>0</v>
      </c>
      <c r="HC8" s="2047">
        <f t="shared" si="198"/>
        <v>0</v>
      </c>
      <c r="HD8" s="2042">
        <f t="shared" si="102"/>
        <v>0</v>
      </c>
      <c r="HE8" s="2042">
        <f t="shared" si="103"/>
        <v>0</v>
      </c>
      <c r="HF8" s="2042">
        <f t="shared" si="104"/>
        <v>0</v>
      </c>
      <c r="HG8" s="2042">
        <f t="shared" si="105"/>
        <v>0</v>
      </c>
      <c r="HH8" s="2042">
        <f t="shared" si="106"/>
        <v>0</v>
      </c>
      <c r="HI8" s="2042">
        <f t="shared" si="107"/>
        <v>0</v>
      </c>
      <c r="HJ8" s="2042">
        <f t="shared" si="108"/>
        <v>0</v>
      </c>
      <c r="HK8" s="2042">
        <f t="shared" si="109"/>
        <v>0</v>
      </c>
      <c r="HL8" s="2042">
        <f t="shared" si="110"/>
        <v>0</v>
      </c>
      <c r="HM8" s="2042">
        <f t="shared" si="111"/>
        <v>0</v>
      </c>
      <c r="HN8" s="2042">
        <f t="shared" si="112"/>
        <v>0</v>
      </c>
      <c r="HO8" s="2042">
        <f t="shared" si="113"/>
        <v>0</v>
      </c>
      <c r="HP8" s="2047">
        <f t="shared" si="199"/>
        <v>0</v>
      </c>
      <c r="HQ8" s="2042">
        <f t="shared" si="114"/>
        <v>0</v>
      </c>
      <c r="HR8" s="2042">
        <f t="shared" si="115"/>
        <v>0</v>
      </c>
      <c r="HS8" s="2042">
        <f t="shared" si="116"/>
        <v>0</v>
      </c>
      <c r="HT8" s="2042">
        <f t="shared" si="117"/>
        <v>0</v>
      </c>
      <c r="HU8" s="2042">
        <f t="shared" si="118"/>
        <v>0</v>
      </c>
      <c r="HV8" s="2042">
        <f t="shared" si="119"/>
        <v>0</v>
      </c>
      <c r="HW8" s="2042">
        <f t="shared" si="120"/>
        <v>0</v>
      </c>
      <c r="HX8" s="2042">
        <f t="shared" si="121"/>
        <v>0</v>
      </c>
      <c r="HY8" s="2042">
        <f t="shared" si="122"/>
        <v>0</v>
      </c>
      <c r="HZ8" s="2042">
        <f t="shared" si="123"/>
        <v>0</v>
      </c>
      <c r="IA8" s="2042">
        <f t="shared" si="124"/>
        <v>0</v>
      </c>
      <c r="IB8" s="2042">
        <f t="shared" si="125"/>
        <v>0</v>
      </c>
      <c r="IC8" s="2047">
        <f t="shared" si="200"/>
        <v>0</v>
      </c>
      <c r="IE8" s="2044">
        <f t="shared" si="201"/>
        <v>0</v>
      </c>
      <c r="IF8" s="2025">
        <f t="shared" si="126"/>
        <v>0</v>
      </c>
      <c r="IG8" s="2025">
        <f t="shared" si="127"/>
        <v>0</v>
      </c>
      <c r="IH8" s="2025">
        <f t="shared" si="128"/>
        <v>0</v>
      </c>
      <c r="II8" s="2025">
        <f t="shared" si="129"/>
        <v>0</v>
      </c>
      <c r="IJ8" s="2025">
        <f t="shared" si="130"/>
        <v>0</v>
      </c>
      <c r="IK8" s="2025">
        <f t="shared" si="131"/>
        <v>0</v>
      </c>
      <c r="IL8" s="2025">
        <f t="shared" si="132"/>
        <v>0</v>
      </c>
      <c r="IM8" s="2025">
        <f t="shared" si="133"/>
        <v>0</v>
      </c>
      <c r="IN8" s="2025">
        <f t="shared" si="134"/>
        <v>0</v>
      </c>
      <c r="IO8" s="2025">
        <f t="shared" si="135"/>
        <v>0</v>
      </c>
      <c r="IP8" s="2025">
        <f t="shared" si="136"/>
        <v>0</v>
      </c>
      <c r="IQ8" s="2025">
        <f t="shared" si="137"/>
        <v>0</v>
      </c>
      <c r="IS8" s="2044">
        <f>SUM(IT8:JE8)</f>
        <v>0</v>
      </c>
      <c r="IT8" s="2025">
        <f t="shared" si="138"/>
        <v>0</v>
      </c>
      <c r="IU8" s="2025">
        <f t="shared" si="139"/>
        <v>0</v>
      </c>
      <c r="IV8" s="2025">
        <f t="shared" si="140"/>
        <v>0</v>
      </c>
      <c r="IW8" s="2025">
        <f t="shared" si="141"/>
        <v>0</v>
      </c>
      <c r="IX8" s="2025">
        <f t="shared" si="142"/>
        <v>0</v>
      </c>
      <c r="IY8" s="2025">
        <f t="shared" si="143"/>
        <v>0</v>
      </c>
      <c r="IZ8" s="2025">
        <f t="shared" si="144"/>
        <v>0</v>
      </c>
      <c r="JA8" s="2025">
        <f t="shared" si="145"/>
        <v>0</v>
      </c>
      <c r="JB8" s="2025">
        <f t="shared" si="146"/>
        <v>0</v>
      </c>
      <c r="JC8" s="2025">
        <f t="shared" si="147"/>
        <v>0</v>
      </c>
      <c r="JD8" s="2025">
        <f t="shared" si="148"/>
        <v>0</v>
      </c>
      <c r="JE8" s="2025">
        <f t="shared" si="149"/>
        <v>0</v>
      </c>
    </row>
    <row r="9" spans="1:265" ht="18" customHeight="1">
      <c r="A9" s="1319"/>
      <c r="B9" s="2023">
        <v>5</v>
      </c>
      <c r="C9" s="1105"/>
      <c r="D9" s="2130"/>
      <c r="E9" s="739"/>
      <c r="F9" s="1544"/>
      <c r="G9" s="1320"/>
      <c r="H9" s="1321">
        <f t="shared" si="0"/>
        <v>0</v>
      </c>
      <c r="I9" s="1321">
        <f t="shared" si="150"/>
        <v>0</v>
      </c>
      <c r="J9" s="1321">
        <f t="shared" si="1"/>
        <v>0</v>
      </c>
      <c r="K9" s="1321">
        <f t="shared" si="2"/>
        <v>0</v>
      </c>
      <c r="L9" s="1322">
        <f>Summen_GL!F76</f>
        <v>0</v>
      </c>
      <c r="M9" s="1323">
        <f t="shared" si="151"/>
        <v>0</v>
      </c>
      <c r="N9" s="2024"/>
      <c r="O9" s="1321">
        <f t="shared" si="205"/>
        <v>0</v>
      </c>
      <c r="P9" s="1321">
        <f t="shared" si="3"/>
        <v>0</v>
      </c>
      <c r="Q9" s="2024"/>
      <c r="R9" s="1470"/>
      <c r="S9" s="1471"/>
      <c r="T9" s="1470"/>
      <c r="U9" s="1471"/>
      <c r="V9" s="1470"/>
      <c r="W9" s="1471"/>
      <c r="X9" s="1470"/>
      <c r="Y9" s="1471"/>
      <c r="Z9" s="1470"/>
      <c r="AA9" s="1471"/>
      <c r="AB9" s="1470"/>
      <c r="AC9" s="1551"/>
      <c r="AD9" s="844"/>
      <c r="AE9" s="1561">
        <f>'meine Dünger'!C9</f>
        <v>0</v>
      </c>
      <c r="AF9" s="1562">
        <f>'meine Dünger'!AL9</f>
        <v>0</v>
      </c>
      <c r="AG9" s="844"/>
      <c r="AH9" s="1563" t="s">
        <v>1267</v>
      </c>
      <c r="AI9" s="2132" t="s">
        <v>851</v>
      </c>
      <c r="AJ9" s="1319"/>
      <c r="AK9" s="1593">
        <f t="shared" si="152"/>
        <v>0</v>
      </c>
      <c r="AL9" s="1594">
        <f t="shared" si="153"/>
        <v>0</v>
      </c>
      <c r="AM9" s="1319"/>
      <c r="AN9" s="1319"/>
      <c r="AP9" s="1860">
        <f t="shared" si="154"/>
        <v>0</v>
      </c>
      <c r="AQ9" s="1860">
        <f t="shared" si="155"/>
        <v>0</v>
      </c>
      <c r="AR9" s="1860">
        <f t="shared" si="156"/>
        <v>0</v>
      </c>
      <c r="AS9" s="1860">
        <f t="shared" si="157"/>
        <v>0</v>
      </c>
      <c r="AT9" s="1860">
        <f t="shared" si="158"/>
        <v>0</v>
      </c>
      <c r="AU9" s="1860">
        <f t="shared" si="159"/>
        <v>0</v>
      </c>
      <c r="AV9" s="1860">
        <f t="shared" si="160"/>
        <v>0</v>
      </c>
      <c r="AW9" s="1860">
        <f t="shared" si="161"/>
        <v>0</v>
      </c>
      <c r="AX9" s="1860">
        <f t="shared" si="162"/>
        <v>0</v>
      </c>
      <c r="AY9" s="1860">
        <f t="shared" si="163"/>
        <v>0</v>
      </c>
      <c r="AZ9" s="1860">
        <f t="shared" si="164"/>
        <v>0</v>
      </c>
      <c r="BA9" s="2026">
        <f t="shared" si="165"/>
        <v>0</v>
      </c>
      <c r="BB9" s="2026">
        <f t="shared" si="166"/>
        <v>0</v>
      </c>
      <c r="BC9" s="2026">
        <f t="shared" si="167"/>
        <v>0</v>
      </c>
      <c r="BD9" s="2026">
        <f t="shared" si="168"/>
        <v>0</v>
      </c>
      <c r="BE9" s="2026">
        <f t="shared" si="169"/>
        <v>0</v>
      </c>
      <c r="BF9" s="2026">
        <f t="shared" si="170"/>
        <v>0</v>
      </c>
      <c r="BG9" s="2026">
        <f t="shared" si="171"/>
        <v>0</v>
      </c>
      <c r="BH9" s="2026">
        <f t="shared" si="172"/>
        <v>0</v>
      </c>
      <c r="BI9" s="2026">
        <f t="shared" si="173"/>
        <v>0</v>
      </c>
      <c r="BJ9" s="2026">
        <f t="shared" si="174"/>
        <v>0</v>
      </c>
      <c r="BK9" s="2027"/>
      <c r="BL9" s="2026">
        <f t="shared" si="175"/>
        <v>0</v>
      </c>
      <c r="BM9" s="2026">
        <f t="shared" si="176"/>
        <v>0</v>
      </c>
      <c r="BN9" s="2026">
        <f t="shared" si="4"/>
        <v>0</v>
      </c>
      <c r="BO9" s="2026">
        <f t="shared" si="5"/>
        <v>0</v>
      </c>
      <c r="BP9" s="2026">
        <f t="shared" si="6"/>
        <v>0</v>
      </c>
      <c r="BQ9" s="2026">
        <f t="shared" si="7"/>
        <v>0</v>
      </c>
      <c r="BR9" s="2026">
        <f t="shared" si="8"/>
        <v>0</v>
      </c>
      <c r="BS9" s="2026">
        <f t="shared" si="177"/>
        <v>0</v>
      </c>
      <c r="BT9" s="2026">
        <f t="shared" si="9"/>
        <v>0</v>
      </c>
      <c r="BU9" s="2026">
        <f t="shared" si="10"/>
        <v>0</v>
      </c>
      <c r="BV9" s="2028"/>
      <c r="BW9" s="2029">
        <f t="shared" si="11"/>
        <v>0</v>
      </c>
      <c r="BX9" s="2029">
        <f t="shared" si="178"/>
        <v>0</v>
      </c>
      <c r="BY9" s="2029">
        <f t="shared" si="179"/>
        <v>0</v>
      </c>
      <c r="CA9" s="2030">
        <f t="shared" si="12"/>
        <v>0</v>
      </c>
      <c r="CB9" s="2030">
        <f t="shared" si="13"/>
        <v>0</v>
      </c>
      <c r="CC9" s="2030">
        <f t="shared" si="14"/>
        <v>0</v>
      </c>
      <c r="CD9" s="2031">
        <f t="shared" si="15"/>
        <v>0</v>
      </c>
      <c r="CE9" s="2031">
        <f t="shared" si="16"/>
        <v>0</v>
      </c>
      <c r="CF9" s="2031">
        <f t="shared" si="180"/>
        <v>0</v>
      </c>
      <c r="CG9" s="2030">
        <f t="shared" si="17"/>
        <v>0</v>
      </c>
      <c r="CH9" s="2032">
        <f t="shared" si="18"/>
        <v>0</v>
      </c>
      <c r="CI9" s="2032">
        <f t="shared" si="19"/>
        <v>0</v>
      </c>
      <c r="CJ9" s="2032">
        <f t="shared" si="181"/>
        <v>0</v>
      </c>
      <c r="CK9" s="2030">
        <f t="shared" si="20"/>
        <v>0</v>
      </c>
      <c r="CL9" s="2033">
        <f t="shared" si="21"/>
        <v>0</v>
      </c>
      <c r="CM9" s="2032">
        <f t="shared" si="22"/>
        <v>0</v>
      </c>
      <c r="CN9" s="2033">
        <f t="shared" si="23"/>
        <v>0</v>
      </c>
      <c r="CO9" s="2033">
        <f t="shared" si="182"/>
        <v>0</v>
      </c>
      <c r="CP9" s="2030">
        <f t="shared" si="24"/>
        <v>0</v>
      </c>
      <c r="CQ9" s="2030">
        <f t="shared" si="25"/>
        <v>0</v>
      </c>
      <c r="CR9" s="2030">
        <f t="shared" si="26"/>
        <v>0</v>
      </c>
      <c r="CS9" s="2030">
        <f t="shared" si="27"/>
        <v>0</v>
      </c>
      <c r="CT9" s="2035">
        <f t="shared" si="28"/>
        <v>0</v>
      </c>
      <c r="CU9" s="2036">
        <f t="shared" si="183"/>
        <v>0</v>
      </c>
      <c r="CV9" s="2036">
        <f t="shared" si="184"/>
        <v>0</v>
      </c>
      <c r="CW9" s="2036">
        <f t="shared" si="185"/>
        <v>0</v>
      </c>
      <c r="CY9" s="2055" t="s">
        <v>844</v>
      </c>
      <c r="CZ9" s="2052">
        <v>6000</v>
      </c>
      <c r="DA9" s="2052">
        <v>7000</v>
      </c>
      <c r="DB9" s="2056">
        <v>9000</v>
      </c>
      <c r="DC9" s="10"/>
      <c r="DE9" s="2055" t="s">
        <v>844</v>
      </c>
      <c r="DF9" s="2052">
        <v>7000</v>
      </c>
      <c r="DG9" s="2052">
        <v>7000</v>
      </c>
      <c r="DH9" s="2052">
        <v>7000</v>
      </c>
      <c r="DL9" s="10">
        <f t="shared" si="186"/>
        <v>0</v>
      </c>
      <c r="DM9" s="10">
        <f t="shared" si="29"/>
        <v>0</v>
      </c>
      <c r="DN9" s="2027" t="e">
        <f>DL9/Betrieb!$E$23</f>
        <v>#DIV/0!</v>
      </c>
      <c r="DO9" s="2027" t="e">
        <f>DM9/Betrieb!$E$24</f>
        <v>#DIV/0!</v>
      </c>
      <c r="DP9" s="2041">
        <f>(Betrieb!$E$21*Betrieb!$H$21)+(Betrieb!$E$23*Betrieb!$H$23)</f>
        <v>0</v>
      </c>
      <c r="DQ9" s="2025">
        <f>(Betrieb!$E$22*Betrieb!$H$22)+(Betrieb!$E$24*Betrieb!$H$24)</f>
        <v>0</v>
      </c>
      <c r="DR9" s="2041">
        <f t="shared" si="187"/>
        <v>0</v>
      </c>
      <c r="DS9" s="2025">
        <f t="shared" si="188"/>
        <v>0</v>
      </c>
      <c r="DT9" s="2042">
        <f t="shared" si="189"/>
        <v>0</v>
      </c>
      <c r="DU9" s="2043">
        <f t="shared" si="203"/>
        <v>0</v>
      </c>
      <c r="DV9" s="2043">
        <f t="shared" si="190"/>
        <v>0</v>
      </c>
      <c r="DW9" s="2043">
        <f t="shared" si="204"/>
        <v>0</v>
      </c>
      <c r="DZ9" s="2044">
        <f t="shared" si="191"/>
        <v>0</v>
      </c>
      <c r="EA9" s="1874">
        <f t="shared" si="30"/>
        <v>0</v>
      </c>
      <c r="EB9" s="1874">
        <f t="shared" si="31"/>
        <v>0</v>
      </c>
      <c r="EC9" s="1874">
        <f t="shared" si="32"/>
        <v>0</v>
      </c>
      <c r="ED9" s="1874">
        <f t="shared" si="33"/>
        <v>0</v>
      </c>
      <c r="EE9" s="1874">
        <f t="shared" si="34"/>
        <v>0</v>
      </c>
      <c r="EF9" s="1874">
        <f t="shared" si="35"/>
        <v>0</v>
      </c>
      <c r="EH9" s="2044">
        <f t="shared" si="192"/>
        <v>0</v>
      </c>
      <c r="EI9" s="2025">
        <f t="shared" si="36"/>
        <v>0</v>
      </c>
      <c r="EJ9" s="2025">
        <f t="shared" si="37"/>
        <v>0</v>
      </c>
      <c r="EK9" s="2025">
        <f t="shared" si="38"/>
        <v>0</v>
      </c>
      <c r="EL9" s="2025">
        <f t="shared" si="39"/>
        <v>0</v>
      </c>
      <c r="EM9" s="2025">
        <f t="shared" si="40"/>
        <v>0</v>
      </c>
      <c r="EN9" s="2025">
        <f t="shared" si="41"/>
        <v>0</v>
      </c>
      <c r="EP9" s="2045">
        <f t="shared" si="42"/>
        <v>0</v>
      </c>
      <c r="EQ9" s="2042">
        <f t="shared" si="193"/>
        <v>0</v>
      </c>
      <c r="ER9" s="2042">
        <f t="shared" si="43"/>
        <v>0</v>
      </c>
      <c r="ES9" s="2042">
        <f t="shared" si="44"/>
        <v>0</v>
      </c>
      <c r="ET9" s="2042">
        <f t="shared" si="45"/>
        <v>0</v>
      </c>
      <c r="EU9" s="2042">
        <f t="shared" si="46"/>
        <v>0</v>
      </c>
      <c r="EV9" s="2042">
        <f t="shared" si="47"/>
        <v>0</v>
      </c>
      <c r="EW9" s="2042">
        <f t="shared" si="48"/>
        <v>0</v>
      </c>
      <c r="EX9" s="2042">
        <f t="shared" si="49"/>
        <v>0</v>
      </c>
      <c r="EY9" s="2042">
        <f t="shared" si="50"/>
        <v>0</v>
      </c>
      <c r="EZ9" s="2042">
        <f t="shared" si="51"/>
        <v>0</v>
      </c>
      <c r="FA9" s="2042">
        <f t="shared" si="52"/>
        <v>0</v>
      </c>
      <c r="FB9" s="2042">
        <f t="shared" si="53"/>
        <v>0</v>
      </c>
      <c r="FC9" s="2042">
        <f t="shared" si="54"/>
        <v>0</v>
      </c>
      <c r="FD9" s="2046">
        <f t="shared" si="194"/>
        <v>0</v>
      </c>
      <c r="FE9" s="2042">
        <f t="shared" si="55"/>
        <v>0</v>
      </c>
      <c r="FF9" s="2042">
        <f t="shared" si="56"/>
        <v>0</v>
      </c>
      <c r="FG9" s="2042">
        <f t="shared" si="57"/>
        <v>0</v>
      </c>
      <c r="FH9" s="2042">
        <f t="shared" si="58"/>
        <v>0</v>
      </c>
      <c r="FI9" s="2042">
        <f t="shared" si="59"/>
        <v>0</v>
      </c>
      <c r="FJ9" s="2042">
        <f t="shared" si="195"/>
        <v>0</v>
      </c>
      <c r="FK9" s="2042">
        <f t="shared" si="60"/>
        <v>0</v>
      </c>
      <c r="FL9" s="2042">
        <f t="shared" si="61"/>
        <v>0</v>
      </c>
      <c r="FM9" s="2042">
        <f t="shared" si="62"/>
        <v>0</v>
      </c>
      <c r="FN9" s="2042">
        <f t="shared" si="63"/>
        <v>0</v>
      </c>
      <c r="FO9" s="2042">
        <f t="shared" si="64"/>
        <v>0</v>
      </c>
      <c r="FP9" s="2042">
        <f t="shared" si="65"/>
        <v>0</v>
      </c>
      <c r="FQ9" s="2047">
        <f t="shared" si="196"/>
        <v>0</v>
      </c>
      <c r="FR9" s="2042">
        <f t="shared" si="66"/>
        <v>0</v>
      </c>
      <c r="FS9" s="2042">
        <f t="shared" si="67"/>
        <v>0</v>
      </c>
      <c r="FT9" s="2042">
        <f t="shared" si="68"/>
        <v>0</v>
      </c>
      <c r="FU9" s="2042">
        <f t="shared" si="69"/>
        <v>0</v>
      </c>
      <c r="FV9" s="2042">
        <f t="shared" si="70"/>
        <v>0</v>
      </c>
      <c r="FW9" s="2042">
        <f t="shared" si="71"/>
        <v>0</v>
      </c>
      <c r="FX9" s="2042">
        <f t="shared" si="72"/>
        <v>0</v>
      </c>
      <c r="FY9" s="2042">
        <f t="shared" si="73"/>
        <v>0</v>
      </c>
      <c r="FZ9" s="2042">
        <f t="shared" si="74"/>
        <v>0</v>
      </c>
      <c r="GA9" s="2042">
        <f t="shared" si="75"/>
        <v>0</v>
      </c>
      <c r="GB9" s="2042">
        <f t="shared" si="76"/>
        <v>0</v>
      </c>
      <c r="GC9" s="2042">
        <f t="shared" si="77"/>
        <v>0</v>
      </c>
      <c r="GD9" s="2042">
        <f t="shared" si="78"/>
        <v>0</v>
      </c>
      <c r="GE9" s="2042">
        <f t="shared" si="79"/>
        <v>0</v>
      </c>
      <c r="GF9" s="2042">
        <f t="shared" si="80"/>
        <v>0</v>
      </c>
      <c r="GG9" s="2042">
        <f t="shared" si="81"/>
        <v>0</v>
      </c>
      <c r="GH9" s="2042">
        <f t="shared" si="82"/>
        <v>0</v>
      </c>
      <c r="GI9" s="2042">
        <f t="shared" si="83"/>
        <v>0</v>
      </c>
      <c r="GJ9" s="2042">
        <f t="shared" si="84"/>
        <v>0</v>
      </c>
      <c r="GK9" s="2042">
        <f t="shared" si="85"/>
        <v>0</v>
      </c>
      <c r="GL9" s="2042">
        <f t="shared" si="86"/>
        <v>0</v>
      </c>
      <c r="GM9" s="2042">
        <f t="shared" si="87"/>
        <v>0</v>
      </c>
      <c r="GN9" s="2042">
        <f t="shared" si="88"/>
        <v>0</v>
      </c>
      <c r="GO9" s="2042">
        <f t="shared" si="89"/>
        <v>0</v>
      </c>
      <c r="GP9" s="2047">
        <f t="shared" si="197"/>
        <v>0</v>
      </c>
      <c r="GQ9" s="2042">
        <f t="shared" si="90"/>
        <v>0</v>
      </c>
      <c r="GR9" s="2042">
        <f t="shared" si="91"/>
        <v>0</v>
      </c>
      <c r="GS9" s="2042">
        <f t="shared" si="92"/>
        <v>0</v>
      </c>
      <c r="GT9" s="2042">
        <f t="shared" si="93"/>
        <v>0</v>
      </c>
      <c r="GU9" s="2042">
        <f t="shared" si="94"/>
        <v>0</v>
      </c>
      <c r="GV9" s="2042">
        <f t="shared" si="95"/>
        <v>0</v>
      </c>
      <c r="GW9" s="2042">
        <f t="shared" si="96"/>
        <v>0</v>
      </c>
      <c r="GX9" s="2042">
        <f t="shared" si="97"/>
        <v>0</v>
      </c>
      <c r="GY9" s="2042">
        <f t="shared" si="98"/>
        <v>0</v>
      </c>
      <c r="GZ9" s="2042">
        <f t="shared" si="99"/>
        <v>0</v>
      </c>
      <c r="HA9" s="2042">
        <f t="shared" si="100"/>
        <v>0</v>
      </c>
      <c r="HB9" s="2042">
        <f t="shared" si="101"/>
        <v>0</v>
      </c>
      <c r="HC9" s="2047">
        <f t="shared" si="198"/>
        <v>0</v>
      </c>
      <c r="HD9" s="2042">
        <f t="shared" si="102"/>
        <v>0</v>
      </c>
      <c r="HE9" s="2042">
        <f t="shared" si="103"/>
        <v>0</v>
      </c>
      <c r="HF9" s="2042">
        <f t="shared" si="104"/>
        <v>0</v>
      </c>
      <c r="HG9" s="2042">
        <f t="shared" si="105"/>
        <v>0</v>
      </c>
      <c r="HH9" s="2042">
        <f t="shared" si="106"/>
        <v>0</v>
      </c>
      <c r="HI9" s="2042">
        <f t="shared" si="107"/>
        <v>0</v>
      </c>
      <c r="HJ9" s="2042">
        <f t="shared" si="108"/>
        <v>0</v>
      </c>
      <c r="HK9" s="2042">
        <f t="shared" si="109"/>
        <v>0</v>
      </c>
      <c r="HL9" s="2042">
        <f t="shared" si="110"/>
        <v>0</v>
      </c>
      <c r="HM9" s="2042">
        <f t="shared" si="111"/>
        <v>0</v>
      </c>
      <c r="HN9" s="2042">
        <f t="shared" si="112"/>
        <v>0</v>
      </c>
      <c r="HO9" s="2042">
        <f t="shared" si="113"/>
        <v>0</v>
      </c>
      <c r="HP9" s="2047">
        <f t="shared" si="199"/>
        <v>0</v>
      </c>
      <c r="HQ9" s="2042">
        <f t="shared" si="114"/>
        <v>0</v>
      </c>
      <c r="HR9" s="2042">
        <f t="shared" si="115"/>
        <v>0</v>
      </c>
      <c r="HS9" s="2042">
        <f t="shared" si="116"/>
        <v>0</v>
      </c>
      <c r="HT9" s="2042">
        <f t="shared" si="117"/>
        <v>0</v>
      </c>
      <c r="HU9" s="2042">
        <f t="shared" si="118"/>
        <v>0</v>
      </c>
      <c r="HV9" s="2042">
        <f t="shared" si="119"/>
        <v>0</v>
      </c>
      <c r="HW9" s="2042">
        <f t="shared" si="120"/>
        <v>0</v>
      </c>
      <c r="HX9" s="2042">
        <f t="shared" si="121"/>
        <v>0</v>
      </c>
      <c r="HY9" s="2042">
        <f t="shared" si="122"/>
        <v>0</v>
      </c>
      <c r="HZ9" s="2042">
        <f t="shared" si="123"/>
        <v>0</v>
      </c>
      <c r="IA9" s="2042">
        <f t="shared" si="124"/>
        <v>0</v>
      </c>
      <c r="IB9" s="2042">
        <f t="shared" si="125"/>
        <v>0</v>
      </c>
      <c r="IC9" s="2047">
        <f t="shared" si="200"/>
        <v>0</v>
      </c>
      <c r="IE9" s="2044">
        <f t="shared" si="201"/>
        <v>0</v>
      </c>
      <c r="IF9" s="2025">
        <f t="shared" si="126"/>
        <v>0</v>
      </c>
      <c r="IG9" s="2025">
        <f t="shared" si="127"/>
        <v>0</v>
      </c>
      <c r="IH9" s="2025">
        <f t="shared" si="128"/>
        <v>0</v>
      </c>
      <c r="II9" s="2025">
        <f t="shared" si="129"/>
        <v>0</v>
      </c>
      <c r="IJ9" s="2025">
        <f t="shared" si="130"/>
        <v>0</v>
      </c>
      <c r="IK9" s="2025">
        <f t="shared" si="131"/>
        <v>0</v>
      </c>
      <c r="IL9" s="2025">
        <f t="shared" si="132"/>
        <v>0</v>
      </c>
      <c r="IM9" s="2025">
        <f t="shared" si="133"/>
        <v>0</v>
      </c>
      <c r="IN9" s="2025">
        <f t="shared" si="134"/>
        <v>0</v>
      </c>
      <c r="IO9" s="2025">
        <f t="shared" si="135"/>
        <v>0</v>
      </c>
      <c r="IP9" s="2025">
        <f t="shared" si="136"/>
        <v>0</v>
      </c>
      <c r="IQ9" s="2025">
        <f t="shared" si="137"/>
        <v>0</v>
      </c>
      <c r="IS9" s="2044">
        <f t="shared" si="202"/>
        <v>0</v>
      </c>
      <c r="IT9" s="2025">
        <f t="shared" si="138"/>
        <v>0</v>
      </c>
      <c r="IU9" s="2025">
        <f t="shared" si="139"/>
        <v>0</v>
      </c>
      <c r="IV9" s="2025">
        <f t="shared" si="140"/>
        <v>0</v>
      </c>
      <c r="IW9" s="2025">
        <f t="shared" si="141"/>
        <v>0</v>
      </c>
      <c r="IX9" s="2025">
        <f t="shared" si="142"/>
        <v>0</v>
      </c>
      <c r="IY9" s="2025">
        <f t="shared" si="143"/>
        <v>0</v>
      </c>
      <c r="IZ9" s="2025">
        <f t="shared" si="144"/>
        <v>0</v>
      </c>
      <c r="JA9" s="2025">
        <f t="shared" si="145"/>
        <v>0</v>
      </c>
      <c r="JB9" s="2025">
        <f t="shared" si="146"/>
        <v>0</v>
      </c>
      <c r="JC9" s="2025">
        <f t="shared" si="147"/>
        <v>0</v>
      </c>
      <c r="JD9" s="2025">
        <f t="shared" si="148"/>
        <v>0</v>
      </c>
      <c r="JE9" s="2025">
        <f t="shared" si="149"/>
        <v>0</v>
      </c>
    </row>
    <row r="10" spans="1:265" ht="18" customHeight="1">
      <c r="A10" s="1319"/>
      <c r="B10" s="2023">
        <v>6</v>
      </c>
      <c r="C10" s="1105"/>
      <c r="D10" s="2130"/>
      <c r="E10" s="739"/>
      <c r="F10" s="1544"/>
      <c r="G10" s="1320"/>
      <c r="H10" s="1321">
        <f t="shared" si="0"/>
        <v>0</v>
      </c>
      <c r="I10" s="1321">
        <f t="shared" si="150"/>
        <v>0</v>
      </c>
      <c r="J10" s="1321">
        <f t="shared" si="1"/>
        <v>0</v>
      </c>
      <c r="K10" s="1321">
        <f t="shared" si="2"/>
        <v>0</v>
      </c>
      <c r="L10" s="1322">
        <f>Summen_GL!F77</f>
        <v>0</v>
      </c>
      <c r="M10" s="1323">
        <f t="shared" si="151"/>
        <v>0</v>
      </c>
      <c r="N10" s="2024"/>
      <c r="O10" s="1321">
        <f t="shared" si="205"/>
        <v>0</v>
      </c>
      <c r="P10" s="1321">
        <f t="shared" si="3"/>
        <v>0</v>
      </c>
      <c r="Q10" s="2024"/>
      <c r="R10" s="1470"/>
      <c r="S10" s="1471"/>
      <c r="T10" s="1470"/>
      <c r="U10" s="1471"/>
      <c r="V10" s="1470"/>
      <c r="W10" s="1471"/>
      <c r="X10" s="1470"/>
      <c r="Y10" s="1471"/>
      <c r="Z10" s="1470"/>
      <c r="AA10" s="1471"/>
      <c r="AB10" s="1470"/>
      <c r="AC10" s="1551"/>
      <c r="AD10" s="844"/>
      <c r="AE10" s="1561">
        <f>'meine Dünger'!C10</f>
        <v>0</v>
      </c>
      <c r="AF10" s="1562">
        <f>'meine Dünger'!AL10</f>
        <v>0</v>
      </c>
      <c r="AG10" s="844"/>
      <c r="AH10" s="1563" t="s">
        <v>1267</v>
      </c>
      <c r="AI10" s="2132" t="s">
        <v>853</v>
      </c>
      <c r="AJ10" s="1319"/>
      <c r="AK10" s="1593">
        <f t="shared" si="152"/>
        <v>0</v>
      </c>
      <c r="AL10" s="1594">
        <f t="shared" si="153"/>
        <v>0</v>
      </c>
      <c r="AM10" s="1319"/>
      <c r="AN10" s="1319"/>
      <c r="AP10" s="1860">
        <f t="shared" si="154"/>
        <v>0</v>
      </c>
      <c r="AQ10" s="1860">
        <f t="shared" si="155"/>
        <v>0</v>
      </c>
      <c r="AR10" s="1860">
        <f t="shared" si="156"/>
        <v>0</v>
      </c>
      <c r="AS10" s="1860">
        <f t="shared" si="157"/>
        <v>0</v>
      </c>
      <c r="AT10" s="1860">
        <f t="shared" si="158"/>
        <v>0</v>
      </c>
      <c r="AU10" s="1860">
        <f t="shared" si="159"/>
        <v>0</v>
      </c>
      <c r="AV10" s="1860">
        <f t="shared" si="160"/>
        <v>0</v>
      </c>
      <c r="AW10" s="1860">
        <f t="shared" si="161"/>
        <v>0</v>
      </c>
      <c r="AX10" s="1860">
        <f t="shared" si="162"/>
        <v>0</v>
      </c>
      <c r="AY10" s="1860">
        <f t="shared" si="163"/>
        <v>0</v>
      </c>
      <c r="AZ10" s="1860">
        <f t="shared" si="164"/>
        <v>0</v>
      </c>
      <c r="BA10" s="2026">
        <f t="shared" si="165"/>
        <v>0</v>
      </c>
      <c r="BB10" s="2026">
        <f t="shared" si="166"/>
        <v>0</v>
      </c>
      <c r="BC10" s="2026">
        <f t="shared" si="167"/>
        <v>0</v>
      </c>
      <c r="BD10" s="2026">
        <f t="shared" si="168"/>
        <v>0</v>
      </c>
      <c r="BE10" s="2026">
        <f t="shared" si="169"/>
        <v>0</v>
      </c>
      <c r="BF10" s="2026">
        <f t="shared" si="170"/>
        <v>0</v>
      </c>
      <c r="BG10" s="2026">
        <f t="shared" si="171"/>
        <v>0</v>
      </c>
      <c r="BH10" s="2026">
        <f t="shared" si="172"/>
        <v>0</v>
      </c>
      <c r="BI10" s="2026">
        <f t="shared" si="173"/>
        <v>0</v>
      </c>
      <c r="BJ10" s="2026">
        <f t="shared" si="174"/>
        <v>0</v>
      </c>
      <c r="BK10" s="2027"/>
      <c r="BL10" s="2026">
        <f t="shared" si="175"/>
        <v>0</v>
      </c>
      <c r="BM10" s="2026">
        <f t="shared" si="176"/>
        <v>0</v>
      </c>
      <c r="BN10" s="2026">
        <f t="shared" si="4"/>
        <v>0</v>
      </c>
      <c r="BO10" s="2026">
        <f t="shared" si="5"/>
        <v>0</v>
      </c>
      <c r="BP10" s="2026">
        <f t="shared" si="6"/>
        <v>0</v>
      </c>
      <c r="BQ10" s="2026">
        <f t="shared" si="7"/>
        <v>0</v>
      </c>
      <c r="BR10" s="2026">
        <f t="shared" si="8"/>
        <v>0</v>
      </c>
      <c r="BS10" s="2026">
        <f t="shared" si="177"/>
        <v>0</v>
      </c>
      <c r="BT10" s="2026">
        <f t="shared" si="9"/>
        <v>0</v>
      </c>
      <c r="BU10" s="2026">
        <f t="shared" si="10"/>
        <v>0</v>
      </c>
      <c r="BV10" s="2028"/>
      <c r="BW10" s="2029">
        <f t="shared" si="11"/>
        <v>0</v>
      </c>
      <c r="BX10" s="2029">
        <f t="shared" si="178"/>
        <v>0</v>
      </c>
      <c r="BY10" s="2029">
        <f>CU10+CV10+CW10+CP10+CQ10+CR10+CS10</f>
        <v>0</v>
      </c>
      <c r="CA10" s="2030">
        <f t="shared" si="12"/>
        <v>0</v>
      </c>
      <c r="CB10" s="2030">
        <f t="shared" si="13"/>
        <v>0</v>
      </c>
      <c r="CC10" s="2030">
        <f t="shared" si="14"/>
        <v>0</v>
      </c>
      <c r="CD10" s="2031">
        <f t="shared" si="15"/>
        <v>0</v>
      </c>
      <c r="CE10" s="2031">
        <f t="shared" si="16"/>
        <v>0</v>
      </c>
      <c r="CF10" s="2031">
        <f t="shared" si="180"/>
        <v>0</v>
      </c>
      <c r="CG10" s="2030">
        <f t="shared" si="17"/>
        <v>0</v>
      </c>
      <c r="CH10" s="2032">
        <f t="shared" si="18"/>
        <v>0</v>
      </c>
      <c r="CI10" s="2032">
        <f t="shared" si="19"/>
        <v>0</v>
      </c>
      <c r="CJ10" s="2032">
        <f t="shared" si="181"/>
        <v>0</v>
      </c>
      <c r="CK10" s="2030">
        <f t="shared" si="20"/>
        <v>0</v>
      </c>
      <c r="CL10" s="2033">
        <f t="shared" si="21"/>
        <v>0</v>
      </c>
      <c r="CM10" s="2032">
        <f t="shared" si="22"/>
        <v>0</v>
      </c>
      <c r="CN10" s="2033">
        <f t="shared" si="23"/>
        <v>0</v>
      </c>
      <c r="CO10" s="2033">
        <f t="shared" si="182"/>
        <v>0</v>
      </c>
      <c r="CP10" s="2030">
        <f t="shared" si="24"/>
        <v>0</v>
      </c>
      <c r="CQ10" s="2030">
        <f t="shared" si="25"/>
        <v>0</v>
      </c>
      <c r="CR10" s="2030">
        <f t="shared" si="26"/>
        <v>0</v>
      </c>
      <c r="CS10" s="2030">
        <f t="shared" si="27"/>
        <v>0</v>
      </c>
      <c r="CT10" s="2035">
        <f t="shared" si="28"/>
        <v>0</v>
      </c>
      <c r="CU10" s="2036">
        <f>IF(CF10=0,CC10,0)</f>
        <v>0</v>
      </c>
      <c r="CV10" s="2036">
        <f>IF(CJ10=0,CG10,0)</f>
        <v>0</v>
      </c>
      <c r="CW10" s="2036">
        <f t="shared" si="185"/>
        <v>0</v>
      </c>
      <c r="CY10" s="2055" t="s">
        <v>845</v>
      </c>
      <c r="CZ10" s="2052">
        <v>6000</v>
      </c>
      <c r="DA10" s="2052">
        <v>7000</v>
      </c>
      <c r="DB10" s="2056">
        <v>9000</v>
      </c>
      <c r="DC10" s="10"/>
      <c r="DE10" s="2055" t="s">
        <v>845</v>
      </c>
      <c r="DF10" s="2052">
        <v>7000</v>
      </c>
      <c r="DG10" s="2052">
        <v>7000</v>
      </c>
      <c r="DH10" s="2052">
        <v>7000</v>
      </c>
      <c r="DL10" s="10">
        <f t="shared" si="186"/>
        <v>0</v>
      </c>
      <c r="DM10" s="10">
        <f t="shared" si="29"/>
        <v>0</v>
      </c>
      <c r="DN10" s="2027" t="e">
        <f>DL10/Betrieb!$E$23</f>
        <v>#DIV/0!</v>
      </c>
      <c r="DO10" s="2027" t="e">
        <f>DM10/Betrieb!$E$24</f>
        <v>#DIV/0!</v>
      </c>
      <c r="DP10" s="2041">
        <f>(Betrieb!$E$21*Betrieb!$H$21)+(Betrieb!$E$23*Betrieb!$H$23)</f>
        <v>0</v>
      </c>
      <c r="DQ10" s="2025">
        <f>(Betrieb!$E$22*Betrieb!$H$22)+(Betrieb!$E$24*Betrieb!$H$24)</f>
        <v>0</v>
      </c>
      <c r="DR10" s="2041">
        <f t="shared" si="187"/>
        <v>0</v>
      </c>
      <c r="DS10" s="2025">
        <f t="shared" si="188"/>
        <v>0</v>
      </c>
      <c r="DT10" s="2042">
        <f t="shared" si="189"/>
        <v>0</v>
      </c>
      <c r="DU10" s="2043">
        <f t="shared" si="203"/>
        <v>0</v>
      </c>
      <c r="DV10" s="2043">
        <f t="shared" si="190"/>
        <v>0</v>
      </c>
      <c r="DW10" s="2043">
        <f t="shared" si="204"/>
        <v>0</v>
      </c>
      <c r="DZ10" s="2044">
        <f t="shared" si="191"/>
        <v>0</v>
      </c>
      <c r="EA10" s="1874">
        <f t="shared" si="30"/>
        <v>0</v>
      </c>
      <c r="EB10" s="1874">
        <f t="shared" si="31"/>
        <v>0</v>
      </c>
      <c r="EC10" s="1874">
        <f t="shared" si="32"/>
        <v>0</v>
      </c>
      <c r="ED10" s="1874">
        <f t="shared" si="33"/>
        <v>0</v>
      </c>
      <c r="EE10" s="1874">
        <f t="shared" si="34"/>
        <v>0</v>
      </c>
      <c r="EF10" s="1874">
        <f t="shared" si="35"/>
        <v>0</v>
      </c>
      <c r="EH10" s="2044">
        <f t="shared" si="192"/>
        <v>0</v>
      </c>
      <c r="EI10" s="2025">
        <f t="shared" si="36"/>
        <v>0</v>
      </c>
      <c r="EJ10" s="2025">
        <f t="shared" si="37"/>
        <v>0</v>
      </c>
      <c r="EK10" s="2025">
        <f t="shared" si="38"/>
        <v>0</v>
      </c>
      <c r="EL10" s="2025">
        <f t="shared" si="39"/>
        <v>0</v>
      </c>
      <c r="EM10" s="2025">
        <f t="shared" si="40"/>
        <v>0</v>
      </c>
      <c r="EN10" s="2025">
        <f t="shared" si="41"/>
        <v>0</v>
      </c>
      <c r="EP10" s="2045">
        <f t="shared" si="42"/>
        <v>0</v>
      </c>
      <c r="EQ10" s="2042">
        <f t="shared" si="193"/>
        <v>0</v>
      </c>
      <c r="ER10" s="2042">
        <f t="shared" si="43"/>
        <v>0</v>
      </c>
      <c r="ES10" s="2042">
        <f t="shared" si="44"/>
        <v>0</v>
      </c>
      <c r="ET10" s="2042">
        <f t="shared" si="45"/>
        <v>0</v>
      </c>
      <c r="EU10" s="2042">
        <f t="shared" si="46"/>
        <v>0</v>
      </c>
      <c r="EV10" s="2042">
        <f t="shared" si="47"/>
        <v>0</v>
      </c>
      <c r="EW10" s="2042">
        <f t="shared" si="48"/>
        <v>0</v>
      </c>
      <c r="EX10" s="2042">
        <f t="shared" si="49"/>
        <v>0</v>
      </c>
      <c r="EY10" s="2042">
        <f t="shared" si="50"/>
        <v>0</v>
      </c>
      <c r="EZ10" s="2042">
        <f t="shared" si="51"/>
        <v>0</v>
      </c>
      <c r="FA10" s="2042">
        <f t="shared" si="52"/>
        <v>0</v>
      </c>
      <c r="FB10" s="2042">
        <f t="shared" si="53"/>
        <v>0</v>
      </c>
      <c r="FC10" s="2042">
        <f t="shared" si="54"/>
        <v>0</v>
      </c>
      <c r="FD10" s="2046">
        <f t="shared" si="194"/>
        <v>0</v>
      </c>
      <c r="FE10" s="2042">
        <f t="shared" si="55"/>
        <v>0</v>
      </c>
      <c r="FF10" s="2042">
        <f t="shared" si="56"/>
        <v>0</v>
      </c>
      <c r="FG10" s="2042">
        <f t="shared" si="57"/>
        <v>0</v>
      </c>
      <c r="FH10" s="2042">
        <f t="shared" si="58"/>
        <v>0</v>
      </c>
      <c r="FI10" s="2042">
        <f t="shared" si="59"/>
        <v>0</v>
      </c>
      <c r="FJ10" s="2042">
        <f t="shared" si="195"/>
        <v>0</v>
      </c>
      <c r="FK10" s="2042">
        <f t="shared" si="60"/>
        <v>0</v>
      </c>
      <c r="FL10" s="2042">
        <f t="shared" si="61"/>
        <v>0</v>
      </c>
      <c r="FM10" s="2042">
        <f t="shared" si="62"/>
        <v>0</v>
      </c>
      <c r="FN10" s="2042">
        <f t="shared" si="63"/>
        <v>0</v>
      </c>
      <c r="FO10" s="2042">
        <f t="shared" si="64"/>
        <v>0</v>
      </c>
      <c r="FP10" s="2042">
        <f t="shared" si="65"/>
        <v>0</v>
      </c>
      <c r="FQ10" s="2047">
        <f t="shared" si="196"/>
        <v>0</v>
      </c>
      <c r="FR10" s="2042">
        <f t="shared" si="66"/>
        <v>0</v>
      </c>
      <c r="FS10" s="2042">
        <f t="shared" si="67"/>
        <v>0</v>
      </c>
      <c r="FT10" s="2042">
        <f t="shared" si="68"/>
        <v>0</v>
      </c>
      <c r="FU10" s="2042">
        <f t="shared" si="69"/>
        <v>0</v>
      </c>
      <c r="FV10" s="2042">
        <f t="shared" si="70"/>
        <v>0</v>
      </c>
      <c r="FW10" s="2042">
        <f t="shared" si="71"/>
        <v>0</v>
      </c>
      <c r="FX10" s="2042">
        <f t="shared" si="72"/>
        <v>0</v>
      </c>
      <c r="FY10" s="2042">
        <f t="shared" si="73"/>
        <v>0</v>
      </c>
      <c r="FZ10" s="2042">
        <f t="shared" si="74"/>
        <v>0</v>
      </c>
      <c r="GA10" s="2042">
        <f t="shared" si="75"/>
        <v>0</v>
      </c>
      <c r="GB10" s="2042">
        <f t="shared" si="76"/>
        <v>0</v>
      </c>
      <c r="GC10" s="2042">
        <f t="shared" si="77"/>
        <v>0</v>
      </c>
      <c r="GD10" s="2042">
        <f t="shared" si="78"/>
        <v>0</v>
      </c>
      <c r="GE10" s="2042">
        <f t="shared" si="79"/>
        <v>0</v>
      </c>
      <c r="GF10" s="2042">
        <f t="shared" si="80"/>
        <v>0</v>
      </c>
      <c r="GG10" s="2042">
        <f t="shared" si="81"/>
        <v>0</v>
      </c>
      <c r="GH10" s="2042">
        <f t="shared" si="82"/>
        <v>0</v>
      </c>
      <c r="GI10" s="2042">
        <f t="shared" si="83"/>
        <v>0</v>
      </c>
      <c r="GJ10" s="2042">
        <f t="shared" si="84"/>
        <v>0</v>
      </c>
      <c r="GK10" s="2042">
        <f t="shared" si="85"/>
        <v>0</v>
      </c>
      <c r="GL10" s="2042">
        <f t="shared" si="86"/>
        <v>0</v>
      </c>
      <c r="GM10" s="2042">
        <f t="shared" si="87"/>
        <v>0</v>
      </c>
      <c r="GN10" s="2042">
        <f t="shared" si="88"/>
        <v>0</v>
      </c>
      <c r="GO10" s="2042">
        <f t="shared" si="89"/>
        <v>0</v>
      </c>
      <c r="GP10" s="2047">
        <f t="shared" si="197"/>
        <v>0</v>
      </c>
      <c r="GQ10" s="2042">
        <f t="shared" si="90"/>
        <v>0</v>
      </c>
      <c r="GR10" s="2042">
        <f t="shared" si="91"/>
        <v>0</v>
      </c>
      <c r="GS10" s="2042">
        <f t="shared" si="92"/>
        <v>0</v>
      </c>
      <c r="GT10" s="2042">
        <f t="shared" si="93"/>
        <v>0</v>
      </c>
      <c r="GU10" s="2042">
        <f t="shared" si="94"/>
        <v>0</v>
      </c>
      <c r="GV10" s="2042">
        <f t="shared" si="95"/>
        <v>0</v>
      </c>
      <c r="GW10" s="2042">
        <f t="shared" si="96"/>
        <v>0</v>
      </c>
      <c r="GX10" s="2042">
        <f t="shared" si="97"/>
        <v>0</v>
      </c>
      <c r="GY10" s="2042">
        <f t="shared" si="98"/>
        <v>0</v>
      </c>
      <c r="GZ10" s="2042">
        <f t="shared" si="99"/>
        <v>0</v>
      </c>
      <c r="HA10" s="2042">
        <f t="shared" si="100"/>
        <v>0</v>
      </c>
      <c r="HB10" s="2042">
        <f t="shared" si="101"/>
        <v>0</v>
      </c>
      <c r="HC10" s="2047">
        <f t="shared" si="198"/>
        <v>0</v>
      </c>
      <c r="HD10" s="2042">
        <f t="shared" si="102"/>
        <v>0</v>
      </c>
      <c r="HE10" s="2042">
        <f t="shared" si="103"/>
        <v>0</v>
      </c>
      <c r="HF10" s="2042">
        <f t="shared" si="104"/>
        <v>0</v>
      </c>
      <c r="HG10" s="2042">
        <f t="shared" si="105"/>
        <v>0</v>
      </c>
      <c r="HH10" s="2042">
        <f t="shared" si="106"/>
        <v>0</v>
      </c>
      <c r="HI10" s="2042">
        <f t="shared" si="107"/>
        <v>0</v>
      </c>
      <c r="HJ10" s="2042">
        <f t="shared" si="108"/>
        <v>0</v>
      </c>
      <c r="HK10" s="2042">
        <f t="shared" si="109"/>
        <v>0</v>
      </c>
      <c r="HL10" s="2042">
        <f t="shared" si="110"/>
        <v>0</v>
      </c>
      <c r="HM10" s="2042">
        <f t="shared" si="111"/>
        <v>0</v>
      </c>
      <c r="HN10" s="2042">
        <f t="shared" si="112"/>
        <v>0</v>
      </c>
      <c r="HO10" s="2042">
        <f t="shared" si="113"/>
        <v>0</v>
      </c>
      <c r="HP10" s="2047">
        <f t="shared" si="199"/>
        <v>0</v>
      </c>
      <c r="HQ10" s="2042">
        <f t="shared" si="114"/>
        <v>0</v>
      </c>
      <c r="HR10" s="2042">
        <f t="shared" si="115"/>
        <v>0</v>
      </c>
      <c r="HS10" s="2042">
        <f t="shared" si="116"/>
        <v>0</v>
      </c>
      <c r="HT10" s="2042">
        <f t="shared" si="117"/>
        <v>0</v>
      </c>
      <c r="HU10" s="2042">
        <f t="shared" si="118"/>
        <v>0</v>
      </c>
      <c r="HV10" s="2042">
        <f t="shared" si="119"/>
        <v>0</v>
      </c>
      <c r="HW10" s="2042">
        <f t="shared" si="120"/>
        <v>0</v>
      </c>
      <c r="HX10" s="2042">
        <f t="shared" si="121"/>
        <v>0</v>
      </c>
      <c r="HY10" s="2042">
        <f t="shared" si="122"/>
        <v>0</v>
      </c>
      <c r="HZ10" s="2042">
        <f t="shared" si="123"/>
        <v>0</v>
      </c>
      <c r="IA10" s="2042">
        <f t="shared" si="124"/>
        <v>0</v>
      </c>
      <c r="IB10" s="2042">
        <f t="shared" si="125"/>
        <v>0</v>
      </c>
      <c r="IC10" s="2047">
        <f t="shared" si="200"/>
        <v>0</v>
      </c>
      <c r="IE10" s="2044">
        <f t="shared" si="201"/>
        <v>0</v>
      </c>
      <c r="IF10" s="2025">
        <f t="shared" si="126"/>
        <v>0</v>
      </c>
      <c r="IG10" s="2025">
        <f t="shared" si="127"/>
        <v>0</v>
      </c>
      <c r="IH10" s="2025">
        <f t="shared" si="128"/>
        <v>0</v>
      </c>
      <c r="II10" s="2025">
        <f t="shared" si="129"/>
        <v>0</v>
      </c>
      <c r="IJ10" s="2025">
        <f t="shared" si="130"/>
        <v>0</v>
      </c>
      <c r="IK10" s="2025">
        <f t="shared" si="131"/>
        <v>0</v>
      </c>
      <c r="IL10" s="2025">
        <f t="shared" si="132"/>
        <v>0</v>
      </c>
      <c r="IM10" s="2025">
        <f t="shared" si="133"/>
        <v>0</v>
      </c>
      <c r="IN10" s="2025">
        <f t="shared" si="134"/>
        <v>0</v>
      </c>
      <c r="IO10" s="2025">
        <f t="shared" si="135"/>
        <v>0</v>
      </c>
      <c r="IP10" s="2025">
        <f t="shared" si="136"/>
        <v>0</v>
      </c>
      <c r="IQ10" s="2025">
        <f t="shared" si="137"/>
        <v>0</v>
      </c>
      <c r="IS10" s="2044">
        <f t="shared" si="202"/>
        <v>0</v>
      </c>
      <c r="IT10" s="2025">
        <f t="shared" si="138"/>
        <v>0</v>
      </c>
      <c r="IU10" s="2025">
        <f t="shared" si="139"/>
        <v>0</v>
      </c>
      <c r="IV10" s="2025">
        <f t="shared" si="140"/>
        <v>0</v>
      </c>
      <c r="IW10" s="2025">
        <f t="shared" si="141"/>
        <v>0</v>
      </c>
      <c r="IX10" s="2025">
        <f t="shared" si="142"/>
        <v>0</v>
      </c>
      <c r="IY10" s="2025">
        <f t="shared" si="143"/>
        <v>0</v>
      </c>
      <c r="IZ10" s="2025">
        <f t="shared" si="144"/>
        <v>0</v>
      </c>
      <c r="JA10" s="2025">
        <f t="shared" si="145"/>
        <v>0</v>
      </c>
      <c r="JB10" s="2025">
        <f t="shared" si="146"/>
        <v>0</v>
      </c>
      <c r="JC10" s="2025">
        <f t="shared" si="147"/>
        <v>0</v>
      </c>
      <c r="JD10" s="2025">
        <f t="shared" si="148"/>
        <v>0</v>
      </c>
      <c r="JE10" s="2025">
        <f t="shared" si="149"/>
        <v>0</v>
      </c>
    </row>
    <row r="11" spans="1:265" ht="18" customHeight="1">
      <c r="A11" s="1319"/>
      <c r="B11" s="2023">
        <v>7</v>
      </c>
      <c r="C11" s="1105"/>
      <c r="D11" s="2130"/>
      <c r="E11" s="739"/>
      <c r="F11" s="1544"/>
      <c r="G11" s="1320"/>
      <c r="H11" s="1321">
        <f t="shared" si="0"/>
        <v>0</v>
      </c>
      <c r="I11" s="1321">
        <f t="shared" si="150"/>
        <v>0</v>
      </c>
      <c r="J11" s="1321">
        <f t="shared" si="1"/>
        <v>0</v>
      </c>
      <c r="K11" s="1321">
        <f t="shared" si="2"/>
        <v>0</v>
      </c>
      <c r="L11" s="1322">
        <f>Summen_GL!F78</f>
        <v>0</v>
      </c>
      <c r="M11" s="1323">
        <f t="shared" si="151"/>
        <v>0</v>
      </c>
      <c r="N11" s="2024"/>
      <c r="O11" s="1321">
        <f t="shared" si="205"/>
        <v>0</v>
      </c>
      <c r="P11" s="1321">
        <f t="shared" si="3"/>
        <v>0</v>
      </c>
      <c r="Q11" s="2024"/>
      <c r="R11" s="1470"/>
      <c r="S11" s="1471"/>
      <c r="T11" s="1470"/>
      <c r="U11" s="1471"/>
      <c r="V11" s="1470"/>
      <c r="W11" s="1471"/>
      <c r="X11" s="1470"/>
      <c r="Y11" s="1471"/>
      <c r="Z11" s="1470"/>
      <c r="AA11" s="1471"/>
      <c r="AB11" s="1470"/>
      <c r="AC11" s="1551"/>
      <c r="AD11" s="844"/>
      <c r="AE11" s="1561">
        <f>'meine Dünger'!C11</f>
        <v>0</v>
      </c>
      <c r="AF11" s="1562">
        <f>'meine Dünger'!AL11</f>
        <v>0</v>
      </c>
      <c r="AG11" s="844"/>
      <c r="AH11" s="1563" t="s">
        <v>852</v>
      </c>
      <c r="AI11" s="2132" t="s">
        <v>851</v>
      </c>
      <c r="AJ11" s="1319"/>
      <c r="AK11" s="1593">
        <f t="shared" si="152"/>
        <v>0</v>
      </c>
      <c r="AL11" s="1594">
        <f t="shared" si="153"/>
        <v>0</v>
      </c>
      <c r="AM11" s="1319"/>
      <c r="AN11" s="1319"/>
      <c r="AP11" s="1860">
        <f t="shared" si="154"/>
        <v>0</v>
      </c>
      <c r="AQ11" s="1860">
        <f t="shared" si="155"/>
        <v>0</v>
      </c>
      <c r="AR11" s="1860">
        <f t="shared" si="156"/>
        <v>0</v>
      </c>
      <c r="AS11" s="1860">
        <f t="shared" si="157"/>
        <v>0</v>
      </c>
      <c r="AT11" s="1860">
        <f t="shared" si="158"/>
        <v>0</v>
      </c>
      <c r="AU11" s="1860">
        <f t="shared" si="159"/>
        <v>0</v>
      </c>
      <c r="AV11" s="1860">
        <f t="shared" si="160"/>
        <v>0</v>
      </c>
      <c r="AW11" s="1860">
        <f t="shared" si="161"/>
        <v>0</v>
      </c>
      <c r="AX11" s="1860">
        <f t="shared" si="162"/>
        <v>0</v>
      </c>
      <c r="AY11" s="1860">
        <f t="shared" si="163"/>
        <v>0</v>
      </c>
      <c r="AZ11" s="1860">
        <f t="shared" si="164"/>
        <v>0</v>
      </c>
      <c r="BA11" s="2026">
        <f t="shared" si="165"/>
        <v>0</v>
      </c>
      <c r="BB11" s="2026">
        <f t="shared" si="166"/>
        <v>0</v>
      </c>
      <c r="BC11" s="2026">
        <f t="shared" si="167"/>
        <v>0</v>
      </c>
      <c r="BD11" s="2026">
        <f t="shared" si="168"/>
        <v>0</v>
      </c>
      <c r="BE11" s="2026">
        <f t="shared" si="169"/>
        <v>0</v>
      </c>
      <c r="BF11" s="2026">
        <f t="shared" si="170"/>
        <v>0</v>
      </c>
      <c r="BG11" s="2026">
        <f t="shared" si="171"/>
        <v>0</v>
      </c>
      <c r="BH11" s="2026">
        <f t="shared" si="172"/>
        <v>0</v>
      </c>
      <c r="BI11" s="2026">
        <f t="shared" si="173"/>
        <v>0</v>
      </c>
      <c r="BJ11" s="2026">
        <f t="shared" si="174"/>
        <v>0</v>
      </c>
      <c r="BK11" s="2027"/>
      <c r="BL11" s="2026">
        <f t="shared" si="175"/>
        <v>0</v>
      </c>
      <c r="BM11" s="2026">
        <f t="shared" si="176"/>
        <v>0</v>
      </c>
      <c r="BN11" s="2026">
        <f t="shared" si="4"/>
        <v>0</v>
      </c>
      <c r="BO11" s="2026">
        <f t="shared" si="5"/>
        <v>0</v>
      </c>
      <c r="BP11" s="2026">
        <f t="shared" si="6"/>
        <v>0</v>
      </c>
      <c r="BQ11" s="2026">
        <f t="shared" si="7"/>
        <v>0</v>
      </c>
      <c r="BR11" s="2026">
        <f t="shared" si="8"/>
        <v>0</v>
      </c>
      <c r="BS11" s="2026">
        <f t="shared" si="177"/>
        <v>0</v>
      </c>
      <c r="BT11" s="2026">
        <f t="shared" si="9"/>
        <v>0</v>
      </c>
      <c r="BU11" s="2026">
        <f t="shared" si="10"/>
        <v>0</v>
      </c>
      <c r="BV11" s="2028"/>
      <c r="BW11" s="2029">
        <f t="shared" si="11"/>
        <v>0</v>
      </c>
      <c r="BX11" s="2029">
        <f t="shared" si="178"/>
        <v>0</v>
      </c>
      <c r="BY11" s="2029">
        <f t="shared" si="179"/>
        <v>0</v>
      </c>
      <c r="CA11" s="2030">
        <f t="shared" si="12"/>
        <v>0</v>
      </c>
      <c r="CB11" s="2030">
        <f t="shared" si="13"/>
        <v>0</v>
      </c>
      <c r="CC11" s="2030">
        <f t="shared" si="14"/>
        <v>0</v>
      </c>
      <c r="CD11" s="2031">
        <f t="shared" si="15"/>
        <v>0</v>
      </c>
      <c r="CE11" s="2031">
        <f t="shared" si="16"/>
        <v>0</v>
      </c>
      <c r="CF11" s="2031">
        <f t="shared" si="180"/>
        <v>0</v>
      </c>
      <c r="CG11" s="2030">
        <f t="shared" si="17"/>
        <v>0</v>
      </c>
      <c r="CH11" s="2032">
        <f t="shared" si="18"/>
        <v>0</v>
      </c>
      <c r="CI11" s="2032">
        <f t="shared" si="19"/>
        <v>0</v>
      </c>
      <c r="CJ11" s="2032">
        <f t="shared" si="181"/>
        <v>0</v>
      </c>
      <c r="CK11" s="2030">
        <f t="shared" si="20"/>
        <v>0</v>
      </c>
      <c r="CL11" s="2033">
        <f t="shared" si="21"/>
        <v>0</v>
      </c>
      <c r="CM11" s="2032">
        <f t="shared" si="22"/>
        <v>0</v>
      </c>
      <c r="CN11" s="2033">
        <f t="shared" si="23"/>
        <v>0</v>
      </c>
      <c r="CO11" s="2033">
        <f t="shared" si="182"/>
        <v>0</v>
      </c>
      <c r="CP11" s="2030">
        <f t="shared" si="24"/>
        <v>0</v>
      </c>
      <c r="CQ11" s="2030">
        <f t="shared" si="25"/>
        <v>0</v>
      </c>
      <c r="CR11" s="2030">
        <f t="shared" si="26"/>
        <v>0</v>
      </c>
      <c r="CS11" s="2030">
        <f t="shared" si="27"/>
        <v>0</v>
      </c>
      <c r="CT11" s="2035">
        <f t="shared" si="28"/>
        <v>0</v>
      </c>
      <c r="CU11" s="2036">
        <f t="shared" si="183"/>
        <v>0</v>
      </c>
      <c r="CV11" s="2036">
        <f t="shared" si="184"/>
        <v>0</v>
      </c>
      <c r="CW11" s="2036">
        <f t="shared" si="185"/>
        <v>0</v>
      </c>
      <c r="CY11" s="2055" t="s">
        <v>1028</v>
      </c>
      <c r="CZ11" s="2057">
        <v>9000</v>
      </c>
      <c r="DA11" s="2052">
        <v>9500</v>
      </c>
      <c r="DB11" s="2056">
        <v>10500</v>
      </c>
      <c r="DC11" s="10"/>
      <c r="DE11" s="2055" t="s">
        <v>1028</v>
      </c>
      <c r="DF11" s="2052">
        <v>9500</v>
      </c>
      <c r="DG11" s="2052">
        <v>9500</v>
      </c>
      <c r="DH11" s="2052">
        <v>9500</v>
      </c>
      <c r="DL11" s="10">
        <f t="shared" si="186"/>
        <v>0</v>
      </c>
      <c r="DM11" s="10">
        <f t="shared" si="29"/>
        <v>0</v>
      </c>
      <c r="DN11" s="2027" t="e">
        <f>DL11/Betrieb!$E$23</f>
        <v>#DIV/0!</v>
      </c>
      <c r="DO11" s="2027" t="e">
        <f>DM11/Betrieb!$E$24</f>
        <v>#DIV/0!</v>
      </c>
      <c r="DP11" s="2041">
        <f>(Betrieb!$E$21*Betrieb!$H$21)+(Betrieb!$E$23*Betrieb!$H$23)</f>
        <v>0</v>
      </c>
      <c r="DQ11" s="2025">
        <f>(Betrieb!$E$22*Betrieb!$H$22)+(Betrieb!$E$24*Betrieb!$H$24)</f>
        <v>0</v>
      </c>
      <c r="DR11" s="2041">
        <f t="shared" si="187"/>
        <v>0</v>
      </c>
      <c r="DS11" s="2025">
        <f t="shared" si="188"/>
        <v>0</v>
      </c>
      <c r="DT11" s="2042">
        <f t="shared" si="189"/>
        <v>0</v>
      </c>
      <c r="DU11" s="2043">
        <f t="shared" si="203"/>
        <v>0</v>
      </c>
      <c r="DV11" s="2043">
        <f t="shared" si="190"/>
        <v>0</v>
      </c>
      <c r="DW11" s="2043">
        <f t="shared" si="204"/>
        <v>0</v>
      </c>
      <c r="DZ11" s="2044">
        <f t="shared" si="191"/>
        <v>0</v>
      </c>
      <c r="EA11" s="1874">
        <f t="shared" si="30"/>
        <v>0</v>
      </c>
      <c r="EB11" s="1874">
        <f t="shared" si="31"/>
        <v>0</v>
      </c>
      <c r="EC11" s="1874">
        <f t="shared" si="32"/>
        <v>0</v>
      </c>
      <c r="ED11" s="1874">
        <f t="shared" si="33"/>
        <v>0</v>
      </c>
      <c r="EE11" s="1874">
        <f t="shared" si="34"/>
        <v>0</v>
      </c>
      <c r="EF11" s="1874">
        <f t="shared" si="35"/>
        <v>0</v>
      </c>
      <c r="EH11" s="2044">
        <f>SUM(EI11:EN11)</f>
        <v>0</v>
      </c>
      <c r="EI11" s="2025">
        <f t="shared" si="36"/>
        <v>0</v>
      </c>
      <c r="EJ11" s="2025">
        <f t="shared" si="37"/>
        <v>0</v>
      </c>
      <c r="EK11" s="2025">
        <f t="shared" si="38"/>
        <v>0</v>
      </c>
      <c r="EL11" s="2025">
        <f t="shared" si="39"/>
        <v>0</v>
      </c>
      <c r="EM11" s="2025">
        <f t="shared" si="40"/>
        <v>0</v>
      </c>
      <c r="EN11" s="2025">
        <f t="shared" si="41"/>
        <v>0</v>
      </c>
      <c r="EP11" s="2045">
        <f t="shared" si="42"/>
        <v>0</v>
      </c>
      <c r="EQ11" s="2042">
        <f t="shared" si="193"/>
        <v>0</v>
      </c>
      <c r="ER11" s="2042">
        <f t="shared" si="43"/>
        <v>0</v>
      </c>
      <c r="ES11" s="2042">
        <f t="shared" si="44"/>
        <v>0</v>
      </c>
      <c r="ET11" s="2042">
        <f t="shared" si="45"/>
        <v>0</v>
      </c>
      <c r="EU11" s="2042">
        <f t="shared" si="46"/>
        <v>0</v>
      </c>
      <c r="EV11" s="2042">
        <f t="shared" si="47"/>
        <v>0</v>
      </c>
      <c r="EW11" s="2042">
        <f t="shared" si="48"/>
        <v>0</v>
      </c>
      <c r="EX11" s="2042">
        <f t="shared" si="49"/>
        <v>0</v>
      </c>
      <c r="EY11" s="2042">
        <f t="shared" si="50"/>
        <v>0</v>
      </c>
      <c r="EZ11" s="2042">
        <f t="shared" si="51"/>
        <v>0</v>
      </c>
      <c r="FA11" s="2042">
        <f t="shared" si="52"/>
        <v>0</v>
      </c>
      <c r="FB11" s="2042">
        <f t="shared" si="53"/>
        <v>0</v>
      </c>
      <c r="FC11" s="2042">
        <f t="shared" si="54"/>
        <v>0</v>
      </c>
      <c r="FD11" s="2046">
        <f t="shared" si="194"/>
        <v>0</v>
      </c>
      <c r="FE11" s="2042">
        <f t="shared" si="55"/>
        <v>0</v>
      </c>
      <c r="FF11" s="2042">
        <f t="shared" si="56"/>
        <v>0</v>
      </c>
      <c r="FG11" s="2042">
        <f t="shared" si="57"/>
        <v>0</v>
      </c>
      <c r="FH11" s="2042">
        <f t="shared" si="58"/>
        <v>0</v>
      </c>
      <c r="FI11" s="2042">
        <f t="shared" si="59"/>
        <v>0</v>
      </c>
      <c r="FJ11" s="2042">
        <f t="shared" si="195"/>
        <v>0</v>
      </c>
      <c r="FK11" s="2042">
        <f t="shared" si="60"/>
        <v>0</v>
      </c>
      <c r="FL11" s="2042">
        <f t="shared" si="61"/>
        <v>0</v>
      </c>
      <c r="FM11" s="2042">
        <f t="shared" si="62"/>
        <v>0</v>
      </c>
      <c r="FN11" s="2042">
        <f t="shared" si="63"/>
        <v>0</v>
      </c>
      <c r="FO11" s="2042">
        <f t="shared" si="64"/>
        <v>0</v>
      </c>
      <c r="FP11" s="2042">
        <f t="shared" si="65"/>
        <v>0</v>
      </c>
      <c r="FQ11" s="2047">
        <f t="shared" si="196"/>
        <v>0</v>
      </c>
      <c r="FR11" s="2042">
        <f t="shared" si="66"/>
        <v>0</v>
      </c>
      <c r="FS11" s="2042">
        <f t="shared" si="67"/>
        <v>0</v>
      </c>
      <c r="FT11" s="2042">
        <f t="shared" si="68"/>
        <v>0</v>
      </c>
      <c r="FU11" s="2042">
        <f t="shared" si="69"/>
        <v>0</v>
      </c>
      <c r="FV11" s="2042">
        <f t="shared" si="70"/>
        <v>0</v>
      </c>
      <c r="FW11" s="2042">
        <f t="shared" si="71"/>
        <v>0</v>
      </c>
      <c r="FX11" s="2042">
        <f t="shared" si="72"/>
        <v>0</v>
      </c>
      <c r="FY11" s="2042">
        <f t="shared" si="73"/>
        <v>0</v>
      </c>
      <c r="FZ11" s="2042">
        <f t="shared" si="74"/>
        <v>0</v>
      </c>
      <c r="GA11" s="2042">
        <f t="shared" si="75"/>
        <v>0</v>
      </c>
      <c r="GB11" s="2042">
        <f t="shared" si="76"/>
        <v>0</v>
      </c>
      <c r="GC11" s="2042">
        <f t="shared" si="77"/>
        <v>0</v>
      </c>
      <c r="GD11" s="2042">
        <f t="shared" si="78"/>
        <v>0</v>
      </c>
      <c r="GE11" s="2042">
        <f t="shared" si="79"/>
        <v>0</v>
      </c>
      <c r="GF11" s="2042">
        <f t="shared" si="80"/>
        <v>0</v>
      </c>
      <c r="GG11" s="2042">
        <f t="shared" si="81"/>
        <v>0</v>
      </c>
      <c r="GH11" s="2042">
        <f t="shared" si="82"/>
        <v>0</v>
      </c>
      <c r="GI11" s="2042">
        <f t="shared" si="83"/>
        <v>0</v>
      </c>
      <c r="GJ11" s="2042">
        <f t="shared" si="84"/>
        <v>0</v>
      </c>
      <c r="GK11" s="2042">
        <f t="shared" si="85"/>
        <v>0</v>
      </c>
      <c r="GL11" s="2042">
        <f t="shared" si="86"/>
        <v>0</v>
      </c>
      <c r="GM11" s="2042">
        <f t="shared" si="87"/>
        <v>0</v>
      </c>
      <c r="GN11" s="2042">
        <f t="shared" si="88"/>
        <v>0</v>
      </c>
      <c r="GO11" s="2042">
        <f t="shared" si="89"/>
        <v>0</v>
      </c>
      <c r="GP11" s="2047">
        <f t="shared" si="197"/>
        <v>0</v>
      </c>
      <c r="GQ11" s="2042">
        <f t="shared" si="90"/>
        <v>0</v>
      </c>
      <c r="GR11" s="2042">
        <f t="shared" si="91"/>
        <v>0</v>
      </c>
      <c r="GS11" s="2042">
        <f t="shared" si="92"/>
        <v>0</v>
      </c>
      <c r="GT11" s="2042">
        <f t="shared" si="93"/>
        <v>0</v>
      </c>
      <c r="GU11" s="2042">
        <f t="shared" si="94"/>
        <v>0</v>
      </c>
      <c r="GV11" s="2042">
        <f t="shared" si="95"/>
        <v>0</v>
      </c>
      <c r="GW11" s="2042">
        <f t="shared" si="96"/>
        <v>0</v>
      </c>
      <c r="GX11" s="2042">
        <f t="shared" si="97"/>
        <v>0</v>
      </c>
      <c r="GY11" s="2042">
        <f t="shared" si="98"/>
        <v>0</v>
      </c>
      <c r="GZ11" s="2042">
        <f t="shared" si="99"/>
        <v>0</v>
      </c>
      <c r="HA11" s="2042">
        <f t="shared" si="100"/>
        <v>0</v>
      </c>
      <c r="HB11" s="2042">
        <f t="shared" si="101"/>
        <v>0</v>
      </c>
      <c r="HC11" s="2047">
        <f t="shared" si="198"/>
        <v>0</v>
      </c>
      <c r="HD11" s="2042">
        <f t="shared" si="102"/>
        <v>0</v>
      </c>
      <c r="HE11" s="2042">
        <f t="shared" si="103"/>
        <v>0</v>
      </c>
      <c r="HF11" s="2042">
        <f t="shared" si="104"/>
        <v>0</v>
      </c>
      <c r="HG11" s="2042">
        <f t="shared" si="105"/>
        <v>0</v>
      </c>
      <c r="HH11" s="2042">
        <f t="shared" si="106"/>
        <v>0</v>
      </c>
      <c r="HI11" s="2042">
        <f t="shared" si="107"/>
        <v>0</v>
      </c>
      <c r="HJ11" s="2042">
        <f t="shared" si="108"/>
        <v>0</v>
      </c>
      <c r="HK11" s="2042">
        <f t="shared" si="109"/>
        <v>0</v>
      </c>
      <c r="HL11" s="2042">
        <f t="shared" si="110"/>
        <v>0</v>
      </c>
      <c r="HM11" s="2042">
        <f t="shared" si="111"/>
        <v>0</v>
      </c>
      <c r="HN11" s="2042">
        <f t="shared" si="112"/>
        <v>0</v>
      </c>
      <c r="HO11" s="2042">
        <f t="shared" si="113"/>
        <v>0</v>
      </c>
      <c r="HP11" s="2047">
        <f t="shared" si="199"/>
        <v>0</v>
      </c>
      <c r="HQ11" s="2042">
        <f t="shared" si="114"/>
        <v>0</v>
      </c>
      <c r="HR11" s="2042">
        <f t="shared" si="115"/>
        <v>0</v>
      </c>
      <c r="HS11" s="2042">
        <f t="shared" si="116"/>
        <v>0</v>
      </c>
      <c r="HT11" s="2042">
        <f t="shared" si="117"/>
        <v>0</v>
      </c>
      <c r="HU11" s="2042">
        <f t="shared" si="118"/>
        <v>0</v>
      </c>
      <c r="HV11" s="2042">
        <f t="shared" si="119"/>
        <v>0</v>
      </c>
      <c r="HW11" s="2042">
        <f t="shared" si="120"/>
        <v>0</v>
      </c>
      <c r="HX11" s="2042">
        <f t="shared" si="121"/>
        <v>0</v>
      </c>
      <c r="HY11" s="2042">
        <f t="shared" si="122"/>
        <v>0</v>
      </c>
      <c r="HZ11" s="2042">
        <f t="shared" si="123"/>
        <v>0</v>
      </c>
      <c r="IA11" s="2042">
        <f t="shared" si="124"/>
        <v>0</v>
      </c>
      <c r="IB11" s="2042">
        <f t="shared" si="125"/>
        <v>0</v>
      </c>
      <c r="IC11" s="2047">
        <f t="shared" si="200"/>
        <v>0</v>
      </c>
      <c r="IE11" s="2044">
        <f t="shared" si="201"/>
        <v>0</v>
      </c>
      <c r="IF11" s="2025">
        <f t="shared" si="126"/>
        <v>0</v>
      </c>
      <c r="IG11" s="2025">
        <f t="shared" si="127"/>
        <v>0</v>
      </c>
      <c r="IH11" s="2025">
        <f t="shared" si="128"/>
        <v>0</v>
      </c>
      <c r="II11" s="2025">
        <f t="shared" si="129"/>
        <v>0</v>
      </c>
      <c r="IJ11" s="2025">
        <f t="shared" si="130"/>
        <v>0</v>
      </c>
      <c r="IK11" s="2025">
        <f t="shared" si="131"/>
        <v>0</v>
      </c>
      <c r="IL11" s="2025">
        <f t="shared" si="132"/>
        <v>0</v>
      </c>
      <c r="IM11" s="2025">
        <f t="shared" si="133"/>
        <v>0</v>
      </c>
      <c r="IN11" s="2025">
        <f t="shared" si="134"/>
        <v>0</v>
      </c>
      <c r="IO11" s="2025">
        <f t="shared" si="135"/>
        <v>0</v>
      </c>
      <c r="IP11" s="2025">
        <f t="shared" si="136"/>
        <v>0</v>
      </c>
      <c r="IQ11" s="2025">
        <f t="shared" si="137"/>
        <v>0</v>
      </c>
      <c r="IS11" s="2044">
        <f t="shared" si="202"/>
        <v>0</v>
      </c>
      <c r="IT11" s="2025">
        <f t="shared" si="138"/>
        <v>0</v>
      </c>
      <c r="IU11" s="2025">
        <f t="shared" si="139"/>
        <v>0</v>
      </c>
      <c r="IV11" s="2025">
        <f t="shared" si="140"/>
        <v>0</v>
      </c>
      <c r="IW11" s="2025">
        <f t="shared" si="141"/>
        <v>0</v>
      </c>
      <c r="IX11" s="2025">
        <f t="shared" si="142"/>
        <v>0</v>
      </c>
      <c r="IY11" s="2025">
        <f t="shared" si="143"/>
        <v>0</v>
      </c>
      <c r="IZ11" s="2025">
        <f t="shared" si="144"/>
        <v>0</v>
      </c>
      <c r="JA11" s="2025">
        <f t="shared" si="145"/>
        <v>0</v>
      </c>
      <c r="JB11" s="2025">
        <f t="shared" si="146"/>
        <v>0</v>
      </c>
      <c r="JC11" s="2025">
        <f t="shared" si="147"/>
        <v>0</v>
      </c>
      <c r="JD11" s="2025">
        <f t="shared" si="148"/>
        <v>0</v>
      </c>
      <c r="JE11" s="2025">
        <f t="shared" si="149"/>
        <v>0</v>
      </c>
    </row>
    <row r="12" spans="1:265" ht="18" customHeight="1">
      <c r="A12" s="1319"/>
      <c r="B12" s="2023">
        <v>8</v>
      </c>
      <c r="C12" s="1105"/>
      <c r="D12" s="2130"/>
      <c r="E12" s="739"/>
      <c r="F12" s="1544"/>
      <c r="G12" s="1320"/>
      <c r="H12" s="1321">
        <f t="shared" si="0"/>
        <v>0</v>
      </c>
      <c r="I12" s="1321">
        <f>H12*D12</f>
        <v>0</v>
      </c>
      <c r="J12" s="1321">
        <f t="shared" si="1"/>
        <v>0</v>
      </c>
      <c r="K12" s="1321">
        <f t="shared" si="2"/>
        <v>0</v>
      </c>
      <c r="L12" s="1322">
        <f>Summen_GL!F79</f>
        <v>0</v>
      </c>
      <c r="M12" s="1323">
        <f t="shared" si="151"/>
        <v>0</v>
      </c>
      <c r="N12" s="2024"/>
      <c r="O12" s="1321">
        <f t="shared" si="205"/>
        <v>0</v>
      </c>
      <c r="P12" s="1321">
        <f t="shared" si="3"/>
        <v>0</v>
      </c>
      <c r="Q12" s="2024"/>
      <c r="R12" s="1470"/>
      <c r="S12" s="1471"/>
      <c r="T12" s="1470"/>
      <c r="U12" s="1471"/>
      <c r="V12" s="1470"/>
      <c r="W12" s="1471"/>
      <c r="X12" s="1470"/>
      <c r="Y12" s="1471"/>
      <c r="Z12" s="1470"/>
      <c r="AA12" s="1471"/>
      <c r="AB12" s="1470"/>
      <c r="AC12" s="1551"/>
      <c r="AD12" s="844"/>
      <c r="AE12" s="1561">
        <f>'meine Dünger'!C12</f>
        <v>0</v>
      </c>
      <c r="AF12" s="1562">
        <f>'meine Dünger'!AL12</f>
        <v>0</v>
      </c>
      <c r="AG12" s="844"/>
      <c r="AH12" s="1563" t="s">
        <v>1267</v>
      </c>
      <c r="AI12" s="2132" t="s">
        <v>851</v>
      </c>
      <c r="AJ12" s="1319"/>
      <c r="AK12" s="1593">
        <f t="shared" si="152"/>
        <v>0</v>
      </c>
      <c r="AL12" s="1594">
        <f t="shared" si="153"/>
        <v>0</v>
      </c>
      <c r="AM12" s="1319"/>
      <c r="AN12" s="1319"/>
      <c r="AP12" s="1860">
        <f t="shared" si="154"/>
        <v>0</v>
      </c>
      <c r="AQ12" s="1860">
        <f t="shared" si="155"/>
        <v>0</v>
      </c>
      <c r="AR12" s="1860">
        <f t="shared" si="156"/>
        <v>0</v>
      </c>
      <c r="AS12" s="1860">
        <f t="shared" si="157"/>
        <v>0</v>
      </c>
      <c r="AT12" s="1860">
        <f t="shared" si="158"/>
        <v>0</v>
      </c>
      <c r="AU12" s="1860">
        <f t="shared" si="159"/>
        <v>0</v>
      </c>
      <c r="AV12" s="1860">
        <f t="shared" si="160"/>
        <v>0</v>
      </c>
      <c r="AW12" s="1860">
        <f t="shared" si="161"/>
        <v>0</v>
      </c>
      <c r="AX12" s="1860">
        <f t="shared" si="162"/>
        <v>0</v>
      </c>
      <c r="AY12" s="1860">
        <f t="shared" si="163"/>
        <v>0</v>
      </c>
      <c r="AZ12" s="1860">
        <f t="shared" si="164"/>
        <v>0</v>
      </c>
      <c r="BA12" s="2026">
        <f t="shared" si="165"/>
        <v>0</v>
      </c>
      <c r="BB12" s="2026">
        <f t="shared" si="166"/>
        <v>0</v>
      </c>
      <c r="BC12" s="2026">
        <f t="shared" si="167"/>
        <v>0</v>
      </c>
      <c r="BD12" s="2026">
        <f t="shared" si="168"/>
        <v>0</v>
      </c>
      <c r="BE12" s="2026">
        <f t="shared" si="169"/>
        <v>0</v>
      </c>
      <c r="BF12" s="2026">
        <f t="shared" si="170"/>
        <v>0</v>
      </c>
      <c r="BG12" s="2026">
        <f t="shared" si="171"/>
        <v>0</v>
      </c>
      <c r="BH12" s="2026">
        <f t="shared" si="172"/>
        <v>0</v>
      </c>
      <c r="BI12" s="2026">
        <f t="shared" si="173"/>
        <v>0</v>
      </c>
      <c r="BJ12" s="2026">
        <f t="shared" si="174"/>
        <v>0</v>
      </c>
      <c r="BK12" s="2027"/>
      <c r="BL12" s="2026">
        <f t="shared" si="175"/>
        <v>0</v>
      </c>
      <c r="BM12" s="2026">
        <f t="shared" si="176"/>
        <v>0</v>
      </c>
      <c r="BN12" s="2026">
        <f t="shared" si="4"/>
        <v>0</v>
      </c>
      <c r="BO12" s="2026">
        <f t="shared" si="5"/>
        <v>0</v>
      </c>
      <c r="BP12" s="2026">
        <f t="shared" si="6"/>
        <v>0</v>
      </c>
      <c r="BQ12" s="2026">
        <f t="shared" si="7"/>
        <v>0</v>
      </c>
      <c r="BR12" s="2026">
        <f t="shared" si="8"/>
        <v>0</v>
      </c>
      <c r="BS12" s="2026">
        <f t="shared" si="177"/>
        <v>0</v>
      </c>
      <c r="BT12" s="2026">
        <f t="shared" si="9"/>
        <v>0</v>
      </c>
      <c r="BU12" s="2026">
        <f t="shared" si="10"/>
        <v>0</v>
      </c>
      <c r="BV12" s="2028"/>
      <c r="BW12" s="2029">
        <f t="shared" si="11"/>
        <v>0</v>
      </c>
      <c r="BX12" s="2029">
        <f t="shared" si="178"/>
        <v>0</v>
      </c>
      <c r="BY12" s="2029">
        <f t="shared" si="179"/>
        <v>0</v>
      </c>
      <c r="CA12" s="2030">
        <f t="shared" si="12"/>
        <v>0</v>
      </c>
      <c r="CB12" s="2030">
        <f t="shared" si="13"/>
        <v>0</v>
      </c>
      <c r="CC12" s="2030">
        <f t="shared" si="14"/>
        <v>0</v>
      </c>
      <c r="CD12" s="2031">
        <f t="shared" si="15"/>
        <v>0</v>
      </c>
      <c r="CE12" s="2031">
        <f t="shared" si="16"/>
        <v>0</v>
      </c>
      <c r="CF12" s="2031">
        <f t="shared" si="180"/>
        <v>0</v>
      </c>
      <c r="CG12" s="2030">
        <f t="shared" si="17"/>
        <v>0</v>
      </c>
      <c r="CH12" s="2032">
        <f t="shared" si="18"/>
        <v>0</v>
      </c>
      <c r="CI12" s="2032">
        <f t="shared" si="19"/>
        <v>0</v>
      </c>
      <c r="CJ12" s="2032">
        <f t="shared" si="181"/>
        <v>0</v>
      </c>
      <c r="CK12" s="2030">
        <f t="shared" si="20"/>
        <v>0</v>
      </c>
      <c r="CL12" s="2033">
        <f t="shared" si="21"/>
        <v>0</v>
      </c>
      <c r="CM12" s="2032">
        <f t="shared" si="22"/>
        <v>0</v>
      </c>
      <c r="CN12" s="2033">
        <f t="shared" si="23"/>
        <v>0</v>
      </c>
      <c r="CO12" s="2033">
        <f t="shared" si="182"/>
        <v>0</v>
      </c>
      <c r="CP12" s="2030">
        <f t="shared" si="24"/>
        <v>0</v>
      </c>
      <c r="CQ12" s="2030">
        <f t="shared" si="25"/>
        <v>0</v>
      </c>
      <c r="CR12" s="2030">
        <f t="shared" si="26"/>
        <v>0</v>
      </c>
      <c r="CS12" s="2030">
        <f t="shared" si="27"/>
        <v>0</v>
      </c>
      <c r="CT12" s="2035">
        <f t="shared" si="28"/>
        <v>0</v>
      </c>
      <c r="CU12" s="2036">
        <f t="shared" si="183"/>
        <v>0</v>
      </c>
      <c r="CV12" s="2036">
        <f t="shared" si="184"/>
        <v>0</v>
      </c>
      <c r="CW12" s="2036">
        <f t="shared" si="185"/>
        <v>0</v>
      </c>
      <c r="CY12" s="2055" t="s">
        <v>1029</v>
      </c>
      <c r="CZ12" s="2057">
        <v>10500</v>
      </c>
      <c r="DA12" s="2052">
        <v>11000</v>
      </c>
      <c r="DB12" s="2056">
        <v>12000</v>
      </c>
      <c r="DC12" s="10"/>
      <c r="DE12" s="2055" t="s">
        <v>1029</v>
      </c>
      <c r="DF12" s="2052">
        <v>11000</v>
      </c>
      <c r="DG12" s="2052">
        <v>11000</v>
      </c>
      <c r="DH12" s="2052">
        <v>11000</v>
      </c>
      <c r="DL12" s="10">
        <f t="shared" si="186"/>
        <v>0</v>
      </c>
      <c r="DM12" s="10">
        <f t="shared" si="29"/>
        <v>0</v>
      </c>
      <c r="DN12" s="2027" t="e">
        <f>DL12/Betrieb!$E$23</f>
        <v>#DIV/0!</v>
      </c>
      <c r="DO12" s="2027" t="e">
        <f>DM12/Betrieb!$E$24</f>
        <v>#DIV/0!</v>
      </c>
      <c r="DP12" s="2041">
        <f>(Betrieb!$E$21*Betrieb!$H$21)+(Betrieb!$E$23*Betrieb!$H$23)</f>
        <v>0</v>
      </c>
      <c r="DQ12" s="2025">
        <f>(Betrieb!$E$22*Betrieb!$H$22)+(Betrieb!$E$24*Betrieb!$H$24)</f>
        <v>0</v>
      </c>
      <c r="DR12" s="2041">
        <f t="shared" si="187"/>
        <v>0</v>
      </c>
      <c r="DS12" s="2025">
        <f t="shared" si="188"/>
        <v>0</v>
      </c>
      <c r="DT12" s="2042">
        <f t="shared" si="189"/>
        <v>0</v>
      </c>
      <c r="DU12" s="2043">
        <f t="shared" si="203"/>
        <v>0</v>
      </c>
      <c r="DV12" s="2043">
        <f t="shared" si="190"/>
        <v>0</v>
      </c>
      <c r="DW12" s="2043">
        <f t="shared" si="204"/>
        <v>0</v>
      </c>
      <c r="DZ12" s="2044">
        <f t="shared" si="191"/>
        <v>0</v>
      </c>
      <c r="EA12" s="1874">
        <f t="shared" si="30"/>
        <v>0</v>
      </c>
      <c r="EB12" s="1874">
        <f t="shared" si="31"/>
        <v>0</v>
      </c>
      <c r="EC12" s="1874">
        <f t="shared" si="32"/>
        <v>0</v>
      </c>
      <c r="ED12" s="1874">
        <f t="shared" si="33"/>
        <v>0</v>
      </c>
      <c r="EE12" s="1874">
        <f t="shared" si="34"/>
        <v>0</v>
      </c>
      <c r="EF12" s="1874">
        <f t="shared" si="35"/>
        <v>0</v>
      </c>
      <c r="EH12" s="2044">
        <f t="shared" si="192"/>
        <v>0</v>
      </c>
      <c r="EI12" s="2025">
        <f t="shared" si="36"/>
        <v>0</v>
      </c>
      <c r="EJ12" s="2025">
        <f t="shared" si="37"/>
        <v>0</v>
      </c>
      <c r="EK12" s="2025">
        <f t="shared" si="38"/>
        <v>0</v>
      </c>
      <c r="EL12" s="2025">
        <f t="shared" si="39"/>
        <v>0</v>
      </c>
      <c r="EM12" s="2025">
        <f t="shared" si="40"/>
        <v>0</v>
      </c>
      <c r="EN12" s="2025">
        <f t="shared" si="41"/>
        <v>0</v>
      </c>
      <c r="EP12" s="2045">
        <f t="shared" si="42"/>
        <v>0</v>
      </c>
      <c r="EQ12" s="2042">
        <f t="shared" si="193"/>
        <v>0</v>
      </c>
      <c r="ER12" s="2042">
        <f t="shared" si="43"/>
        <v>0</v>
      </c>
      <c r="ES12" s="2042">
        <f t="shared" si="44"/>
        <v>0</v>
      </c>
      <c r="ET12" s="2042">
        <f t="shared" si="45"/>
        <v>0</v>
      </c>
      <c r="EU12" s="2042">
        <f t="shared" si="46"/>
        <v>0</v>
      </c>
      <c r="EV12" s="2042">
        <f t="shared" si="47"/>
        <v>0</v>
      </c>
      <c r="EW12" s="2042">
        <f t="shared" si="48"/>
        <v>0</v>
      </c>
      <c r="EX12" s="2042">
        <f t="shared" si="49"/>
        <v>0</v>
      </c>
      <c r="EY12" s="2042">
        <f t="shared" si="50"/>
        <v>0</v>
      </c>
      <c r="EZ12" s="2042">
        <f t="shared" si="51"/>
        <v>0</v>
      </c>
      <c r="FA12" s="2042">
        <f t="shared" si="52"/>
        <v>0</v>
      </c>
      <c r="FB12" s="2042">
        <f t="shared" si="53"/>
        <v>0</v>
      </c>
      <c r="FC12" s="2042">
        <f t="shared" si="54"/>
        <v>0</v>
      </c>
      <c r="FD12" s="2046">
        <f t="shared" si="194"/>
        <v>0</v>
      </c>
      <c r="FE12" s="2042">
        <f t="shared" si="55"/>
        <v>0</v>
      </c>
      <c r="FF12" s="2042">
        <f t="shared" si="56"/>
        <v>0</v>
      </c>
      <c r="FG12" s="2042">
        <f t="shared" si="57"/>
        <v>0</v>
      </c>
      <c r="FH12" s="2042">
        <f t="shared" si="58"/>
        <v>0</v>
      </c>
      <c r="FI12" s="2042">
        <f t="shared" si="59"/>
        <v>0</v>
      </c>
      <c r="FJ12" s="2042">
        <f t="shared" si="195"/>
        <v>0</v>
      </c>
      <c r="FK12" s="2042">
        <f t="shared" si="60"/>
        <v>0</v>
      </c>
      <c r="FL12" s="2042">
        <f t="shared" si="61"/>
        <v>0</v>
      </c>
      <c r="FM12" s="2042">
        <f t="shared" si="62"/>
        <v>0</v>
      </c>
      <c r="FN12" s="2042">
        <f t="shared" si="63"/>
        <v>0</v>
      </c>
      <c r="FO12" s="2042">
        <f t="shared" si="64"/>
        <v>0</v>
      </c>
      <c r="FP12" s="2042">
        <f t="shared" si="65"/>
        <v>0</v>
      </c>
      <c r="FQ12" s="2047">
        <f t="shared" si="196"/>
        <v>0</v>
      </c>
      <c r="FR12" s="2042">
        <f t="shared" si="66"/>
        <v>0</v>
      </c>
      <c r="FS12" s="2042">
        <f t="shared" si="67"/>
        <v>0</v>
      </c>
      <c r="FT12" s="2042">
        <f t="shared" si="68"/>
        <v>0</v>
      </c>
      <c r="FU12" s="2042">
        <f t="shared" si="69"/>
        <v>0</v>
      </c>
      <c r="FV12" s="2042">
        <f t="shared" si="70"/>
        <v>0</v>
      </c>
      <c r="FW12" s="2042">
        <f t="shared" si="71"/>
        <v>0</v>
      </c>
      <c r="FX12" s="2042">
        <f t="shared" si="72"/>
        <v>0</v>
      </c>
      <c r="FY12" s="2042">
        <f t="shared" si="73"/>
        <v>0</v>
      </c>
      <c r="FZ12" s="2042">
        <f t="shared" si="74"/>
        <v>0</v>
      </c>
      <c r="GA12" s="2042">
        <f t="shared" si="75"/>
        <v>0</v>
      </c>
      <c r="GB12" s="2042">
        <f t="shared" si="76"/>
        <v>0</v>
      </c>
      <c r="GC12" s="2042">
        <f t="shared" si="77"/>
        <v>0</v>
      </c>
      <c r="GD12" s="2042">
        <f t="shared" si="78"/>
        <v>0</v>
      </c>
      <c r="GE12" s="2042">
        <f t="shared" si="79"/>
        <v>0</v>
      </c>
      <c r="GF12" s="2042">
        <f t="shared" si="80"/>
        <v>0</v>
      </c>
      <c r="GG12" s="2042">
        <f t="shared" si="81"/>
        <v>0</v>
      </c>
      <c r="GH12" s="2042">
        <f t="shared" si="82"/>
        <v>0</v>
      </c>
      <c r="GI12" s="2042">
        <f t="shared" si="83"/>
        <v>0</v>
      </c>
      <c r="GJ12" s="2042">
        <f t="shared" si="84"/>
        <v>0</v>
      </c>
      <c r="GK12" s="2042">
        <f t="shared" si="85"/>
        <v>0</v>
      </c>
      <c r="GL12" s="2042">
        <f t="shared" si="86"/>
        <v>0</v>
      </c>
      <c r="GM12" s="2042">
        <f t="shared" si="87"/>
        <v>0</v>
      </c>
      <c r="GN12" s="2042">
        <f t="shared" si="88"/>
        <v>0</v>
      </c>
      <c r="GO12" s="2042">
        <f t="shared" si="89"/>
        <v>0</v>
      </c>
      <c r="GP12" s="2047">
        <f t="shared" si="197"/>
        <v>0</v>
      </c>
      <c r="GQ12" s="2042">
        <f t="shared" si="90"/>
        <v>0</v>
      </c>
      <c r="GR12" s="2042">
        <f t="shared" si="91"/>
        <v>0</v>
      </c>
      <c r="GS12" s="2042">
        <f t="shared" si="92"/>
        <v>0</v>
      </c>
      <c r="GT12" s="2042">
        <f t="shared" si="93"/>
        <v>0</v>
      </c>
      <c r="GU12" s="2042">
        <f t="shared" si="94"/>
        <v>0</v>
      </c>
      <c r="GV12" s="2042">
        <f t="shared" si="95"/>
        <v>0</v>
      </c>
      <c r="GW12" s="2042">
        <f t="shared" si="96"/>
        <v>0</v>
      </c>
      <c r="GX12" s="2042">
        <f t="shared" si="97"/>
        <v>0</v>
      </c>
      <c r="GY12" s="2042">
        <f t="shared" si="98"/>
        <v>0</v>
      </c>
      <c r="GZ12" s="2042">
        <f t="shared" si="99"/>
        <v>0</v>
      </c>
      <c r="HA12" s="2042">
        <f t="shared" si="100"/>
        <v>0</v>
      </c>
      <c r="HB12" s="2042">
        <f t="shared" si="101"/>
        <v>0</v>
      </c>
      <c r="HC12" s="2047">
        <f t="shared" si="198"/>
        <v>0</v>
      </c>
      <c r="HD12" s="2042">
        <f t="shared" si="102"/>
        <v>0</v>
      </c>
      <c r="HE12" s="2042">
        <f t="shared" si="103"/>
        <v>0</v>
      </c>
      <c r="HF12" s="2042">
        <f t="shared" si="104"/>
        <v>0</v>
      </c>
      <c r="HG12" s="2042">
        <f t="shared" si="105"/>
        <v>0</v>
      </c>
      <c r="HH12" s="2042">
        <f t="shared" si="106"/>
        <v>0</v>
      </c>
      <c r="HI12" s="2042">
        <f t="shared" si="107"/>
        <v>0</v>
      </c>
      <c r="HJ12" s="2042">
        <f t="shared" si="108"/>
        <v>0</v>
      </c>
      <c r="HK12" s="2042">
        <f t="shared" si="109"/>
        <v>0</v>
      </c>
      <c r="HL12" s="2042">
        <f t="shared" si="110"/>
        <v>0</v>
      </c>
      <c r="HM12" s="2042">
        <f t="shared" si="111"/>
        <v>0</v>
      </c>
      <c r="HN12" s="2042">
        <f t="shared" si="112"/>
        <v>0</v>
      </c>
      <c r="HO12" s="2042">
        <f t="shared" si="113"/>
        <v>0</v>
      </c>
      <c r="HP12" s="2047">
        <f t="shared" si="199"/>
        <v>0</v>
      </c>
      <c r="HQ12" s="2042">
        <f t="shared" si="114"/>
        <v>0</v>
      </c>
      <c r="HR12" s="2042">
        <f t="shared" si="115"/>
        <v>0</v>
      </c>
      <c r="HS12" s="2042">
        <f t="shared" si="116"/>
        <v>0</v>
      </c>
      <c r="HT12" s="2042">
        <f t="shared" si="117"/>
        <v>0</v>
      </c>
      <c r="HU12" s="2042">
        <f t="shared" si="118"/>
        <v>0</v>
      </c>
      <c r="HV12" s="2042">
        <f t="shared" si="119"/>
        <v>0</v>
      </c>
      <c r="HW12" s="2042">
        <f t="shared" si="120"/>
        <v>0</v>
      </c>
      <c r="HX12" s="2042">
        <f t="shared" si="121"/>
        <v>0</v>
      </c>
      <c r="HY12" s="2042">
        <f t="shared" si="122"/>
        <v>0</v>
      </c>
      <c r="HZ12" s="2042">
        <f t="shared" si="123"/>
        <v>0</v>
      </c>
      <c r="IA12" s="2042">
        <f t="shared" si="124"/>
        <v>0</v>
      </c>
      <c r="IB12" s="2042">
        <f t="shared" si="125"/>
        <v>0</v>
      </c>
      <c r="IC12" s="2047">
        <f t="shared" si="200"/>
        <v>0</v>
      </c>
      <c r="IE12" s="2044">
        <f t="shared" si="201"/>
        <v>0</v>
      </c>
      <c r="IF12" s="2025">
        <f t="shared" si="126"/>
        <v>0</v>
      </c>
      <c r="IG12" s="2025">
        <f t="shared" si="127"/>
        <v>0</v>
      </c>
      <c r="IH12" s="2025">
        <f t="shared" si="128"/>
        <v>0</v>
      </c>
      <c r="II12" s="2025">
        <f t="shared" si="129"/>
        <v>0</v>
      </c>
      <c r="IJ12" s="2025">
        <f t="shared" si="130"/>
        <v>0</v>
      </c>
      <c r="IK12" s="2025">
        <f t="shared" si="131"/>
        <v>0</v>
      </c>
      <c r="IL12" s="2025">
        <f t="shared" si="132"/>
        <v>0</v>
      </c>
      <c r="IM12" s="2025">
        <f t="shared" si="133"/>
        <v>0</v>
      </c>
      <c r="IN12" s="2025">
        <f t="shared" si="134"/>
        <v>0</v>
      </c>
      <c r="IO12" s="2025">
        <f t="shared" si="135"/>
        <v>0</v>
      </c>
      <c r="IP12" s="2025">
        <f t="shared" si="136"/>
        <v>0</v>
      </c>
      <c r="IQ12" s="2025">
        <f t="shared" si="137"/>
        <v>0</v>
      </c>
      <c r="IS12" s="2044">
        <f t="shared" si="202"/>
        <v>0</v>
      </c>
      <c r="IT12" s="2025">
        <f t="shared" si="138"/>
        <v>0</v>
      </c>
      <c r="IU12" s="2025">
        <f t="shared" si="139"/>
        <v>0</v>
      </c>
      <c r="IV12" s="2025">
        <f t="shared" si="140"/>
        <v>0</v>
      </c>
      <c r="IW12" s="2025">
        <f t="shared" si="141"/>
        <v>0</v>
      </c>
      <c r="IX12" s="2025">
        <f t="shared" si="142"/>
        <v>0</v>
      </c>
      <c r="IY12" s="2025">
        <f t="shared" si="143"/>
        <v>0</v>
      </c>
      <c r="IZ12" s="2025">
        <f t="shared" si="144"/>
        <v>0</v>
      </c>
      <c r="JA12" s="2025">
        <f t="shared" si="145"/>
        <v>0</v>
      </c>
      <c r="JB12" s="2025">
        <f t="shared" si="146"/>
        <v>0</v>
      </c>
      <c r="JC12" s="2025">
        <f t="shared" si="147"/>
        <v>0</v>
      </c>
      <c r="JD12" s="2025">
        <f t="shared" si="148"/>
        <v>0</v>
      </c>
      <c r="JE12" s="2025">
        <f t="shared" si="149"/>
        <v>0</v>
      </c>
    </row>
    <row r="13" spans="1:265" ht="18" customHeight="1">
      <c r="A13" s="1319"/>
      <c r="B13" s="2023">
        <v>9</v>
      </c>
      <c r="C13" s="1105"/>
      <c r="D13" s="2130"/>
      <c r="E13" s="739"/>
      <c r="F13" s="1544"/>
      <c r="G13" s="1320"/>
      <c r="H13" s="1321">
        <f t="shared" si="0"/>
        <v>0</v>
      </c>
      <c r="I13" s="1321">
        <f t="shared" si="150"/>
        <v>0</v>
      </c>
      <c r="J13" s="1321">
        <f t="shared" si="1"/>
        <v>0</v>
      </c>
      <c r="K13" s="1321">
        <f t="shared" si="2"/>
        <v>0</v>
      </c>
      <c r="L13" s="1322">
        <f>Summen_GL!F80</f>
        <v>0</v>
      </c>
      <c r="M13" s="1323">
        <f t="shared" si="151"/>
        <v>0</v>
      </c>
      <c r="N13" s="2024"/>
      <c r="O13" s="1321">
        <f t="shared" si="205"/>
        <v>0</v>
      </c>
      <c r="P13" s="1321">
        <f t="shared" si="3"/>
        <v>0</v>
      </c>
      <c r="Q13" s="2024"/>
      <c r="R13" s="1470"/>
      <c r="S13" s="1471"/>
      <c r="T13" s="1470"/>
      <c r="U13" s="1471"/>
      <c r="V13" s="1470"/>
      <c r="W13" s="1471"/>
      <c r="X13" s="1470"/>
      <c r="Y13" s="1471"/>
      <c r="Z13" s="1470"/>
      <c r="AA13" s="1471"/>
      <c r="AB13" s="1470"/>
      <c r="AC13" s="1551"/>
      <c r="AD13" s="844"/>
      <c r="AE13" s="1561">
        <f>'meine Dünger'!C13</f>
        <v>0</v>
      </c>
      <c r="AF13" s="1562">
        <f>'meine Dünger'!AL13</f>
        <v>0</v>
      </c>
      <c r="AG13" s="844"/>
      <c r="AH13" s="1563" t="s">
        <v>852</v>
      </c>
      <c r="AI13" s="2132" t="s">
        <v>855</v>
      </c>
      <c r="AJ13" s="1319"/>
      <c r="AK13" s="1593">
        <f t="shared" si="152"/>
        <v>0</v>
      </c>
      <c r="AL13" s="1594">
        <f t="shared" si="153"/>
        <v>0</v>
      </c>
      <c r="AM13" s="1319"/>
      <c r="AN13" s="1319"/>
      <c r="AP13" s="1860">
        <f t="shared" si="154"/>
        <v>0</v>
      </c>
      <c r="AQ13" s="1860">
        <f t="shared" si="155"/>
        <v>0</v>
      </c>
      <c r="AR13" s="1860">
        <f t="shared" si="156"/>
        <v>0</v>
      </c>
      <c r="AS13" s="1860">
        <f t="shared" si="157"/>
        <v>0</v>
      </c>
      <c r="AT13" s="1860">
        <f t="shared" si="158"/>
        <v>0</v>
      </c>
      <c r="AU13" s="1860">
        <f t="shared" si="159"/>
        <v>0</v>
      </c>
      <c r="AV13" s="1860">
        <f t="shared" si="160"/>
        <v>0</v>
      </c>
      <c r="AW13" s="1860">
        <f t="shared" si="161"/>
        <v>0</v>
      </c>
      <c r="AX13" s="1860">
        <f t="shared" si="162"/>
        <v>0</v>
      </c>
      <c r="AY13" s="1860">
        <f t="shared" si="163"/>
        <v>0</v>
      </c>
      <c r="AZ13" s="1860">
        <f t="shared" si="164"/>
        <v>0</v>
      </c>
      <c r="BA13" s="2026">
        <f t="shared" si="165"/>
        <v>0</v>
      </c>
      <c r="BB13" s="2026">
        <f t="shared" si="166"/>
        <v>0</v>
      </c>
      <c r="BC13" s="2026">
        <f t="shared" si="167"/>
        <v>0</v>
      </c>
      <c r="BD13" s="2026">
        <f t="shared" si="168"/>
        <v>0</v>
      </c>
      <c r="BE13" s="2026">
        <f t="shared" si="169"/>
        <v>0</v>
      </c>
      <c r="BF13" s="2026">
        <f t="shared" si="170"/>
        <v>0</v>
      </c>
      <c r="BG13" s="2026">
        <f t="shared" si="171"/>
        <v>0</v>
      </c>
      <c r="BH13" s="2026">
        <f t="shared" si="172"/>
        <v>0</v>
      </c>
      <c r="BI13" s="2026">
        <f t="shared" si="173"/>
        <v>0</v>
      </c>
      <c r="BJ13" s="2026">
        <f t="shared" si="174"/>
        <v>0</v>
      </c>
      <c r="BK13" s="2027"/>
      <c r="BL13" s="2026">
        <f t="shared" si="175"/>
        <v>0</v>
      </c>
      <c r="BM13" s="2026">
        <f t="shared" si="176"/>
        <v>0</v>
      </c>
      <c r="BN13" s="2026">
        <f t="shared" si="4"/>
        <v>0</v>
      </c>
      <c r="BO13" s="2026">
        <f t="shared" si="5"/>
        <v>0</v>
      </c>
      <c r="BP13" s="2026">
        <f t="shared" si="6"/>
        <v>0</v>
      </c>
      <c r="BQ13" s="2026">
        <f t="shared" si="7"/>
        <v>0</v>
      </c>
      <c r="BR13" s="2026">
        <f t="shared" si="8"/>
        <v>0</v>
      </c>
      <c r="BS13" s="2026">
        <f t="shared" si="177"/>
        <v>0</v>
      </c>
      <c r="BT13" s="2026">
        <f t="shared" si="9"/>
        <v>0</v>
      </c>
      <c r="BU13" s="2026">
        <f t="shared" si="10"/>
        <v>0</v>
      </c>
      <c r="BV13" s="2028"/>
      <c r="BW13" s="2029">
        <f t="shared" si="11"/>
        <v>0</v>
      </c>
      <c r="BX13" s="2029">
        <f t="shared" si="178"/>
        <v>0</v>
      </c>
      <c r="BY13" s="2029">
        <f t="shared" si="179"/>
        <v>0</v>
      </c>
      <c r="CA13" s="2030">
        <f t="shared" si="12"/>
        <v>0</v>
      </c>
      <c r="CB13" s="2030">
        <f t="shared" si="13"/>
        <v>0</v>
      </c>
      <c r="CC13" s="2030">
        <f t="shared" si="14"/>
        <v>0</v>
      </c>
      <c r="CD13" s="2031">
        <f t="shared" si="15"/>
        <v>0</v>
      </c>
      <c r="CE13" s="2031">
        <f t="shared" si="16"/>
        <v>0</v>
      </c>
      <c r="CF13" s="2031">
        <f t="shared" si="180"/>
        <v>0</v>
      </c>
      <c r="CG13" s="2030">
        <f t="shared" si="17"/>
        <v>0</v>
      </c>
      <c r="CH13" s="2032">
        <f t="shared" si="18"/>
        <v>0</v>
      </c>
      <c r="CI13" s="2032">
        <f t="shared" si="19"/>
        <v>0</v>
      </c>
      <c r="CJ13" s="2032">
        <f t="shared" si="181"/>
        <v>0</v>
      </c>
      <c r="CK13" s="2030">
        <f t="shared" si="20"/>
        <v>0</v>
      </c>
      <c r="CL13" s="2033">
        <f t="shared" si="21"/>
        <v>0</v>
      </c>
      <c r="CM13" s="2032">
        <f t="shared" si="22"/>
        <v>0</v>
      </c>
      <c r="CN13" s="2033">
        <f t="shared" si="23"/>
        <v>0</v>
      </c>
      <c r="CO13" s="2033">
        <f t="shared" si="182"/>
        <v>0</v>
      </c>
      <c r="CP13" s="2030">
        <f t="shared" si="24"/>
        <v>0</v>
      </c>
      <c r="CQ13" s="2030">
        <f t="shared" si="25"/>
        <v>0</v>
      </c>
      <c r="CR13" s="2030">
        <f t="shared" si="26"/>
        <v>0</v>
      </c>
      <c r="CS13" s="2030">
        <f t="shared" si="27"/>
        <v>0</v>
      </c>
      <c r="CT13" s="2035">
        <f t="shared" si="28"/>
        <v>0</v>
      </c>
      <c r="CU13" s="2036">
        <f t="shared" si="183"/>
        <v>0</v>
      </c>
      <c r="CV13" s="2036">
        <f t="shared" si="184"/>
        <v>0</v>
      </c>
      <c r="CW13" s="2036">
        <f t="shared" si="185"/>
        <v>0</v>
      </c>
      <c r="CY13" s="2055" t="s">
        <v>1030</v>
      </c>
      <c r="CZ13" s="2057">
        <v>12000</v>
      </c>
      <c r="DA13" s="2057">
        <v>12500</v>
      </c>
      <c r="DB13" s="2056">
        <v>13000</v>
      </c>
      <c r="DC13" s="10"/>
      <c r="DE13" s="2055" t="s">
        <v>1030</v>
      </c>
      <c r="DF13" s="2057">
        <v>12500</v>
      </c>
      <c r="DG13" s="2057">
        <v>12500</v>
      </c>
      <c r="DH13" s="2057">
        <v>12500</v>
      </c>
      <c r="DL13" s="10">
        <f t="shared" si="186"/>
        <v>0</v>
      </c>
      <c r="DM13" s="10">
        <f t="shared" si="29"/>
        <v>0</v>
      </c>
      <c r="DN13" s="2027" t="e">
        <f>DL13/Betrieb!$E$23</f>
        <v>#DIV/0!</v>
      </c>
      <c r="DO13" s="2027" t="e">
        <f>DM13/Betrieb!$E$24</f>
        <v>#DIV/0!</v>
      </c>
      <c r="DP13" s="2041">
        <f>(Betrieb!$E$21*Betrieb!$H$21)+(Betrieb!$E$23*Betrieb!$H$23)</f>
        <v>0</v>
      </c>
      <c r="DQ13" s="2025">
        <f>(Betrieb!$E$22*Betrieb!$H$22)+(Betrieb!$E$24*Betrieb!$H$24)</f>
        <v>0</v>
      </c>
      <c r="DR13" s="2041">
        <f t="shared" si="187"/>
        <v>0</v>
      </c>
      <c r="DS13" s="2025">
        <f t="shared" si="188"/>
        <v>0</v>
      </c>
      <c r="DT13" s="2042">
        <f t="shared" si="189"/>
        <v>0</v>
      </c>
      <c r="DU13" s="2043">
        <f t="shared" si="203"/>
        <v>0</v>
      </c>
      <c r="DV13" s="2043">
        <f t="shared" si="190"/>
        <v>0</v>
      </c>
      <c r="DW13" s="2043">
        <f t="shared" si="204"/>
        <v>0</v>
      </c>
      <c r="DZ13" s="2044">
        <f t="shared" si="191"/>
        <v>0</v>
      </c>
      <c r="EA13" s="1874">
        <f t="shared" si="30"/>
        <v>0</v>
      </c>
      <c r="EB13" s="1874">
        <f t="shared" si="31"/>
        <v>0</v>
      </c>
      <c r="EC13" s="1874">
        <f t="shared" si="32"/>
        <v>0</v>
      </c>
      <c r="ED13" s="1874">
        <f t="shared" si="33"/>
        <v>0</v>
      </c>
      <c r="EE13" s="1874">
        <f t="shared" si="34"/>
        <v>0</v>
      </c>
      <c r="EF13" s="1874">
        <f t="shared" si="35"/>
        <v>0</v>
      </c>
      <c r="EH13" s="2044">
        <f t="shared" si="192"/>
        <v>0</v>
      </c>
      <c r="EI13" s="2025">
        <f t="shared" si="36"/>
        <v>0</v>
      </c>
      <c r="EJ13" s="2025">
        <f t="shared" si="37"/>
        <v>0</v>
      </c>
      <c r="EK13" s="2025">
        <f t="shared" si="38"/>
        <v>0</v>
      </c>
      <c r="EL13" s="2025">
        <f t="shared" si="39"/>
        <v>0</v>
      </c>
      <c r="EM13" s="2025">
        <f t="shared" si="40"/>
        <v>0</v>
      </c>
      <c r="EN13" s="2025">
        <f t="shared" si="41"/>
        <v>0</v>
      </c>
      <c r="EP13" s="2045">
        <f t="shared" si="42"/>
        <v>0</v>
      </c>
      <c r="EQ13" s="2042">
        <f t="shared" si="193"/>
        <v>0</v>
      </c>
      <c r="ER13" s="2042">
        <f t="shared" si="43"/>
        <v>0</v>
      </c>
      <c r="ES13" s="2042">
        <f t="shared" si="44"/>
        <v>0</v>
      </c>
      <c r="ET13" s="2042">
        <f t="shared" si="45"/>
        <v>0</v>
      </c>
      <c r="EU13" s="2042">
        <f t="shared" si="46"/>
        <v>0</v>
      </c>
      <c r="EV13" s="2042">
        <f t="shared" si="47"/>
        <v>0</v>
      </c>
      <c r="EW13" s="2042">
        <f t="shared" si="48"/>
        <v>0</v>
      </c>
      <c r="EX13" s="2042">
        <f t="shared" si="49"/>
        <v>0</v>
      </c>
      <c r="EY13" s="2042">
        <f t="shared" si="50"/>
        <v>0</v>
      </c>
      <c r="EZ13" s="2042">
        <f t="shared" si="51"/>
        <v>0</v>
      </c>
      <c r="FA13" s="2042">
        <f t="shared" si="52"/>
        <v>0</v>
      </c>
      <c r="FB13" s="2042">
        <f t="shared" si="53"/>
        <v>0</v>
      </c>
      <c r="FC13" s="2042">
        <f t="shared" si="54"/>
        <v>0</v>
      </c>
      <c r="FD13" s="2046">
        <f t="shared" si="194"/>
        <v>0</v>
      </c>
      <c r="FE13" s="2042">
        <f t="shared" si="55"/>
        <v>0</v>
      </c>
      <c r="FF13" s="2042">
        <f t="shared" si="56"/>
        <v>0</v>
      </c>
      <c r="FG13" s="2042">
        <f t="shared" si="57"/>
        <v>0</v>
      </c>
      <c r="FH13" s="2042">
        <f t="shared" si="58"/>
        <v>0</v>
      </c>
      <c r="FI13" s="2042">
        <f t="shared" si="59"/>
        <v>0</v>
      </c>
      <c r="FJ13" s="2042">
        <f t="shared" si="195"/>
        <v>0</v>
      </c>
      <c r="FK13" s="2042">
        <f t="shared" si="60"/>
        <v>0</v>
      </c>
      <c r="FL13" s="2042">
        <f t="shared" si="61"/>
        <v>0</v>
      </c>
      <c r="FM13" s="2042">
        <f t="shared" si="62"/>
        <v>0</v>
      </c>
      <c r="FN13" s="2042">
        <f t="shared" si="63"/>
        <v>0</v>
      </c>
      <c r="FO13" s="2042">
        <f t="shared" si="64"/>
        <v>0</v>
      </c>
      <c r="FP13" s="2042">
        <f t="shared" si="65"/>
        <v>0</v>
      </c>
      <c r="FQ13" s="2047">
        <f t="shared" si="196"/>
        <v>0</v>
      </c>
      <c r="FR13" s="2042">
        <f t="shared" si="66"/>
        <v>0</v>
      </c>
      <c r="FS13" s="2042">
        <f t="shared" si="67"/>
        <v>0</v>
      </c>
      <c r="FT13" s="2042">
        <f t="shared" si="68"/>
        <v>0</v>
      </c>
      <c r="FU13" s="2042">
        <f t="shared" si="69"/>
        <v>0</v>
      </c>
      <c r="FV13" s="2042">
        <f t="shared" si="70"/>
        <v>0</v>
      </c>
      <c r="FW13" s="2042">
        <f t="shared" si="71"/>
        <v>0</v>
      </c>
      <c r="FX13" s="2042">
        <f t="shared" si="72"/>
        <v>0</v>
      </c>
      <c r="FY13" s="2042">
        <f t="shared" si="73"/>
        <v>0</v>
      </c>
      <c r="FZ13" s="2042">
        <f t="shared" si="74"/>
        <v>0</v>
      </c>
      <c r="GA13" s="2042">
        <f t="shared" si="75"/>
        <v>0</v>
      </c>
      <c r="GB13" s="2042">
        <f t="shared" si="76"/>
        <v>0</v>
      </c>
      <c r="GC13" s="2042">
        <f t="shared" si="77"/>
        <v>0</v>
      </c>
      <c r="GD13" s="2042">
        <f t="shared" si="78"/>
        <v>0</v>
      </c>
      <c r="GE13" s="2042">
        <f t="shared" si="79"/>
        <v>0</v>
      </c>
      <c r="GF13" s="2042">
        <f t="shared" si="80"/>
        <v>0</v>
      </c>
      <c r="GG13" s="2042">
        <f t="shared" si="81"/>
        <v>0</v>
      </c>
      <c r="GH13" s="2042">
        <f t="shared" si="82"/>
        <v>0</v>
      </c>
      <c r="GI13" s="2042">
        <f t="shared" si="83"/>
        <v>0</v>
      </c>
      <c r="GJ13" s="2042">
        <f t="shared" si="84"/>
        <v>0</v>
      </c>
      <c r="GK13" s="2042">
        <f t="shared" si="85"/>
        <v>0</v>
      </c>
      <c r="GL13" s="2042">
        <f t="shared" si="86"/>
        <v>0</v>
      </c>
      <c r="GM13" s="2042">
        <f t="shared" si="87"/>
        <v>0</v>
      </c>
      <c r="GN13" s="2042">
        <f t="shared" si="88"/>
        <v>0</v>
      </c>
      <c r="GO13" s="2042">
        <f t="shared" si="89"/>
        <v>0</v>
      </c>
      <c r="GP13" s="2047">
        <f t="shared" si="197"/>
        <v>0</v>
      </c>
      <c r="GQ13" s="2042">
        <f t="shared" si="90"/>
        <v>0</v>
      </c>
      <c r="GR13" s="2042">
        <f t="shared" si="91"/>
        <v>0</v>
      </c>
      <c r="GS13" s="2042">
        <f t="shared" si="92"/>
        <v>0</v>
      </c>
      <c r="GT13" s="2042">
        <f t="shared" si="93"/>
        <v>0</v>
      </c>
      <c r="GU13" s="2042">
        <f t="shared" si="94"/>
        <v>0</v>
      </c>
      <c r="GV13" s="2042">
        <f t="shared" si="95"/>
        <v>0</v>
      </c>
      <c r="GW13" s="2042">
        <f t="shared" si="96"/>
        <v>0</v>
      </c>
      <c r="GX13" s="2042">
        <f t="shared" si="97"/>
        <v>0</v>
      </c>
      <c r="GY13" s="2042">
        <f t="shared" si="98"/>
        <v>0</v>
      </c>
      <c r="GZ13" s="2042">
        <f t="shared" si="99"/>
        <v>0</v>
      </c>
      <c r="HA13" s="2042">
        <f t="shared" si="100"/>
        <v>0</v>
      </c>
      <c r="HB13" s="2042">
        <f t="shared" si="101"/>
        <v>0</v>
      </c>
      <c r="HC13" s="2047">
        <f t="shared" si="198"/>
        <v>0</v>
      </c>
      <c r="HD13" s="2042">
        <f t="shared" si="102"/>
        <v>0</v>
      </c>
      <c r="HE13" s="2042">
        <f t="shared" si="103"/>
        <v>0</v>
      </c>
      <c r="HF13" s="2042">
        <f t="shared" si="104"/>
        <v>0</v>
      </c>
      <c r="HG13" s="2042">
        <f t="shared" si="105"/>
        <v>0</v>
      </c>
      <c r="HH13" s="2042">
        <f t="shared" si="106"/>
        <v>0</v>
      </c>
      <c r="HI13" s="2042">
        <f t="shared" si="107"/>
        <v>0</v>
      </c>
      <c r="HJ13" s="2042">
        <f t="shared" si="108"/>
        <v>0</v>
      </c>
      <c r="HK13" s="2042">
        <f t="shared" si="109"/>
        <v>0</v>
      </c>
      <c r="HL13" s="2042">
        <f t="shared" si="110"/>
        <v>0</v>
      </c>
      <c r="HM13" s="2042">
        <f t="shared" si="111"/>
        <v>0</v>
      </c>
      <c r="HN13" s="2042">
        <f t="shared" si="112"/>
        <v>0</v>
      </c>
      <c r="HO13" s="2042">
        <f t="shared" si="113"/>
        <v>0</v>
      </c>
      <c r="HP13" s="2047">
        <f t="shared" si="199"/>
        <v>0</v>
      </c>
      <c r="HQ13" s="2042">
        <f t="shared" si="114"/>
        <v>0</v>
      </c>
      <c r="HR13" s="2042">
        <f t="shared" si="115"/>
        <v>0</v>
      </c>
      <c r="HS13" s="2042">
        <f t="shared" si="116"/>
        <v>0</v>
      </c>
      <c r="HT13" s="2042">
        <f t="shared" si="117"/>
        <v>0</v>
      </c>
      <c r="HU13" s="2042">
        <f t="shared" si="118"/>
        <v>0</v>
      </c>
      <c r="HV13" s="2042">
        <f t="shared" si="119"/>
        <v>0</v>
      </c>
      <c r="HW13" s="2042">
        <f t="shared" si="120"/>
        <v>0</v>
      </c>
      <c r="HX13" s="2042">
        <f t="shared" si="121"/>
        <v>0</v>
      </c>
      <c r="HY13" s="2042">
        <f t="shared" si="122"/>
        <v>0</v>
      </c>
      <c r="HZ13" s="2042">
        <f t="shared" si="123"/>
        <v>0</v>
      </c>
      <c r="IA13" s="2042">
        <f t="shared" si="124"/>
        <v>0</v>
      </c>
      <c r="IB13" s="2042">
        <f t="shared" si="125"/>
        <v>0</v>
      </c>
      <c r="IC13" s="2047">
        <f t="shared" si="200"/>
        <v>0</v>
      </c>
      <c r="IE13" s="2044">
        <f t="shared" si="201"/>
        <v>0</v>
      </c>
      <c r="IF13" s="2025">
        <f t="shared" si="126"/>
        <v>0</v>
      </c>
      <c r="IG13" s="2025">
        <f t="shared" si="127"/>
        <v>0</v>
      </c>
      <c r="IH13" s="2025">
        <f t="shared" si="128"/>
        <v>0</v>
      </c>
      <c r="II13" s="2025">
        <f t="shared" si="129"/>
        <v>0</v>
      </c>
      <c r="IJ13" s="2025">
        <f t="shared" si="130"/>
        <v>0</v>
      </c>
      <c r="IK13" s="2025">
        <f t="shared" si="131"/>
        <v>0</v>
      </c>
      <c r="IL13" s="2025">
        <f t="shared" si="132"/>
        <v>0</v>
      </c>
      <c r="IM13" s="2025">
        <f t="shared" si="133"/>
        <v>0</v>
      </c>
      <c r="IN13" s="2025">
        <f t="shared" si="134"/>
        <v>0</v>
      </c>
      <c r="IO13" s="2025">
        <f t="shared" si="135"/>
        <v>0</v>
      </c>
      <c r="IP13" s="2025">
        <f t="shared" si="136"/>
        <v>0</v>
      </c>
      <c r="IQ13" s="2025">
        <f t="shared" si="137"/>
        <v>0</v>
      </c>
      <c r="IS13" s="2044">
        <f t="shared" si="202"/>
        <v>0</v>
      </c>
      <c r="IT13" s="2025">
        <f t="shared" si="138"/>
        <v>0</v>
      </c>
      <c r="IU13" s="2025">
        <f t="shared" si="139"/>
        <v>0</v>
      </c>
      <c r="IV13" s="2025">
        <f t="shared" si="140"/>
        <v>0</v>
      </c>
      <c r="IW13" s="2025">
        <f t="shared" si="141"/>
        <v>0</v>
      </c>
      <c r="IX13" s="2025">
        <f t="shared" si="142"/>
        <v>0</v>
      </c>
      <c r="IY13" s="2025">
        <f t="shared" si="143"/>
        <v>0</v>
      </c>
      <c r="IZ13" s="2025">
        <f t="shared" si="144"/>
        <v>0</v>
      </c>
      <c r="JA13" s="2025">
        <f t="shared" si="145"/>
        <v>0</v>
      </c>
      <c r="JB13" s="2025">
        <f t="shared" si="146"/>
        <v>0</v>
      </c>
      <c r="JC13" s="2025">
        <f t="shared" si="147"/>
        <v>0</v>
      </c>
      <c r="JD13" s="2025">
        <f t="shared" si="148"/>
        <v>0</v>
      </c>
      <c r="JE13" s="2025">
        <f t="shared" si="149"/>
        <v>0</v>
      </c>
    </row>
    <row r="14" spans="1:265" ht="18" customHeight="1">
      <c r="A14" s="1319"/>
      <c r="B14" s="2023">
        <v>10</v>
      </c>
      <c r="C14" s="1105"/>
      <c r="D14" s="2130"/>
      <c r="E14" s="739"/>
      <c r="F14" s="1544"/>
      <c r="G14" s="1320"/>
      <c r="H14" s="1321">
        <f t="shared" si="0"/>
        <v>0</v>
      </c>
      <c r="I14" s="1321">
        <f t="shared" si="150"/>
        <v>0</v>
      </c>
      <c r="J14" s="1321">
        <f t="shared" si="1"/>
        <v>0</v>
      </c>
      <c r="K14" s="1321">
        <f t="shared" si="2"/>
        <v>0</v>
      </c>
      <c r="L14" s="1322">
        <f>Summen_GL!F81</f>
        <v>0</v>
      </c>
      <c r="M14" s="1323">
        <f t="shared" si="151"/>
        <v>0</v>
      </c>
      <c r="N14" s="2024"/>
      <c r="O14" s="1321">
        <f t="shared" si="205"/>
        <v>0</v>
      </c>
      <c r="P14" s="1321">
        <f t="shared" si="3"/>
        <v>0</v>
      </c>
      <c r="Q14" s="2024"/>
      <c r="R14" s="1470"/>
      <c r="S14" s="1471"/>
      <c r="T14" s="1470"/>
      <c r="U14" s="1471"/>
      <c r="V14" s="1470"/>
      <c r="W14" s="1471"/>
      <c r="X14" s="1470"/>
      <c r="Y14" s="1471"/>
      <c r="Z14" s="1470"/>
      <c r="AA14" s="1471"/>
      <c r="AB14" s="1470"/>
      <c r="AC14" s="1551"/>
      <c r="AD14" s="844"/>
      <c r="AE14" s="1561">
        <f>'meine Dünger'!C14</f>
        <v>0</v>
      </c>
      <c r="AF14" s="1562">
        <f>'meine Dünger'!AL14</f>
        <v>0</v>
      </c>
      <c r="AG14" s="844"/>
      <c r="AH14" s="1563" t="s">
        <v>852</v>
      </c>
      <c r="AI14" s="2132" t="s">
        <v>1268</v>
      </c>
      <c r="AJ14" s="1319"/>
      <c r="AK14" s="1593">
        <f t="shared" si="152"/>
        <v>0</v>
      </c>
      <c r="AL14" s="1594">
        <f t="shared" si="153"/>
        <v>0</v>
      </c>
      <c r="AM14" s="1319"/>
      <c r="AN14" s="1319"/>
      <c r="AP14" s="1860">
        <f t="shared" si="154"/>
        <v>0</v>
      </c>
      <c r="AQ14" s="1860">
        <f t="shared" si="155"/>
        <v>0</v>
      </c>
      <c r="AR14" s="1860">
        <f t="shared" si="156"/>
        <v>0</v>
      </c>
      <c r="AS14" s="1860">
        <f t="shared" si="157"/>
        <v>0</v>
      </c>
      <c r="AT14" s="1860">
        <f t="shared" si="158"/>
        <v>0</v>
      </c>
      <c r="AU14" s="1860">
        <f t="shared" si="159"/>
        <v>0</v>
      </c>
      <c r="AV14" s="1860">
        <f t="shared" si="160"/>
        <v>0</v>
      </c>
      <c r="AW14" s="1860">
        <f t="shared" si="161"/>
        <v>0</v>
      </c>
      <c r="AX14" s="1860">
        <f t="shared" si="162"/>
        <v>0</v>
      </c>
      <c r="AY14" s="1860">
        <f t="shared" si="163"/>
        <v>0</v>
      </c>
      <c r="AZ14" s="1860">
        <f t="shared" si="164"/>
        <v>0</v>
      </c>
      <c r="BA14" s="2026">
        <f t="shared" si="165"/>
        <v>0</v>
      </c>
      <c r="BB14" s="2026">
        <f t="shared" si="166"/>
        <v>0</v>
      </c>
      <c r="BC14" s="2026">
        <f t="shared" si="167"/>
        <v>0</v>
      </c>
      <c r="BD14" s="2026">
        <f t="shared" si="168"/>
        <v>0</v>
      </c>
      <c r="BE14" s="2026">
        <f t="shared" si="169"/>
        <v>0</v>
      </c>
      <c r="BF14" s="2026">
        <f t="shared" si="170"/>
        <v>0</v>
      </c>
      <c r="BG14" s="2026">
        <f t="shared" si="171"/>
        <v>0</v>
      </c>
      <c r="BH14" s="2026">
        <f t="shared" si="172"/>
        <v>0</v>
      </c>
      <c r="BI14" s="2026">
        <f t="shared" si="173"/>
        <v>0</v>
      </c>
      <c r="BJ14" s="2026">
        <f t="shared" si="174"/>
        <v>0</v>
      </c>
      <c r="BK14" s="2027"/>
      <c r="BL14" s="2026">
        <f t="shared" si="175"/>
        <v>0</v>
      </c>
      <c r="BM14" s="2026">
        <f t="shared" si="176"/>
        <v>0</v>
      </c>
      <c r="BN14" s="2026">
        <f t="shared" si="4"/>
        <v>0</v>
      </c>
      <c r="BO14" s="2026">
        <f t="shared" si="5"/>
        <v>0</v>
      </c>
      <c r="BP14" s="2026">
        <f t="shared" si="6"/>
        <v>0</v>
      </c>
      <c r="BQ14" s="2026">
        <f t="shared" si="7"/>
        <v>0</v>
      </c>
      <c r="BR14" s="2026">
        <f t="shared" si="8"/>
        <v>0</v>
      </c>
      <c r="BS14" s="2026">
        <f t="shared" si="177"/>
        <v>0</v>
      </c>
      <c r="BT14" s="2026">
        <f t="shared" si="9"/>
        <v>0</v>
      </c>
      <c r="BU14" s="2026">
        <f t="shared" si="10"/>
        <v>0</v>
      </c>
      <c r="BV14" s="2028"/>
      <c r="BW14" s="2029">
        <f t="shared" si="11"/>
        <v>0</v>
      </c>
      <c r="BX14" s="2029">
        <f t="shared" si="178"/>
        <v>0</v>
      </c>
      <c r="BY14" s="2029">
        <f t="shared" si="179"/>
        <v>0</v>
      </c>
      <c r="CA14" s="2030">
        <f t="shared" si="12"/>
        <v>0</v>
      </c>
      <c r="CB14" s="2030">
        <f t="shared" si="13"/>
        <v>0</v>
      </c>
      <c r="CC14" s="2030">
        <f t="shared" si="14"/>
        <v>0</v>
      </c>
      <c r="CD14" s="2031">
        <f t="shared" si="15"/>
        <v>0</v>
      </c>
      <c r="CE14" s="2031">
        <f t="shared" si="16"/>
        <v>0</v>
      </c>
      <c r="CF14" s="2031">
        <f t="shared" si="180"/>
        <v>0</v>
      </c>
      <c r="CG14" s="2030">
        <f t="shared" si="17"/>
        <v>0</v>
      </c>
      <c r="CH14" s="2032">
        <f t="shared" si="18"/>
        <v>0</v>
      </c>
      <c r="CI14" s="2032">
        <f t="shared" si="19"/>
        <v>0</v>
      </c>
      <c r="CJ14" s="2032">
        <f t="shared" si="181"/>
        <v>0</v>
      </c>
      <c r="CK14" s="2030">
        <f t="shared" si="20"/>
        <v>0</v>
      </c>
      <c r="CL14" s="2033">
        <f t="shared" si="21"/>
        <v>0</v>
      </c>
      <c r="CM14" s="2032">
        <f t="shared" si="22"/>
        <v>0</v>
      </c>
      <c r="CN14" s="2033">
        <f t="shared" si="23"/>
        <v>0</v>
      </c>
      <c r="CO14" s="2033">
        <f t="shared" si="182"/>
        <v>0</v>
      </c>
      <c r="CP14" s="2030">
        <f t="shared" si="24"/>
        <v>0</v>
      </c>
      <c r="CQ14" s="2030">
        <f t="shared" si="25"/>
        <v>0</v>
      </c>
      <c r="CR14" s="2030">
        <f t="shared" si="26"/>
        <v>0</v>
      </c>
      <c r="CS14" s="2030">
        <f t="shared" si="27"/>
        <v>0</v>
      </c>
      <c r="CT14" s="2035">
        <f t="shared" si="28"/>
        <v>0</v>
      </c>
      <c r="CU14" s="2036">
        <f t="shared" si="183"/>
        <v>0</v>
      </c>
      <c r="CV14" s="2036">
        <f t="shared" si="184"/>
        <v>0</v>
      </c>
      <c r="CW14" s="2036">
        <f t="shared" si="185"/>
        <v>0</v>
      </c>
      <c r="CY14" s="2054" t="s">
        <v>1020</v>
      </c>
      <c r="CZ14" s="2057">
        <v>6000</v>
      </c>
      <c r="DA14" s="2052">
        <v>7000</v>
      </c>
      <c r="DB14" s="2056">
        <v>9000</v>
      </c>
      <c r="DC14" s="10"/>
      <c r="DE14" s="2054" t="s">
        <v>1020</v>
      </c>
      <c r="DF14" s="2052">
        <v>7000</v>
      </c>
      <c r="DG14" s="2052">
        <v>7000</v>
      </c>
      <c r="DH14" s="2052">
        <v>7000</v>
      </c>
      <c r="DL14" s="10">
        <f t="shared" si="186"/>
        <v>0</v>
      </c>
      <c r="DM14" s="10">
        <f t="shared" si="29"/>
        <v>0</v>
      </c>
      <c r="DN14" s="2027" t="e">
        <f>DL14/Betrieb!$E$23</f>
        <v>#DIV/0!</v>
      </c>
      <c r="DO14" s="2027" t="e">
        <f>DM14/Betrieb!$E$24</f>
        <v>#DIV/0!</v>
      </c>
      <c r="DP14" s="2041">
        <f>(Betrieb!$E$21*Betrieb!$H$21)+(Betrieb!$E$23*Betrieb!$H$23)</f>
        <v>0</v>
      </c>
      <c r="DQ14" s="2025">
        <f>(Betrieb!$E$22*Betrieb!$H$22)+(Betrieb!$E$24*Betrieb!$H$24)</f>
        <v>0</v>
      </c>
      <c r="DR14" s="2041">
        <f t="shared" si="187"/>
        <v>0</v>
      </c>
      <c r="DS14" s="2025">
        <f t="shared" si="188"/>
        <v>0</v>
      </c>
      <c r="DT14" s="2042">
        <f t="shared" si="189"/>
        <v>0</v>
      </c>
      <c r="DU14" s="2043">
        <f t="shared" si="203"/>
        <v>0</v>
      </c>
      <c r="DV14" s="2043">
        <f t="shared" si="190"/>
        <v>0</v>
      </c>
      <c r="DW14" s="2043">
        <f t="shared" si="204"/>
        <v>0</v>
      </c>
      <c r="DZ14" s="2044">
        <f t="shared" si="191"/>
        <v>0</v>
      </c>
      <c r="EA14" s="1874">
        <f t="shared" si="30"/>
        <v>0</v>
      </c>
      <c r="EB14" s="1874">
        <f t="shared" si="31"/>
        <v>0</v>
      </c>
      <c r="EC14" s="1874">
        <f t="shared" si="32"/>
        <v>0</v>
      </c>
      <c r="ED14" s="1874">
        <f t="shared" si="33"/>
        <v>0</v>
      </c>
      <c r="EE14" s="1874">
        <f t="shared" si="34"/>
        <v>0</v>
      </c>
      <c r="EF14" s="1874">
        <f t="shared" si="35"/>
        <v>0</v>
      </c>
      <c r="EH14" s="2044">
        <f>SUM(EI14:EN14)</f>
        <v>0</v>
      </c>
      <c r="EI14" s="2025">
        <f t="shared" si="36"/>
        <v>0</v>
      </c>
      <c r="EJ14" s="2025">
        <f t="shared" si="37"/>
        <v>0</v>
      </c>
      <c r="EK14" s="2025">
        <f t="shared" si="38"/>
        <v>0</v>
      </c>
      <c r="EL14" s="2025">
        <f t="shared" si="39"/>
        <v>0</v>
      </c>
      <c r="EM14" s="2025">
        <f t="shared" si="40"/>
        <v>0</v>
      </c>
      <c r="EN14" s="2025">
        <f t="shared" si="41"/>
        <v>0</v>
      </c>
      <c r="EP14" s="2045">
        <f t="shared" si="42"/>
        <v>0</v>
      </c>
      <c r="EQ14" s="2042">
        <f t="shared" si="193"/>
        <v>0</v>
      </c>
      <c r="ER14" s="2042">
        <f t="shared" si="43"/>
        <v>0</v>
      </c>
      <c r="ES14" s="2042">
        <f t="shared" si="44"/>
        <v>0</v>
      </c>
      <c r="ET14" s="2042">
        <f t="shared" si="45"/>
        <v>0</v>
      </c>
      <c r="EU14" s="2042">
        <f t="shared" si="46"/>
        <v>0</v>
      </c>
      <c r="EV14" s="2042">
        <f t="shared" si="47"/>
        <v>0</v>
      </c>
      <c r="EW14" s="2042">
        <f t="shared" si="48"/>
        <v>0</v>
      </c>
      <c r="EX14" s="2042">
        <f t="shared" si="49"/>
        <v>0</v>
      </c>
      <c r="EY14" s="2042">
        <f t="shared" si="50"/>
        <v>0</v>
      </c>
      <c r="EZ14" s="2042">
        <f t="shared" si="51"/>
        <v>0</v>
      </c>
      <c r="FA14" s="2042">
        <f t="shared" si="52"/>
        <v>0</v>
      </c>
      <c r="FB14" s="2042">
        <f t="shared" si="53"/>
        <v>0</v>
      </c>
      <c r="FC14" s="2042">
        <f t="shared" si="54"/>
        <v>0</v>
      </c>
      <c r="FD14" s="2046">
        <f t="shared" si="194"/>
        <v>0</v>
      </c>
      <c r="FE14" s="2042">
        <f t="shared" si="55"/>
        <v>0</v>
      </c>
      <c r="FF14" s="2042">
        <f t="shared" si="56"/>
        <v>0</v>
      </c>
      <c r="FG14" s="2042">
        <f t="shared" si="57"/>
        <v>0</v>
      </c>
      <c r="FH14" s="2042">
        <f t="shared" si="58"/>
        <v>0</v>
      </c>
      <c r="FI14" s="2042">
        <f t="shared" si="59"/>
        <v>0</v>
      </c>
      <c r="FJ14" s="2042">
        <f t="shared" si="195"/>
        <v>0</v>
      </c>
      <c r="FK14" s="2042">
        <f t="shared" si="60"/>
        <v>0</v>
      </c>
      <c r="FL14" s="2042">
        <f t="shared" si="61"/>
        <v>0</v>
      </c>
      <c r="FM14" s="2042">
        <f t="shared" si="62"/>
        <v>0</v>
      </c>
      <c r="FN14" s="2042">
        <f t="shared" si="63"/>
        <v>0</v>
      </c>
      <c r="FO14" s="2042">
        <f t="shared" si="64"/>
        <v>0</v>
      </c>
      <c r="FP14" s="2042">
        <f t="shared" si="65"/>
        <v>0</v>
      </c>
      <c r="FQ14" s="2047">
        <f t="shared" si="196"/>
        <v>0</v>
      </c>
      <c r="FR14" s="2042">
        <f t="shared" si="66"/>
        <v>0</v>
      </c>
      <c r="FS14" s="2042">
        <f t="shared" si="67"/>
        <v>0</v>
      </c>
      <c r="FT14" s="2042">
        <f t="shared" si="68"/>
        <v>0</v>
      </c>
      <c r="FU14" s="2042">
        <f t="shared" si="69"/>
        <v>0</v>
      </c>
      <c r="FV14" s="2042">
        <f t="shared" si="70"/>
        <v>0</v>
      </c>
      <c r="FW14" s="2042">
        <f t="shared" si="71"/>
        <v>0</v>
      </c>
      <c r="FX14" s="2042">
        <f t="shared" si="72"/>
        <v>0</v>
      </c>
      <c r="FY14" s="2042">
        <f t="shared" si="73"/>
        <v>0</v>
      </c>
      <c r="FZ14" s="2042">
        <f t="shared" si="74"/>
        <v>0</v>
      </c>
      <c r="GA14" s="2042">
        <f t="shared" si="75"/>
        <v>0</v>
      </c>
      <c r="GB14" s="2042">
        <f t="shared" si="76"/>
        <v>0</v>
      </c>
      <c r="GC14" s="2042">
        <f t="shared" si="77"/>
        <v>0</v>
      </c>
      <c r="GD14" s="2042">
        <f t="shared" si="78"/>
        <v>0</v>
      </c>
      <c r="GE14" s="2042">
        <f t="shared" si="79"/>
        <v>0</v>
      </c>
      <c r="GF14" s="2042">
        <f t="shared" si="80"/>
        <v>0</v>
      </c>
      <c r="GG14" s="2042">
        <f t="shared" si="81"/>
        <v>0</v>
      </c>
      <c r="GH14" s="2042">
        <f t="shared" si="82"/>
        <v>0</v>
      </c>
      <c r="GI14" s="2042">
        <f t="shared" si="83"/>
        <v>0</v>
      </c>
      <c r="GJ14" s="2042">
        <f t="shared" si="84"/>
        <v>0</v>
      </c>
      <c r="GK14" s="2042">
        <f t="shared" si="85"/>
        <v>0</v>
      </c>
      <c r="GL14" s="2042">
        <f t="shared" si="86"/>
        <v>0</v>
      </c>
      <c r="GM14" s="2042">
        <f t="shared" si="87"/>
        <v>0</v>
      </c>
      <c r="GN14" s="2042">
        <f t="shared" si="88"/>
        <v>0</v>
      </c>
      <c r="GO14" s="2042">
        <f t="shared" si="89"/>
        <v>0</v>
      </c>
      <c r="GP14" s="2047">
        <f t="shared" si="197"/>
        <v>0</v>
      </c>
      <c r="GQ14" s="2042">
        <f t="shared" si="90"/>
        <v>0</v>
      </c>
      <c r="GR14" s="2042">
        <f t="shared" si="91"/>
        <v>0</v>
      </c>
      <c r="GS14" s="2042">
        <f t="shared" si="92"/>
        <v>0</v>
      </c>
      <c r="GT14" s="2042">
        <f t="shared" si="93"/>
        <v>0</v>
      </c>
      <c r="GU14" s="2042">
        <f t="shared" si="94"/>
        <v>0</v>
      </c>
      <c r="GV14" s="2042">
        <f t="shared" si="95"/>
        <v>0</v>
      </c>
      <c r="GW14" s="2042">
        <f t="shared" si="96"/>
        <v>0</v>
      </c>
      <c r="GX14" s="2042">
        <f t="shared" si="97"/>
        <v>0</v>
      </c>
      <c r="GY14" s="2042">
        <f t="shared" si="98"/>
        <v>0</v>
      </c>
      <c r="GZ14" s="2042">
        <f t="shared" si="99"/>
        <v>0</v>
      </c>
      <c r="HA14" s="2042">
        <f t="shared" si="100"/>
        <v>0</v>
      </c>
      <c r="HB14" s="2042">
        <f t="shared" si="101"/>
        <v>0</v>
      </c>
      <c r="HC14" s="2047">
        <f t="shared" si="198"/>
        <v>0</v>
      </c>
      <c r="HD14" s="2042">
        <f t="shared" si="102"/>
        <v>0</v>
      </c>
      <c r="HE14" s="2042">
        <f t="shared" si="103"/>
        <v>0</v>
      </c>
      <c r="HF14" s="2042">
        <f t="shared" si="104"/>
        <v>0</v>
      </c>
      <c r="HG14" s="2042">
        <f t="shared" si="105"/>
        <v>0</v>
      </c>
      <c r="HH14" s="2042">
        <f t="shared" si="106"/>
        <v>0</v>
      </c>
      <c r="HI14" s="2042">
        <f t="shared" si="107"/>
        <v>0</v>
      </c>
      <c r="HJ14" s="2042">
        <f t="shared" si="108"/>
        <v>0</v>
      </c>
      <c r="HK14" s="2042">
        <f t="shared" si="109"/>
        <v>0</v>
      </c>
      <c r="HL14" s="2042">
        <f t="shared" si="110"/>
        <v>0</v>
      </c>
      <c r="HM14" s="2042">
        <f t="shared" si="111"/>
        <v>0</v>
      </c>
      <c r="HN14" s="2042">
        <f t="shared" si="112"/>
        <v>0</v>
      </c>
      <c r="HO14" s="2042">
        <f t="shared" si="113"/>
        <v>0</v>
      </c>
      <c r="HP14" s="2047">
        <f t="shared" si="199"/>
        <v>0</v>
      </c>
      <c r="HQ14" s="2042">
        <f t="shared" si="114"/>
        <v>0</v>
      </c>
      <c r="HR14" s="2042">
        <f t="shared" si="115"/>
        <v>0</v>
      </c>
      <c r="HS14" s="2042">
        <f t="shared" si="116"/>
        <v>0</v>
      </c>
      <c r="HT14" s="2042">
        <f t="shared" si="117"/>
        <v>0</v>
      </c>
      <c r="HU14" s="2042">
        <f t="shared" si="118"/>
        <v>0</v>
      </c>
      <c r="HV14" s="2042">
        <f t="shared" si="119"/>
        <v>0</v>
      </c>
      <c r="HW14" s="2042">
        <f t="shared" si="120"/>
        <v>0</v>
      </c>
      <c r="HX14" s="2042">
        <f t="shared" si="121"/>
        <v>0</v>
      </c>
      <c r="HY14" s="2042">
        <f t="shared" si="122"/>
        <v>0</v>
      </c>
      <c r="HZ14" s="2042">
        <f t="shared" si="123"/>
        <v>0</v>
      </c>
      <c r="IA14" s="2042">
        <f t="shared" si="124"/>
        <v>0</v>
      </c>
      <c r="IB14" s="2042">
        <f t="shared" si="125"/>
        <v>0</v>
      </c>
      <c r="IC14" s="2047">
        <f t="shared" si="200"/>
        <v>0</v>
      </c>
      <c r="IE14" s="2044">
        <f>SUM(IF14:IQ14)</f>
        <v>0</v>
      </c>
      <c r="IF14" s="2025">
        <f t="shared" si="126"/>
        <v>0</v>
      </c>
      <c r="IG14" s="2025">
        <f t="shared" si="127"/>
        <v>0</v>
      </c>
      <c r="IH14" s="2025">
        <f t="shared" si="128"/>
        <v>0</v>
      </c>
      <c r="II14" s="2025">
        <f t="shared" si="129"/>
        <v>0</v>
      </c>
      <c r="IJ14" s="2025">
        <f t="shared" si="130"/>
        <v>0</v>
      </c>
      <c r="IK14" s="2025">
        <f t="shared" si="131"/>
        <v>0</v>
      </c>
      <c r="IL14" s="2025">
        <f t="shared" si="132"/>
        <v>0</v>
      </c>
      <c r="IM14" s="2025">
        <f t="shared" si="133"/>
        <v>0</v>
      </c>
      <c r="IN14" s="2025">
        <f t="shared" si="134"/>
        <v>0</v>
      </c>
      <c r="IO14" s="2025">
        <f t="shared" si="135"/>
        <v>0</v>
      </c>
      <c r="IP14" s="2025">
        <f t="shared" si="136"/>
        <v>0</v>
      </c>
      <c r="IQ14" s="2025">
        <f t="shared" si="137"/>
        <v>0</v>
      </c>
      <c r="IS14" s="2044">
        <f t="shared" si="202"/>
        <v>0</v>
      </c>
      <c r="IT14" s="2025">
        <f t="shared" si="138"/>
        <v>0</v>
      </c>
      <c r="IU14" s="2025">
        <f t="shared" si="139"/>
        <v>0</v>
      </c>
      <c r="IV14" s="2025">
        <f t="shared" si="140"/>
        <v>0</v>
      </c>
      <c r="IW14" s="2025">
        <f t="shared" si="141"/>
        <v>0</v>
      </c>
      <c r="IX14" s="2025">
        <f t="shared" si="142"/>
        <v>0</v>
      </c>
      <c r="IY14" s="2025">
        <f t="shared" si="143"/>
        <v>0</v>
      </c>
      <c r="IZ14" s="2025">
        <f t="shared" si="144"/>
        <v>0</v>
      </c>
      <c r="JA14" s="2025">
        <f t="shared" si="145"/>
        <v>0</v>
      </c>
      <c r="JB14" s="2025">
        <f t="shared" si="146"/>
        <v>0</v>
      </c>
      <c r="JC14" s="2025">
        <f t="shared" si="147"/>
        <v>0</v>
      </c>
      <c r="JD14" s="2025">
        <f t="shared" si="148"/>
        <v>0</v>
      </c>
      <c r="JE14" s="2025">
        <f t="shared" si="149"/>
        <v>0</v>
      </c>
    </row>
    <row r="15" spans="1:265" ht="18" customHeight="1">
      <c r="A15" s="1319"/>
      <c r="B15" s="2023">
        <v>11</v>
      </c>
      <c r="C15" s="1105"/>
      <c r="D15" s="2130"/>
      <c r="E15" s="739"/>
      <c r="F15" s="1544"/>
      <c r="G15" s="1320"/>
      <c r="H15" s="1321">
        <f>O15</f>
        <v>0</v>
      </c>
      <c r="I15" s="1321">
        <f t="shared" si="150"/>
        <v>0</v>
      </c>
      <c r="J15" s="1321">
        <f>P15</f>
        <v>0</v>
      </c>
      <c r="K15" s="1321">
        <f t="shared" si="2"/>
        <v>0</v>
      </c>
      <c r="L15" s="1322">
        <f>Summen_GL!F82</f>
        <v>0</v>
      </c>
      <c r="M15" s="1323">
        <f>L15-H15</f>
        <v>0</v>
      </c>
      <c r="N15" s="2024"/>
      <c r="O15" s="1321">
        <f t="shared" si="205"/>
        <v>0</v>
      </c>
      <c r="P15" s="1321">
        <f t="shared" si="3"/>
        <v>0</v>
      </c>
      <c r="Q15" s="2024"/>
      <c r="R15" s="1470"/>
      <c r="S15" s="1471"/>
      <c r="T15" s="1470"/>
      <c r="U15" s="1471"/>
      <c r="V15" s="1470"/>
      <c r="W15" s="1471"/>
      <c r="X15" s="1470"/>
      <c r="Y15" s="1471"/>
      <c r="Z15" s="1470"/>
      <c r="AA15" s="1471"/>
      <c r="AB15" s="1470"/>
      <c r="AC15" s="1551"/>
      <c r="AD15" s="844"/>
      <c r="AE15" s="1561">
        <f>'meine Dünger'!C15</f>
        <v>0</v>
      </c>
      <c r="AF15" s="1562">
        <f>'meine Dünger'!AL15</f>
        <v>0</v>
      </c>
      <c r="AG15" s="844"/>
      <c r="AH15" s="1563"/>
      <c r="AI15" s="2132"/>
      <c r="AJ15" s="1319"/>
      <c r="AK15" s="1593">
        <f t="shared" si="152"/>
        <v>0</v>
      </c>
      <c r="AL15" s="1594">
        <f t="shared" si="153"/>
        <v>0</v>
      </c>
      <c r="AM15" s="1319"/>
      <c r="AN15" s="1319"/>
      <c r="AP15" s="1860">
        <f t="shared" si="154"/>
        <v>0</v>
      </c>
      <c r="AQ15" s="1860">
        <f t="shared" si="155"/>
        <v>0</v>
      </c>
      <c r="AR15" s="1860">
        <f t="shared" si="156"/>
        <v>0</v>
      </c>
      <c r="AS15" s="1860">
        <f t="shared" si="157"/>
        <v>0</v>
      </c>
      <c r="AT15" s="1860">
        <f t="shared" si="158"/>
        <v>0</v>
      </c>
      <c r="AU15" s="1860">
        <f t="shared" si="159"/>
        <v>0</v>
      </c>
      <c r="AV15" s="1860">
        <f t="shared" si="160"/>
        <v>0</v>
      </c>
      <c r="AW15" s="1860">
        <f t="shared" si="161"/>
        <v>0</v>
      </c>
      <c r="AX15" s="1860">
        <f t="shared" si="162"/>
        <v>0</v>
      </c>
      <c r="AY15" s="1860">
        <f t="shared" si="163"/>
        <v>0</v>
      </c>
      <c r="AZ15" s="1860">
        <f t="shared" si="164"/>
        <v>0</v>
      </c>
      <c r="BA15" s="2026">
        <f t="shared" si="165"/>
        <v>0</v>
      </c>
      <c r="BB15" s="2026">
        <f t="shared" si="166"/>
        <v>0</v>
      </c>
      <c r="BC15" s="2026">
        <f t="shared" si="167"/>
        <v>0</v>
      </c>
      <c r="BD15" s="2026">
        <f t="shared" si="168"/>
        <v>0</v>
      </c>
      <c r="BE15" s="2026">
        <f t="shared" si="169"/>
        <v>0</v>
      </c>
      <c r="BF15" s="2026">
        <f t="shared" si="170"/>
        <v>0</v>
      </c>
      <c r="BG15" s="2026">
        <f t="shared" si="171"/>
        <v>0</v>
      </c>
      <c r="BH15" s="2026">
        <f t="shared" si="172"/>
        <v>0</v>
      </c>
      <c r="BI15" s="2026">
        <f t="shared" si="173"/>
        <v>0</v>
      </c>
      <c r="BJ15" s="2026">
        <f t="shared" si="174"/>
        <v>0</v>
      </c>
      <c r="BK15" s="2027"/>
      <c r="BL15" s="2026">
        <f t="shared" si="175"/>
        <v>0</v>
      </c>
      <c r="BM15" s="2026">
        <f t="shared" si="176"/>
        <v>0</v>
      </c>
      <c r="BN15" s="2026">
        <f t="shared" si="4"/>
        <v>0</v>
      </c>
      <c r="BO15" s="2026">
        <f t="shared" si="5"/>
        <v>0</v>
      </c>
      <c r="BP15" s="2026">
        <f t="shared" si="6"/>
        <v>0</v>
      </c>
      <c r="BQ15" s="2026">
        <f t="shared" si="7"/>
        <v>0</v>
      </c>
      <c r="BR15" s="2026">
        <f t="shared" si="8"/>
        <v>0</v>
      </c>
      <c r="BS15" s="2026">
        <f t="shared" si="177"/>
        <v>0</v>
      </c>
      <c r="BT15" s="2026">
        <f t="shared" si="9"/>
        <v>0</v>
      </c>
      <c r="BU15" s="2026">
        <f t="shared" si="10"/>
        <v>0</v>
      </c>
      <c r="BV15" s="2028"/>
      <c r="BW15" s="2029">
        <f t="shared" si="11"/>
        <v>0</v>
      </c>
      <c r="BX15" s="2029">
        <f t="shared" si="178"/>
        <v>0</v>
      </c>
      <c r="BY15" s="2029">
        <f t="shared" si="179"/>
        <v>0</v>
      </c>
      <c r="CA15" s="2030">
        <f t="shared" si="12"/>
        <v>0</v>
      </c>
      <c r="CB15" s="2030">
        <f t="shared" si="13"/>
        <v>0</v>
      </c>
      <c r="CC15" s="2030">
        <f t="shared" si="14"/>
        <v>0</v>
      </c>
      <c r="CD15" s="2031">
        <f t="shared" si="15"/>
        <v>0</v>
      </c>
      <c r="CE15" s="2031">
        <f t="shared" si="16"/>
        <v>0</v>
      </c>
      <c r="CF15" s="2031">
        <f t="shared" si="180"/>
        <v>0</v>
      </c>
      <c r="CG15" s="2030">
        <f t="shared" si="17"/>
        <v>0</v>
      </c>
      <c r="CH15" s="2032">
        <f t="shared" si="18"/>
        <v>0</v>
      </c>
      <c r="CI15" s="2032">
        <f t="shared" si="19"/>
        <v>0</v>
      </c>
      <c r="CJ15" s="2032">
        <f t="shared" si="181"/>
        <v>0</v>
      </c>
      <c r="CK15" s="2030">
        <f t="shared" si="20"/>
        <v>0</v>
      </c>
      <c r="CL15" s="2033">
        <f t="shared" si="21"/>
        <v>0</v>
      </c>
      <c r="CM15" s="2032">
        <f t="shared" si="22"/>
        <v>0</v>
      </c>
      <c r="CN15" s="2033">
        <f t="shared" si="23"/>
        <v>0</v>
      </c>
      <c r="CO15" s="2033">
        <f t="shared" si="182"/>
        <v>0</v>
      </c>
      <c r="CP15" s="2030">
        <f t="shared" si="24"/>
        <v>0</v>
      </c>
      <c r="CQ15" s="2030">
        <f t="shared" si="25"/>
        <v>0</v>
      </c>
      <c r="CR15" s="2030">
        <f t="shared" si="26"/>
        <v>0</v>
      </c>
      <c r="CS15" s="2030">
        <f t="shared" si="27"/>
        <v>0</v>
      </c>
      <c r="CT15" s="2035">
        <f t="shared" si="28"/>
        <v>0</v>
      </c>
      <c r="CU15" s="2036">
        <f t="shared" si="183"/>
        <v>0</v>
      </c>
      <c r="CV15" s="2036">
        <f t="shared" si="184"/>
        <v>0</v>
      </c>
      <c r="CW15" s="2036">
        <f t="shared" si="185"/>
        <v>0</v>
      </c>
      <c r="CY15" s="2054" t="s">
        <v>827</v>
      </c>
      <c r="CZ15" s="2052">
        <v>6500</v>
      </c>
      <c r="DA15" s="2057">
        <v>8000</v>
      </c>
      <c r="DB15" s="2053">
        <v>10500</v>
      </c>
      <c r="DC15" s="10"/>
      <c r="DE15" s="2054" t="s">
        <v>827</v>
      </c>
      <c r="DF15" s="2057">
        <v>8000</v>
      </c>
      <c r="DG15" s="2057">
        <v>8000</v>
      </c>
      <c r="DH15" s="2057">
        <v>8000</v>
      </c>
      <c r="DL15" s="10">
        <f t="shared" si="186"/>
        <v>0</v>
      </c>
      <c r="DM15" s="10">
        <f t="shared" si="29"/>
        <v>0</v>
      </c>
      <c r="DN15" s="2027" t="e">
        <f>DL15/Betrieb!$E$23</f>
        <v>#DIV/0!</v>
      </c>
      <c r="DO15" s="2027" t="e">
        <f>DM15/Betrieb!$E$24</f>
        <v>#DIV/0!</v>
      </c>
      <c r="DP15" s="2041">
        <f>(Betrieb!$E$21*Betrieb!$H$21)+(Betrieb!$E$23*Betrieb!$H$23)</f>
        <v>0</v>
      </c>
      <c r="DQ15" s="2025">
        <f>(Betrieb!$E$22*Betrieb!$H$22)+(Betrieb!$E$24*Betrieb!$H$24)</f>
        <v>0</v>
      </c>
      <c r="DR15" s="2041">
        <f t="shared" si="187"/>
        <v>0</v>
      </c>
      <c r="DS15" s="2025">
        <f t="shared" si="188"/>
        <v>0</v>
      </c>
      <c r="DT15" s="2042">
        <f t="shared" si="189"/>
        <v>0</v>
      </c>
      <c r="DU15" s="2043">
        <f t="shared" si="203"/>
        <v>0</v>
      </c>
      <c r="DV15" s="2043">
        <f t="shared" si="190"/>
        <v>0</v>
      </c>
      <c r="DW15" s="2043">
        <f t="shared" si="204"/>
        <v>0</v>
      </c>
      <c r="DZ15" s="2044">
        <f t="shared" si="191"/>
        <v>0</v>
      </c>
      <c r="EA15" s="1874">
        <f t="shared" si="30"/>
        <v>0</v>
      </c>
      <c r="EB15" s="1874">
        <f t="shared" si="31"/>
        <v>0</v>
      </c>
      <c r="EC15" s="1874">
        <f t="shared" si="32"/>
        <v>0</v>
      </c>
      <c r="ED15" s="1874">
        <f t="shared" si="33"/>
        <v>0</v>
      </c>
      <c r="EE15" s="1874">
        <f t="shared" si="34"/>
        <v>0</v>
      </c>
      <c r="EF15" s="1874">
        <f t="shared" si="35"/>
        <v>0</v>
      </c>
      <c r="EH15" s="2044">
        <f t="shared" si="192"/>
        <v>0</v>
      </c>
      <c r="EI15" s="2025">
        <f t="shared" si="36"/>
        <v>0</v>
      </c>
      <c r="EJ15" s="2025">
        <f t="shared" si="37"/>
        <v>0</v>
      </c>
      <c r="EK15" s="2025">
        <f t="shared" si="38"/>
        <v>0</v>
      </c>
      <c r="EL15" s="2025">
        <f t="shared" si="39"/>
        <v>0</v>
      </c>
      <c r="EM15" s="2025">
        <f t="shared" si="40"/>
        <v>0</v>
      </c>
      <c r="EN15" s="2025">
        <f t="shared" si="41"/>
        <v>0</v>
      </c>
      <c r="EP15" s="2045">
        <f t="shared" si="42"/>
        <v>0</v>
      </c>
      <c r="EQ15" s="2042">
        <f t="shared" si="193"/>
        <v>0</v>
      </c>
      <c r="ER15" s="2042">
        <f t="shared" si="43"/>
        <v>0</v>
      </c>
      <c r="ES15" s="2042">
        <f t="shared" si="44"/>
        <v>0</v>
      </c>
      <c r="ET15" s="2042">
        <f t="shared" si="45"/>
        <v>0</v>
      </c>
      <c r="EU15" s="2042">
        <f t="shared" si="46"/>
        <v>0</v>
      </c>
      <c r="EV15" s="2042">
        <f t="shared" si="47"/>
        <v>0</v>
      </c>
      <c r="EW15" s="2042">
        <f t="shared" si="48"/>
        <v>0</v>
      </c>
      <c r="EX15" s="2042">
        <f t="shared" si="49"/>
        <v>0</v>
      </c>
      <c r="EY15" s="2042">
        <f t="shared" si="50"/>
        <v>0</v>
      </c>
      <c r="EZ15" s="2042">
        <f t="shared" si="51"/>
        <v>0</v>
      </c>
      <c r="FA15" s="2042">
        <f t="shared" si="52"/>
        <v>0</v>
      </c>
      <c r="FB15" s="2042">
        <f t="shared" si="53"/>
        <v>0</v>
      </c>
      <c r="FC15" s="2042">
        <f t="shared" si="54"/>
        <v>0</v>
      </c>
      <c r="FD15" s="2046">
        <f t="shared" si="194"/>
        <v>0</v>
      </c>
      <c r="FE15" s="2042">
        <f t="shared" si="55"/>
        <v>0</v>
      </c>
      <c r="FF15" s="2042">
        <f t="shared" si="56"/>
        <v>0</v>
      </c>
      <c r="FG15" s="2042">
        <f t="shared" si="57"/>
        <v>0</v>
      </c>
      <c r="FH15" s="2042">
        <f t="shared" si="58"/>
        <v>0</v>
      </c>
      <c r="FI15" s="2042">
        <f t="shared" si="59"/>
        <v>0</v>
      </c>
      <c r="FJ15" s="2042">
        <f t="shared" si="195"/>
        <v>0</v>
      </c>
      <c r="FK15" s="2042">
        <f t="shared" si="60"/>
        <v>0</v>
      </c>
      <c r="FL15" s="2042">
        <f t="shared" si="61"/>
        <v>0</v>
      </c>
      <c r="FM15" s="2042">
        <f t="shared" si="62"/>
        <v>0</v>
      </c>
      <c r="FN15" s="2042">
        <f t="shared" si="63"/>
        <v>0</v>
      </c>
      <c r="FO15" s="2042">
        <f t="shared" si="64"/>
        <v>0</v>
      </c>
      <c r="FP15" s="2042">
        <f t="shared" si="65"/>
        <v>0</v>
      </c>
      <c r="FQ15" s="2047">
        <f t="shared" si="196"/>
        <v>0</v>
      </c>
      <c r="FR15" s="2042">
        <f t="shared" si="66"/>
        <v>0</v>
      </c>
      <c r="FS15" s="2042">
        <f t="shared" si="67"/>
        <v>0</v>
      </c>
      <c r="FT15" s="2042">
        <f t="shared" si="68"/>
        <v>0</v>
      </c>
      <c r="FU15" s="2042">
        <f t="shared" si="69"/>
        <v>0</v>
      </c>
      <c r="FV15" s="2042">
        <f t="shared" si="70"/>
        <v>0</v>
      </c>
      <c r="FW15" s="2042">
        <f t="shared" si="71"/>
        <v>0</v>
      </c>
      <c r="FX15" s="2042">
        <f t="shared" si="72"/>
        <v>0</v>
      </c>
      <c r="FY15" s="2042">
        <f t="shared" si="73"/>
        <v>0</v>
      </c>
      <c r="FZ15" s="2042">
        <f t="shared" si="74"/>
        <v>0</v>
      </c>
      <c r="GA15" s="2042">
        <f t="shared" si="75"/>
        <v>0</v>
      </c>
      <c r="GB15" s="2042">
        <f t="shared" si="76"/>
        <v>0</v>
      </c>
      <c r="GC15" s="2042">
        <f t="shared" si="77"/>
        <v>0</v>
      </c>
      <c r="GD15" s="2042">
        <f t="shared" si="78"/>
        <v>0</v>
      </c>
      <c r="GE15" s="2042">
        <f t="shared" si="79"/>
        <v>0</v>
      </c>
      <c r="GF15" s="2042">
        <f t="shared" si="80"/>
        <v>0</v>
      </c>
      <c r="GG15" s="2042">
        <f t="shared" si="81"/>
        <v>0</v>
      </c>
      <c r="GH15" s="2042">
        <f t="shared" si="82"/>
        <v>0</v>
      </c>
      <c r="GI15" s="2042">
        <f t="shared" si="83"/>
        <v>0</v>
      </c>
      <c r="GJ15" s="2042">
        <f t="shared" si="84"/>
        <v>0</v>
      </c>
      <c r="GK15" s="2042">
        <f t="shared" si="85"/>
        <v>0</v>
      </c>
      <c r="GL15" s="2042">
        <f t="shared" si="86"/>
        <v>0</v>
      </c>
      <c r="GM15" s="2042">
        <f t="shared" si="87"/>
        <v>0</v>
      </c>
      <c r="GN15" s="2042">
        <f t="shared" si="88"/>
        <v>0</v>
      </c>
      <c r="GO15" s="2042">
        <f t="shared" si="89"/>
        <v>0</v>
      </c>
      <c r="GP15" s="2047">
        <f t="shared" si="197"/>
        <v>0</v>
      </c>
      <c r="GQ15" s="2042">
        <f t="shared" si="90"/>
        <v>0</v>
      </c>
      <c r="GR15" s="2042">
        <f t="shared" si="91"/>
        <v>0</v>
      </c>
      <c r="GS15" s="2042">
        <f t="shared" si="92"/>
        <v>0</v>
      </c>
      <c r="GT15" s="2042">
        <f t="shared" si="93"/>
        <v>0</v>
      </c>
      <c r="GU15" s="2042">
        <f t="shared" si="94"/>
        <v>0</v>
      </c>
      <c r="GV15" s="2042">
        <f t="shared" si="95"/>
        <v>0</v>
      </c>
      <c r="GW15" s="2042">
        <f t="shared" si="96"/>
        <v>0</v>
      </c>
      <c r="GX15" s="2042">
        <f t="shared" si="97"/>
        <v>0</v>
      </c>
      <c r="GY15" s="2042">
        <f t="shared" si="98"/>
        <v>0</v>
      </c>
      <c r="GZ15" s="2042">
        <f t="shared" si="99"/>
        <v>0</v>
      </c>
      <c r="HA15" s="2042">
        <f t="shared" si="100"/>
        <v>0</v>
      </c>
      <c r="HB15" s="2042">
        <f t="shared" si="101"/>
        <v>0</v>
      </c>
      <c r="HC15" s="2047">
        <f t="shared" si="198"/>
        <v>0</v>
      </c>
      <c r="HD15" s="2042">
        <f t="shared" si="102"/>
        <v>0</v>
      </c>
      <c r="HE15" s="2042">
        <f t="shared" si="103"/>
        <v>0</v>
      </c>
      <c r="HF15" s="2042">
        <f t="shared" si="104"/>
        <v>0</v>
      </c>
      <c r="HG15" s="2042">
        <f t="shared" si="105"/>
        <v>0</v>
      </c>
      <c r="HH15" s="2042">
        <f t="shared" si="106"/>
        <v>0</v>
      </c>
      <c r="HI15" s="2042">
        <f t="shared" si="107"/>
        <v>0</v>
      </c>
      <c r="HJ15" s="2042">
        <f t="shared" si="108"/>
        <v>0</v>
      </c>
      <c r="HK15" s="2042">
        <f t="shared" si="109"/>
        <v>0</v>
      </c>
      <c r="HL15" s="2042">
        <f t="shared" si="110"/>
        <v>0</v>
      </c>
      <c r="HM15" s="2042">
        <f t="shared" si="111"/>
        <v>0</v>
      </c>
      <c r="HN15" s="2042">
        <f t="shared" si="112"/>
        <v>0</v>
      </c>
      <c r="HO15" s="2042">
        <f t="shared" si="113"/>
        <v>0</v>
      </c>
      <c r="HP15" s="2047">
        <f t="shared" si="199"/>
        <v>0</v>
      </c>
      <c r="HQ15" s="2042">
        <f t="shared" si="114"/>
        <v>0</v>
      </c>
      <c r="HR15" s="2042">
        <f t="shared" si="115"/>
        <v>0</v>
      </c>
      <c r="HS15" s="2042">
        <f t="shared" si="116"/>
        <v>0</v>
      </c>
      <c r="HT15" s="2042">
        <f t="shared" si="117"/>
        <v>0</v>
      </c>
      <c r="HU15" s="2042">
        <f t="shared" si="118"/>
        <v>0</v>
      </c>
      <c r="HV15" s="2042">
        <f t="shared" si="119"/>
        <v>0</v>
      </c>
      <c r="HW15" s="2042">
        <f t="shared" si="120"/>
        <v>0</v>
      </c>
      <c r="HX15" s="2042">
        <f t="shared" si="121"/>
        <v>0</v>
      </c>
      <c r="HY15" s="2042">
        <f t="shared" si="122"/>
        <v>0</v>
      </c>
      <c r="HZ15" s="2042">
        <f t="shared" si="123"/>
        <v>0</v>
      </c>
      <c r="IA15" s="2042">
        <f t="shared" si="124"/>
        <v>0</v>
      </c>
      <c r="IB15" s="2042">
        <f t="shared" si="125"/>
        <v>0</v>
      </c>
      <c r="IC15" s="2047">
        <f t="shared" si="200"/>
        <v>0</v>
      </c>
      <c r="IE15" s="2044">
        <f t="shared" si="201"/>
        <v>0</v>
      </c>
      <c r="IF15" s="2025">
        <f t="shared" si="126"/>
        <v>0</v>
      </c>
      <c r="IG15" s="2025">
        <f t="shared" si="127"/>
        <v>0</v>
      </c>
      <c r="IH15" s="2025">
        <f t="shared" si="128"/>
        <v>0</v>
      </c>
      <c r="II15" s="2025">
        <f t="shared" si="129"/>
        <v>0</v>
      </c>
      <c r="IJ15" s="2025">
        <f t="shared" si="130"/>
        <v>0</v>
      </c>
      <c r="IK15" s="2025">
        <f t="shared" si="131"/>
        <v>0</v>
      </c>
      <c r="IL15" s="2025">
        <f t="shared" si="132"/>
        <v>0</v>
      </c>
      <c r="IM15" s="2025">
        <f t="shared" si="133"/>
        <v>0</v>
      </c>
      <c r="IN15" s="2025">
        <f t="shared" si="134"/>
        <v>0</v>
      </c>
      <c r="IO15" s="2025">
        <f t="shared" si="135"/>
        <v>0</v>
      </c>
      <c r="IP15" s="2025">
        <f t="shared" si="136"/>
        <v>0</v>
      </c>
      <c r="IQ15" s="2025">
        <f t="shared" si="137"/>
        <v>0</v>
      </c>
      <c r="IS15" s="2044">
        <f t="shared" si="202"/>
        <v>0</v>
      </c>
      <c r="IT15" s="2025">
        <f t="shared" si="138"/>
        <v>0</v>
      </c>
      <c r="IU15" s="2025">
        <f t="shared" si="139"/>
        <v>0</v>
      </c>
      <c r="IV15" s="2025">
        <f t="shared" si="140"/>
        <v>0</v>
      </c>
      <c r="IW15" s="2025">
        <f t="shared" si="141"/>
        <v>0</v>
      </c>
      <c r="IX15" s="2025">
        <f t="shared" si="142"/>
        <v>0</v>
      </c>
      <c r="IY15" s="2025">
        <f t="shared" si="143"/>
        <v>0</v>
      </c>
      <c r="IZ15" s="2025">
        <f t="shared" si="144"/>
        <v>0</v>
      </c>
      <c r="JA15" s="2025">
        <f t="shared" si="145"/>
        <v>0</v>
      </c>
      <c r="JB15" s="2025">
        <f t="shared" si="146"/>
        <v>0</v>
      </c>
      <c r="JC15" s="2025">
        <f t="shared" si="147"/>
        <v>0</v>
      </c>
      <c r="JD15" s="2025">
        <f t="shared" si="148"/>
        <v>0</v>
      </c>
      <c r="JE15" s="2025">
        <f t="shared" si="149"/>
        <v>0</v>
      </c>
    </row>
    <row r="16" spans="1:265" ht="18" customHeight="1">
      <c r="A16" s="1319"/>
      <c r="B16" s="2023">
        <v>12</v>
      </c>
      <c r="C16" s="1105" t="s">
        <v>34</v>
      </c>
      <c r="D16" s="2130"/>
      <c r="E16" s="739"/>
      <c r="F16" s="1544"/>
      <c r="G16" s="1320"/>
      <c r="H16" s="1321">
        <f t="shared" si="0"/>
        <v>0</v>
      </c>
      <c r="I16" s="1321">
        <f t="shared" si="150"/>
        <v>0</v>
      </c>
      <c r="J16" s="1321">
        <f t="shared" si="1"/>
        <v>0</v>
      </c>
      <c r="K16" s="1321">
        <f t="shared" si="2"/>
        <v>0</v>
      </c>
      <c r="L16" s="1322">
        <f>Summen_GL!F83</f>
        <v>0</v>
      </c>
      <c r="M16" s="1323">
        <f t="shared" si="151"/>
        <v>0</v>
      </c>
      <c r="N16" s="2024"/>
      <c r="O16" s="1321">
        <f t="shared" si="205"/>
        <v>0</v>
      </c>
      <c r="P16" s="1321">
        <f t="shared" si="3"/>
        <v>0</v>
      </c>
      <c r="Q16" s="2024"/>
      <c r="R16" s="1470"/>
      <c r="S16" s="1471"/>
      <c r="T16" s="1470"/>
      <c r="U16" s="1471"/>
      <c r="V16" s="1470"/>
      <c r="W16" s="1471"/>
      <c r="X16" s="1470"/>
      <c r="Y16" s="1471"/>
      <c r="Z16" s="1470"/>
      <c r="AA16" s="1471"/>
      <c r="AB16" s="1470"/>
      <c r="AC16" s="1551"/>
      <c r="AD16" s="844"/>
      <c r="AE16" s="1561">
        <f>'meine Dünger'!C16</f>
        <v>0</v>
      </c>
      <c r="AF16" s="1562">
        <f>'meine Dünger'!AL16</f>
        <v>0</v>
      </c>
      <c r="AG16" s="844"/>
      <c r="AH16" s="1563"/>
      <c r="AI16" s="2132"/>
      <c r="AJ16" s="1319"/>
      <c r="AK16" s="1593">
        <f t="shared" si="152"/>
        <v>0</v>
      </c>
      <c r="AL16" s="1594">
        <f t="shared" si="153"/>
        <v>0</v>
      </c>
      <c r="AM16" s="1319"/>
      <c r="AN16" s="1319"/>
      <c r="AP16" s="1860">
        <f t="shared" si="154"/>
        <v>0</v>
      </c>
      <c r="AQ16" s="1860">
        <f t="shared" si="155"/>
        <v>0</v>
      </c>
      <c r="AR16" s="1860">
        <f t="shared" si="156"/>
        <v>0</v>
      </c>
      <c r="AS16" s="1860">
        <f t="shared" si="157"/>
        <v>0</v>
      </c>
      <c r="AT16" s="1860">
        <f t="shared" si="158"/>
        <v>0</v>
      </c>
      <c r="AU16" s="1860">
        <f t="shared" si="159"/>
        <v>0</v>
      </c>
      <c r="AV16" s="1860">
        <f t="shared" si="160"/>
        <v>0</v>
      </c>
      <c r="AW16" s="1860">
        <f t="shared" si="161"/>
        <v>0</v>
      </c>
      <c r="AX16" s="1860">
        <f t="shared" si="162"/>
        <v>0</v>
      </c>
      <c r="AY16" s="1860">
        <f t="shared" si="163"/>
        <v>0</v>
      </c>
      <c r="AZ16" s="1860">
        <f t="shared" si="164"/>
        <v>0</v>
      </c>
      <c r="BA16" s="2026">
        <f t="shared" si="165"/>
        <v>0</v>
      </c>
      <c r="BB16" s="2026">
        <f t="shared" si="166"/>
        <v>0</v>
      </c>
      <c r="BC16" s="2026">
        <f t="shared" si="167"/>
        <v>0</v>
      </c>
      <c r="BD16" s="2026">
        <f t="shared" si="168"/>
        <v>0</v>
      </c>
      <c r="BE16" s="2026">
        <f t="shared" si="169"/>
        <v>0</v>
      </c>
      <c r="BF16" s="2026">
        <f t="shared" si="170"/>
        <v>0</v>
      </c>
      <c r="BG16" s="2026">
        <f t="shared" si="171"/>
        <v>0</v>
      </c>
      <c r="BH16" s="2026">
        <f t="shared" si="172"/>
        <v>0</v>
      </c>
      <c r="BI16" s="2026">
        <f t="shared" si="173"/>
        <v>0</v>
      </c>
      <c r="BJ16" s="2026">
        <f t="shared" si="174"/>
        <v>0</v>
      </c>
      <c r="BK16" s="2027"/>
      <c r="BL16" s="2026">
        <f t="shared" si="175"/>
        <v>0</v>
      </c>
      <c r="BM16" s="2026">
        <f t="shared" si="176"/>
        <v>0</v>
      </c>
      <c r="BN16" s="2026">
        <f t="shared" si="4"/>
        <v>0</v>
      </c>
      <c r="BO16" s="2026">
        <f t="shared" si="5"/>
        <v>0</v>
      </c>
      <c r="BP16" s="2026">
        <f t="shared" si="6"/>
        <v>0</v>
      </c>
      <c r="BQ16" s="2026">
        <f t="shared" si="7"/>
        <v>0</v>
      </c>
      <c r="BR16" s="2026">
        <f t="shared" si="8"/>
        <v>0</v>
      </c>
      <c r="BS16" s="2026">
        <f t="shared" si="177"/>
        <v>0</v>
      </c>
      <c r="BT16" s="2026">
        <f t="shared" si="9"/>
        <v>0</v>
      </c>
      <c r="BU16" s="2026">
        <f t="shared" si="10"/>
        <v>0</v>
      </c>
      <c r="BV16" s="2028"/>
      <c r="BW16" s="2029">
        <f t="shared" si="11"/>
        <v>0</v>
      </c>
      <c r="BX16" s="2029">
        <f t="shared" si="178"/>
        <v>0</v>
      </c>
      <c r="BY16" s="2029">
        <f t="shared" si="179"/>
        <v>0</v>
      </c>
      <c r="CA16" s="2030">
        <f t="shared" si="12"/>
        <v>0</v>
      </c>
      <c r="CB16" s="2030">
        <f t="shared" si="13"/>
        <v>0</v>
      </c>
      <c r="CC16" s="2030">
        <f t="shared" si="14"/>
        <v>0</v>
      </c>
      <c r="CD16" s="2031">
        <f t="shared" si="15"/>
        <v>0</v>
      </c>
      <c r="CE16" s="2031">
        <f t="shared" si="16"/>
        <v>0</v>
      </c>
      <c r="CF16" s="2031">
        <f t="shared" si="180"/>
        <v>0</v>
      </c>
      <c r="CG16" s="2030">
        <f t="shared" si="17"/>
        <v>0</v>
      </c>
      <c r="CH16" s="2032">
        <f t="shared" si="18"/>
        <v>0</v>
      </c>
      <c r="CI16" s="2032">
        <f t="shared" si="19"/>
        <v>0</v>
      </c>
      <c r="CJ16" s="2032">
        <f t="shared" si="181"/>
        <v>0</v>
      </c>
      <c r="CK16" s="2030">
        <f t="shared" si="20"/>
        <v>0</v>
      </c>
      <c r="CL16" s="2033">
        <f t="shared" si="21"/>
        <v>0</v>
      </c>
      <c r="CM16" s="2032">
        <f t="shared" si="22"/>
        <v>0</v>
      </c>
      <c r="CN16" s="2033">
        <f t="shared" si="23"/>
        <v>0</v>
      </c>
      <c r="CO16" s="2033">
        <f t="shared" si="182"/>
        <v>0</v>
      </c>
      <c r="CP16" s="2030">
        <f t="shared" si="24"/>
        <v>0</v>
      </c>
      <c r="CQ16" s="2030">
        <f t="shared" si="25"/>
        <v>0</v>
      </c>
      <c r="CR16" s="2030">
        <f t="shared" si="26"/>
        <v>0</v>
      </c>
      <c r="CS16" s="2030">
        <f t="shared" si="27"/>
        <v>0</v>
      </c>
      <c r="CT16" s="2035">
        <f t="shared" si="28"/>
        <v>0</v>
      </c>
      <c r="CU16" s="2036">
        <f t="shared" si="183"/>
        <v>0</v>
      </c>
      <c r="CV16" s="2036">
        <f t="shared" si="184"/>
        <v>0</v>
      </c>
      <c r="CW16" s="2036">
        <f t="shared" si="185"/>
        <v>0</v>
      </c>
      <c r="CY16" s="2055" t="s">
        <v>1021</v>
      </c>
      <c r="CZ16" s="2052">
        <v>2000</v>
      </c>
      <c r="DA16" s="2052">
        <v>3000</v>
      </c>
      <c r="DB16" s="2057">
        <v>3500</v>
      </c>
      <c r="DC16" s="10"/>
      <c r="DE16" s="2055" t="s">
        <v>1021</v>
      </c>
      <c r="DF16" s="2052">
        <v>3000</v>
      </c>
      <c r="DG16" s="2052">
        <v>3000</v>
      </c>
      <c r="DH16" s="2052">
        <v>3000</v>
      </c>
      <c r="DL16" s="10">
        <f t="shared" si="186"/>
        <v>0</v>
      </c>
      <c r="DM16" s="10">
        <f t="shared" si="29"/>
        <v>0</v>
      </c>
      <c r="DN16" s="2027" t="e">
        <f>DL16/Betrieb!$E$23</f>
        <v>#DIV/0!</v>
      </c>
      <c r="DO16" s="2027" t="e">
        <f>DM16/Betrieb!$E$24</f>
        <v>#DIV/0!</v>
      </c>
      <c r="DP16" s="2041">
        <f>(Betrieb!$E$21*Betrieb!$H$21)+(Betrieb!$E$23*Betrieb!$H$23)</f>
        <v>0</v>
      </c>
      <c r="DQ16" s="2025">
        <f>(Betrieb!$E$22*Betrieb!$H$22)+(Betrieb!$E$24*Betrieb!$H$24)</f>
        <v>0</v>
      </c>
      <c r="DR16" s="2041">
        <f t="shared" si="187"/>
        <v>0</v>
      </c>
      <c r="DS16" s="2025">
        <f t="shared" si="188"/>
        <v>0</v>
      </c>
      <c r="DT16" s="2042">
        <f t="shared" si="189"/>
        <v>0</v>
      </c>
      <c r="DU16" s="2043">
        <f t="shared" si="203"/>
        <v>0</v>
      </c>
      <c r="DV16" s="2043">
        <f t="shared" si="190"/>
        <v>0</v>
      </c>
      <c r="DW16" s="2043">
        <f t="shared" si="204"/>
        <v>0</v>
      </c>
      <c r="DZ16" s="2044">
        <f t="shared" si="191"/>
        <v>0</v>
      </c>
      <c r="EA16" s="1874">
        <f t="shared" si="30"/>
        <v>0</v>
      </c>
      <c r="EB16" s="1874">
        <f t="shared" si="31"/>
        <v>0</v>
      </c>
      <c r="EC16" s="1874">
        <f t="shared" si="32"/>
        <v>0</v>
      </c>
      <c r="ED16" s="1874">
        <f t="shared" si="33"/>
        <v>0</v>
      </c>
      <c r="EE16" s="1874">
        <f t="shared" si="34"/>
        <v>0</v>
      </c>
      <c r="EF16" s="1874">
        <f t="shared" si="35"/>
        <v>0</v>
      </c>
      <c r="EH16" s="2044">
        <f t="shared" si="192"/>
        <v>0</v>
      </c>
      <c r="EI16" s="2025">
        <f t="shared" si="36"/>
        <v>0</v>
      </c>
      <c r="EJ16" s="2025">
        <f t="shared" si="37"/>
        <v>0</v>
      </c>
      <c r="EK16" s="2025">
        <f t="shared" si="38"/>
        <v>0</v>
      </c>
      <c r="EL16" s="2025">
        <f t="shared" si="39"/>
        <v>0</v>
      </c>
      <c r="EM16" s="2025">
        <f t="shared" si="40"/>
        <v>0</v>
      </c>
      <c r="EN16" s="2025">
        <f t="shared" si="41"/>
        <v>0</v>
      </c>
      <c r="EP16" s="2045">
        <f t="shared" si="42"/>
        <v>0</v>
      </c>
      <c r="EQ16" s="2042">
        <f t="shared" si="193"/>
        <v>0</v>
      </c>
      <c r="ER16" s="2042">
        <f t="shared" si="43"/>
        <v>0</v>
      </c>
      <c r="ES16" s="2042">
        <f t="shared" si="44"/>
        <v>0</v>
      </c>
      <c r="ET16" s="2042">
        <f t="shared" si="45"/>
        <v>0</v>
      </c>
      <c r="EU16" s="2042">
        <f t="shared" si="46"/>
        <v>0</v>
      </c>
      <c r="EV16" s="2042">
        <f t="shared" si="47"/>
        <v>0</v>
      </c>
      <c r="EW16" s="2042">
        <f t="shared" si="48"/>
        <v>0</v>
      </c>
      <c r="EX16" s="2042">
        <f t="shared" si="49"/>
        <v>0</v>
      </c>
      <c r="EY16" s="2042">
        <f t="shared" si="50"/>
        <v>0</v>
      </c>
      <c r="EZ16" s="2042">
        <f t="shared" si="51"/>
        <v>0</v>
      </c>
      <c r="FA16" s="2042">
        <f t="shared" si="52"/>
        <v>0</v>
      </c>
      <c r="FB16" s="2042">
        <f t="shared" si="53"/>
        <v>0</v>
      </c>
      <c r="FC16" s="2042">
        <f t="shared" si="54"/>
        <v>0</v>
      </c>
      <c r="FD16" s="2046">
        <f t="shared" si="194"/>
        <v>0</v>
      </c>
      <c r="FE16" s="2042">
        <f t="shared" si="55"/>
        <v>0</v>
      </c>
      <c r="FF16" s="2042">
        <f t="shared" si="56"/>
        <v>0</v>
      </c>
      <c r="FG16" s="2042">
        <f t="shared" si="57"/>
        <v>0</v>
      </c>
      <c r="FH16" s="2042">
        <f t="shared" si="58"/>
        <v>0</v>
      </c>
      <c r="FI16" s="2042">
        <f t="shared" si="59"/>
        <v>0</v>
      </c>
      <c r="FJ16" s="2042">
        <f t="shared" si="195"/>
        <v>0</v>
      </c>
      <c r="FK16" s="2042">
        <f t="shared" si="60"/>
        <v>0</v>
      </c>
      <c r="FL16" s="2042">
        <f t="shared" si="61"/>
        <v>0</v>
      </c>
      <c r="FM16" s="2042">
        <f t="shared" si="62"/>
        <v>0</v>
      </c>
      <c r="FN16" s="2042">
        <f t="shared" si="63"/>
        <v>0</v>
      </c>
      <c r="FO16" s="2042">
        <f t="shared" si="64"/>
        <v>0</v>
      </c>
      <c r="FP16" s="2042">
        <f t="shared" si="65"/>
        <v>0</v>
      </c>
      <c r="FQ16" s="2047">
        <f t="shared" si="196"/>
        <v>0</v>
      </c>
      <c r="FR16" s="2042">
        <f t="shared" si="66"/>
        <v>0</v>
      </c>
      <c r="FS16" s="2042">
        <f t="shared" si="67"/>
        <v>0</v>
      </c>
      <c r="FT16" s="2042">
        <f t="shared" si="68"/>
        <v>0</v>
      </c>
      <c r="FU16" s="2042">
        <f t="shared" si="69"/>
        <v>0</v>
      </c>
      <c r="FV16" s="2042">
        <f t="shared" si="70"/>
        <v>0</v>
      </c>
      <c r="FW16" s="2042">
        <f t="shared" si="71"/>
        <v>0</v>
      </c>
      <c r="FX16" s="2042">
        <f t="shared" si="72"/>
        <v>0</v>
      </c>
      <c r="FY16" s="2042">
        <f t="shared" si="73"/>
        <v>0</v>
      </c>
      <c r="FZ16" s="2042">
        <f t="shared" si="74"/>
        <v>0</v>
      </c>
      <c r="GA16" s="2042">
        <f t="shared" si="75"/>
        <v>0</v>
      </c>
      <c r="GB16" s="2042">
        <f t="shared" si="76"/>
        <v>0</v>
      </c>
      <c r="GC16" s="2042">
        <f t="shared" si="77"/>
        <v>0</v>
      </c>
      <c r="GD16" s="2042">
        <f t="shared" si="78"/>
        <v>0</v>
      </c>
      <c r="GE16" s="2042">
        <f t="shared" si="79"/>
        <v>0</v>
      </c>
      <c r="GF16" s="2042">
        <f t="shared" si="80"/>
        <v>0</v>
      </c>
      <c r="GG16" s="2042">
        <f t="shared" si="81"/>
        <v>0</v>
      </c>
      <c r="GH16" s="2042">
        <f t="shared" si="82"/>
        <v>0</v>
      </c>
      <c r="GI16" s="2042">
        <f t="shared" si="83"/>
        <v>0</v>
      </c>
      <c r="GJ16" s="2042">
        <f t="shared" si="84"/>
        <v>0</v>
      </c>
      <c r="GK16" s="2042">
        <f t="shared" si="85"/>
        <v>0</v>
      </c>
      <c r="GL16" s="2042">
        <f t="shared" si="86"/>
        <v>0</v>
      </c>
      <c r="GM16" s="2042">
        <f t="shared" si="87"/>
        <v>0</v>
      </c>
      <c r="GN16" s="2042">
        <f t="shared" si="88"/>
        <v>0</v>
      </c>
      <c r="GO16" s="2042">
        <f t="shared" si="89"/>
        <v>0</v>
      </c>
      <c r="GP16" s="2047">
        <f t="shared" si="197"/>
        <v>0</v>
      </c>
      <c r="GQ16" s="2042">
        <f t="shared" si="90"/>
        <v>0</v>
      </c>
      <c r="GR16" s="2042">
        <f t="shared" si="91"/>
        <v>0</v>
      </c>
      <c r="GS16" s="2042">
        <f t="shared" si="92"/>
        <v>0</v>
      </c>
      <c r="GT16" s="2042">
        <f t="shared" si="93"/>
        <v>0</v>
      </c>
      <c r="GU16" s="2042">
        <f t="shared" si="94"/>
        <v>0</v>
      </c>
      <c r="GV16" s="2042">
        <f t="shared" si="95"/>
        <v>0</v>
      </c>
      <c r="GW16" s="2042">
        <f t="shared" si="96"/>
        <v>0</v>
      </c>
      <c r="GX16" s="2042">
        <f t="shared" si="97"/>
        <v>0</v>
      </c>
      <c r="GY16" s="2042">
        <f t="shared" si="98"/>
        <v>0</v>
      </c>
      <c r="GZ16" s="2042">
        <f t="shared" si="99"/>
        <v>0</v>
      </c>
      <c r="HA16" s="2042">
        <f t="shared" si="100"/>
        <v>0</v>
      </c>
      <c r="HB16" s="2042">
        <f t="shared" si="101"/>
        <v>0</v>
      </c>
      <c r="HC16" s="2047">
        <f t="shared" si="198"/>
        <v>0</v>
      </c>
      <c r="HD16" s="2042">
        <f t="shared" si="102"/>
        <v>0</v>
      </c>
      <c r="HE16" s="2042">
        <f t="shared" si="103"/>
        <v>0</v>
      </c>
      <c r="HF16" s="2042">
        <f t="shared" si="104"/>
        <v>0</v>
      </c>
      <c r="HG16" s="2042">
        <f t="shared" si="105"/>
        <v>0</v>
      </c>
      <c r="HH16" s="2042">
        <f t="shared" si="106"/>
        <v>0</v>
      </c>
      <c r="HI16" s="2042">
        <f t="shared" si="107"/>
        <v>0</v>
      </c>
      <c r="HJ16" s="2042">
        <f t="shared" si="108"/>
        <v>0</v>
      </c>
      <c r="HK16" s="2042">
        <f t="shared" si="109"/>
        <v>0</v>
      </c>
      <c r="HL16" s="2042">
        <f t="shared" si="110"/>
        <v>0</v>
      </c>
      <c r="HM16" s="2042">
        <f t="shared" si="111"/>
        <v>0</v>
      </c>
      <c r="HN16" s="2042">
        <f t="shared" si="112"/>
        <v>0</v>
      </c>
      <c r="HO16" s="2042">
        <f t="shared" si="113"/>
        <v>0</v>
      </c>
      <c r="HP16" s="2047">
        <f t="shared" si="199"/>
        <v>0</v>
      </c>
      <c r="HQ16" s="2042">
        <f t="shared" si="114"/>
        <v>0</v>
      </c>
      <c r="HR16" s="2042">
        <f t="shared" si="115"/>
        <v>0</v>
      </c>
      <c r="HS16" s="2042">
        <f t="shared" si="116"/>
        <v>0</v>
      </c>
      <c r="HT16" s="2042">
        <f t="shared" si="117"/>
        <v>0</v>
      </c>
      <c r="HU16" s="2042">
        <f t="shared" si="118"/>
        <v>0</v>
      </c>
      <c r="HV16" s="2042">
        <f t="shared" si="119"/>
        <v>0</v>
      </c>
      <c r="HW16" s="2042">
        <f t="shared" si="120"/>
        <v>0</v>
      </c>
      <c r="HX16" s="2042">
        <f t="shared" si="121"/>
        <v>0</v>
      </c>
      <c r="HY16" s="2042">
        <f t="shared" si="122"/>
        <v>0</v>
      </c>
      <c r="HZ16" s="2042">
        <f t="shared" si="123"/>
        <v>0</v>
      </c>
      <c r="IA16" s="2042">
        <f t="shared" si="124"/>
        <v>0</v>
      </c>
      <c r="IB16" s="2042">
        <f t="shared" si="125"/>
        <v>0</v>
      </c>
      <c r="IC16" s="2047">
        <f t="shared" si="200"/>
        <v>0</v>
      </c>
      <c r="IE16" s="2044">
        <f t="shared" si="201"/>
        <v>0</v>
      </c>
      <c r="IF16" s="2025">
        <f t="shared" si="126"/>
        <v>0</v>
      </c>
      <c r="IG16" s="2025">
        <f t="shared" si="127"/>
        <v>0</v>
      </c>
      <c r="IH16" s="2025">
        <f t="shared" si="128"/>
        <v>0</v>
      </c>
      <c r="II16" s="2025">
        <f t="shared" si="129"/>
        <v>0</v>
      </c>
      <c r="IJ16" s="2025">
        <f t="shared" si="130"/>
        <v>0</v>
      </c>
      <c r="IK16" s="2025">
        <f t="shared" si="131"/>
        <v>0</v>
      </c>
      <c r="IL16" s="2025">
        <f t="shared" si="132"/>
        <v>0</v>
      </c>
      <c r="IM16" s="2025">
        <f t="shared" si="133"/>
        <v>0</v>
      </c>
      <c r="IN16" s="2025">
        <f t="shared" si="134"/>
        <v>0</v>
      </c>
      <c r="IO16" s="2025">
        <f t="shared" si="135"/>
        <v>0</v>
      </c>
      <c r="IP16" s="2025">
        <f t="shared" si="136"/>
        <v>0</v>
      </c>
      <c r="IQ16" s="2025">
        <f t="shared" si="137"/>
        <v>0</v>
      </c>
      <c r="IS16" s="2044">
        <f t="shared" si="202"/>
        <v>0</v>
      </c>
      <c r="IT16" s="2025">
        <f t="shared" si="138"/>
        <v>0</v>
      </c>
      <c r="IU16" s="2025">
        <f t="shared" si="139"/>
        <v>0</v>
      </c>
      <c r="IV16" s="2025">
        <f t="shared" si="140"/>
        <v>0</v>
      </c>
      <c r="IW16" s="2025">
        <f t="shared" si="141"/>
        <v>0</v>
      </c>
      <c r="IX16" s="2025">
        <f t="shared" si="142"/>
        <v>0</v>
      </c>
      <c r="IY16" s="2025">
        <f t="shared" si="143"/>
        <v>0</v>
      </c>
      <c r="IZ16" s="2025">
        <f t="shared" si="144"/>
        <v>0</v>
      </c>
      <c r="JA16" s="2025">
        <f t="shared" si="145"/>
        <v>0</v>
      </c>
      <c r="JB16" s="2025">
        <f t="shared" si="146"/>
        <v>0</v>
      </c>
      <c r="JC16" s="2025">
        <f t="shared" si="147"/>
        <v>0</v>
      </c>
      <c r="JD16" s="2025">
        <f t="shared" si="148"/>
        <v>0</v>
      </c>
      <c r="JE16" s="2025">
        <f t="shared" si="149"/>
        <v>0</v>
      </c>
    </row>
    <row r="17" spans="1:265" ht="18" customHeight="1">
      <c r="A17" s="1319"/>
      <c r="B17" s="2023">
        <v>13</v>
      </c>
      <c r="C17" s="1105" t="s">
        <v>34</v>
      </c>
      <c r="D17" s="2130"/>
      <c r="E17" s="739"/>
      <c r="F17" s="1544"/>
      <c r="G17" s="1320"/>
      <c r="H17" s="1321">
        <f t="shared" si="0"/>
        <v>0</v>
      </c>
      <c r="I17" s="1321">
        <f t="shared" si="150"/>
        <v>0</v>
      </c>
      <c r="J17" s="1321">
        <f t="shared" si="1"/>
        <v>0</v>
      </c>
      <c r="K17" s="1321">
        <f t="shared" si="2"/>
        <v>0</v>
      </c>
      <c r="L17" s="1322">
        <f>Summen_GL!F84</f>
        <v>0</v>
      </c>
      <c r="M17" s="1323">
        <f t="shared" si="151"/>
        <v>0</v>
      </c>
      <c r="N17" s="2024"/>
      <c r="O17" s="1321">
        <f t="shared" si="205"/>
        <v>0</v>
      </c>
      <c r="P17" s="1321">
        <f t="shared" si="3"/>
        <v>0</v>
      </c>
      <c r="Q17" s="2024"/>
      <c r="R17" s="1470"/>
      <c r="S17" s="1471"/>
      <c r="T17" s="1470"/>
      <c r="U17" s="1471"/>
      <c r="V17" s="1470"/>
      <c r="W17" s="1471"/>
      <c r="X17" s="1470"/>
      <c r="Y17" s="1471"/>
      <c r="Z17" s="1470"/>
      <c r="AA17" s="1471"/>
      <c r="AB17" s="1470"/>
      <c r="AC17" s="1551"/>
      <c r="AD17" s="844"/>
      <c r="AE17" s="2058" t="s">
        <v>1246</v>
      </c>
      <c r="AF17" s="2059" t="str">
        <f>'meine Dünger'!O31</f>
        <v/>
      </c>
      <c r="AG17" s="844"/>
      <c r="AH17" s="1563"/>
      <c r="AI17" s="2132"/>
      <c r="AJ17" s="1319"/>
      <c r="AK17" s="1593">
        <f t="shared" si="152"/>
        <v>0</v>
      </c>
      <c r="AL17" s="1594">
        <f t="shared" si="153"/>
        <v>0</v>
      </c>
      <c r="AM17" s="1319"/>
      <c r="AN17" s="1319"/>
      <c r="AP17" s="1860">
        <f t="shared" si="154"/>
        <v>0</v>
      </c>
      <c r="AQ17" s="1860">
        <f t="shared" si="155"/>
        <v>0</v>
      </c>
      <c r="AR17" s="1860">
        <f t="shared" si="156"/>
        <v>0</v>
      </c>
      <c r="AS17" s="1860">
        <f t="shared" si="157"/>
        <v>0</v>
      </c>
      <c r="AT17" s="1860">
        <f t="shared" si="158"/>
        <v>0</v>
      </c>
      <c r="AU17" s="1860">
        <f t="shared" si="159"/>
        <v>0</v>
      </c>
      <c r="AV17" s="1860">
        <f t="shared" si="160"/>
        <v>0</v>
      </c>
      <c r="AW17" s="1860">
        <f t="shared" si="161"/>
        <v>0</v>
      </c>
      <c r="AX17" s="1860">
        <f t="shared" si="162"/>
        <v>0</v>
      </c>
      <c r="AY17" s="1860">
        <f t="shared" si="163"/>
        <v>0</v>
      </c>
      <c r="AZ17" s="1860">
        <f t="shared" si="164"/>
        <v>0</v>
      </c>
      <c r="BA17" s="2026">
        <f t="shared" si="165"/>
        <v>0</v>
      </c>
      <c r="BB17" s="2026">
        <f t="shared" si="166"/>
        <v>0</v>
      </c>
      <c r="BC17" s="2026">
        <f t="shared" si="167"/>
        <v>0</v>
      </c>
      <c r="BD17" s="2026">
        <f t="shared" si="168"/>
        <v>0</v>
      </c>
      <c r="BE17" s="2026">
        <f t="shared" si="169"/>
        <v>0</v>
      </c>
      <c r="BF17" s="2026">
        <f t="shared" si="170"/>
        <v>0</v>
      </c>
      <c r="BG17" s="2026">
        <f t="shared" si="171"/>
        <v>0</v>
      </c>
      <c r="BH17" s="2026">
        <f t="shared" si="172"/>
        <v>0</v>
      </c>
      <c r="BI17" s="2026">
        <f t="shared" si="173"/>
        <v>0</v>
      </c>
      <c r="BJ17" s="2026">
        <f t="shared" si="174"/>
        <v>0</v>
      </c>
      <c r="BK17" s="2027"/>
      <c r="BL17" s="2026">
        <f t="shared" si="175"/>
        <v>0</v>
      </c>
      <c r="BM17" s="2026">
        <f t="shared" si="176"/>
        <v>0</v>
      </c>
      <c r="BN17" s="2026">
        <f t="shared" si="4"/>
        <v>0</v>
      </c>
      <c r="BO17" s="2026">
        <f t="shared" si="5"/>
        <v>0</v>
      </c>
      <c r="BP17" s="2026">
        <f t="shared" si="6"/>
        <v>0</v>
      </c>
      <c r="BQ17" s="2026">
        <f t="shared" si="7"/>
        <v>0</v>
      </c>
      <c r="BR17" s="2026">
        <f t="shared" si="8"/>
        <v>0</v>
      </c>
      <c r="BS17" s="2026">
        <f t="shared" si="177"/>
        <v>0</v>
      </c>
      <c r="BT17" s="2026">
        <f t="shared" si="9"/>
        <v>0</v>
      </c>
      <c r="BU17" s="2026">
        <f t="shared" si="10"/>
        <v>0</v>
      </c>
      <c r="BV17" s="2028"/>
      <c r="BW17" s="2029">
        <f t="shared" si="11"/>
        <v>0</v>
      </c>
      <c r="BX17" s="2029">
        <f t="shared" si="178"/>
        <v>0</v>
      </c>
      <c r="BY17" s="2029">
        <f t="shared" si="179"/>
        <v>0</v>
      </c>
      <c r="CA17" s="2030">
        <f t="shared" si="12"/>
        <v>0</v>
      </c>
      <c r="CB17" s="2030">
        <f t="shared" si="13"/>
        <v>0</v>
      </c>
      <c r="CC17" s="2030">
        <f t="shared" si="14"/>
        <v>0</v>
      </c>
      <c r="CD17" s="2031">
        <f t="shared" si="15"/>
        <v>0</v>
      </c>
      <c r="CE17" s="2031">
        <f t="shared" si="16"/>
        <v>0</v>
      </c>
      <c r="CF17" s="2031">
        <f t="shared" si="180"/>
        <v>0</v>
      </c>
      <c r="CG17" s="2030">
        <f t="shared" si="17"/>
        <v>0</v>
      </c>
      <c r="CH17" s="2032">
        <f t="shared" si="18"/>
        <v>0</v>
      </c>
      <c r="CI17" s="2032">
        <f t="shared" si="19"/>
        <v>0</v>
      </c>
      <c r="CJ17" s="2032">
        <f t="shared" si="181"/>
        <v>0</v>
      </c>
      <c r="CK17" s="2030">
        <f t="shared" si="20"/>
        <v>0</v>
      </c>
      <c r="CL17" s="2033">
        <f t="shared" si="21"/>
        <v>0</v>
      </c>
      <c r="CM17" s="2032">
        <f t="shared" si="22"/>
        <v>0</v>
      </c>
      <c r="CN17" s="2033">
        <f t="shared" si="23"/>
        <v>0</v>
      </c>
      <c r="CO17" s="2033">
        <f t="shared" si="182"/>
        <v>0</v>
      </c>
      <c r="CP17" s="2030">
        <f t="shared" si="24"/>
        <v>0</v>
      </c>
      <c r="CQ17" s="2030">
        <f t="shared" si="25"/>
        <v>0</v>
      </c>
      <c r="CR17" s="2030">
        <f t="shared" si="26"/>
        <v>0</v>
      </c>
      <c r="CS17" s="2030">
        <f t="shared" si="27"/>
        <v>0</v>
      </c>
      <c r="CT17" s="2035">
        <f t="shared" si="28"/>
        <v>0</v>
      </c>
      <c r="CU17" s="2036">
        <f t="shared" si="183"/>
        <v>0</v>
      </c>
      <c r="CV17" s="2036">
        <f t="shared" si="184"/>
        <v>0</v>
      </c>
      <c r="CW17" s="2036">
        <f t="shared" si="185"/>
        <v>0</v>
      </c>
      <c r="CY17" s="10"/>
      <c r="CZ17" s="10"/>
      <c r="DA17" s="10"/>
      <c r="DB17" s="10"/>
      <c r="DC17" s="10"/>
      <c r="DL17" s="10">
        <f t="shared" si="186"/>
        <v>0</v>
      </c>
      <c r="DM17" s="10">
        <f t="shared" si="29"/>
        <v>0</v>
      </c>
      <c r="DN17" s="2027" t="e">
        <f>DL17/Betrieb!$E$23</f>
        <v>#DIV/0!</v>
      </c>
      <c r="DO17" s="2027" t="e">
        <f>DM17/Betrieb!$E$24</f>
        <v>#DIV/0!</v>
      </c>
      <c r="DP17" s="2041">
        <f>(Betrieb!$E$21*Betrieb!$H$21)+(Betrieb!$E$23*Betrieb!$H$23)</f>
        <v>0</v>
      </c>
      <c r="DQ17" s="2025">
        <f>(Betrieb!$E$22*Betrieb!$H$22)+(Betrieb!$E$24*Betrieb!$H$24)</f>
        <v>0</v>
      </c>
      <c r="DR17" s="2041">
        <f t="shared" si="187"/>
        <v>0</v>
      </c>
      <c r="DS17" s="2025">
        <f t="shared" si="188"/>
        <v>0</v>
      </c>
      <c r="DT17" s="2042">
        <f t="shared" si="189"/>
        <v>0</v>
      </c>
      <c r="DU17" s="2043">
        <f t="shared" si="203"/>
        <v>0</v>
      </c>
      <c r="DV17" s="2043">
        <f t="shared" si="190"/>
        <v>0</v>
      </c>
      <c r="DW17" s="2043">
        <f t="shared" si="204"/>
        <v>0</v>
      </c>
      <c r="DZ17" s="2044">
        <f t="shared" si="191"/>
        <v>0</v>
      </c>
      <c r="EA17" s="1874">
        <f t="shared" si="30"/>
        <v>0</v>
      </c>
      <c r="EB17" s="1874">
        <f t="shared" si="31"/>
        <v>0</v>
      </c>
      <c r="EC17" s="1874">
        <f t="shared" si="32"/>
        <v>0</v>
      </c>
      <c r="ED17" s="1874">
        <f t="shared" si="33"/>
        <v>0</v>
      </c>
      <c r="EE17" s="1874">
        <f t="shared" si="34"/>
        <v>0</v>
      </c>
      <c r="EF17" s="1874">
        <f t="shared" si="35"/>
        <v>0</v>
      </c>
      <c r="EH17" s="2044">
        <f t="shared" si="192"/>
        <v>0</v>
      </c>
      <c r="EI17" s="2025">
        <f t="shared" si="36"/>
        <v>0</v>
      </c>
      <c r="EJ17" s="2025">
        <f t="shared" si="37"/>
        <v>0</v>
      </c>
      <c r="EK17" s="2025">
        <f t="shared" si="38"/>
        <v>0</v>
      </c>
      <c r="EL17" s="2025">
        <f t="shared" si="39"/>
        <v>0</v>
      </c>
      <c r="EM17" s="2025">
        <f t="shared" si="40"/>
        <v>0</v>
      </c>
      <c r="EN17" s="2025">
        <f t="shared" si="41"/>
        <v>0</v>
      </c>
      <c r="EP17" s="2045">
        <f t="shared" si="42"/>
        <v>0</v>
      </c>
      <c r="EQ17" s="2042">
        <f t="shared" si="193"/>
        <v>0</v>
      </c>
      <c r="ER17" s="2042">
        <f t="shared" si="43"/>
        <v>0</v>
      </c>
      <c r="ES17" s="2042">
        <f t="shared" si="44"/>
        <v>0</v>
      </c>
      <c r="ET17" s="2042">
        <f t="shared" si="45"/>
        <v>0</v>
      </c>
      <c r="EU17" s="2042">
        <f t="shared" si="46"/>
        <v>0</v>
      </c>
      <c r="EV17" s="2042">
        <f t="shared" si="47"/>
        <v>0</v>
      </c>
      <c r="EW17" s="2042">
        <f t="shared" si="48"/>
        <v>0</v>
      </c>
      <c r="EX17" s="2042">
        <f t="shared" si="49"/>
        <v>0</v>
      </c>
      <c r="EY17" s="2042">
        <f t="shared" si="50"/>
        <v>0</v>
      </c>
      <c r="EZ17" s="2042">
        <f t="shared" si="51"/>
        <v>0</v>
      </c>
      <c r="FA17" s="2042">
        <f t="shared" si="52"/>
        <v>0</v>
      </c>
      <c r="FB17" s="2042">
        <f t="shared" si="53"/>
        <v>0</v>
      </c>
      <c r="FC17" s="2042">
        <f t="shared" si="54"/>
        <v>0</v>
      </c>
      <c r="FD17" s="2046">
        <f t="shared" si="194"/>
        <v>0</v>
      </c>
      <c r="FE17" s="2042">
        <f t="shared" si="55"/>
        <v>0</v>
      </c>
      <c r="FF17" s="2042">
        <f t="shared" si="56"/>
        <v>0</v>
      </c>
      <c r="FG17" s="2042">
        <f t="shared" si="57"/>
        <v>0</v>
      </c>
      <c r="FH17" s="2042">
        <f t="shared" si="58"/>
        <v>0</v>
      </c>
      <c r="FI17" s="2042">
        <f t="shared" si="59"/>
        <v>0</v>
      </c>
      <c r="FJ17" s="2042">
        <f t="shared" si="195"/>
        <v>0</v>
      </c>
      <c r="FK17" s="2042">
        <f t="shared" si="60"/>
        <v>0</v>
      </c>
      <c r="FL17" s="2042">
        <f t="shared" si="61"/>
        <v>0</v>
      </c>
      <c r="FM17" s="2042">
        <f t="shared" si="62"/>
        <v>0</v>
      </c>
      <c r="FN17" s="2042">
        <f t="shared" si="63"/>
        <v>0</v>
      </c>
      <c r="FO17" s="2042">
        <f t="shared" si="64"/>
        <v>0</v>
      </c>
      <c r="FP17" s="2042">
        <f t="shared" si="65"/>
        <v>0</v>
      </c>
      <c r="FQ17" s="2047">
        <f t="shared" si="196"/>
        <v>0</v>
      </c>
      <c r="FR17" s="2042">
        <f t="shared" si="66"/>
        <v>0</v>
      </c>
      <c r="FS17" s="2042">
        <f t="shared" si="67"/>
        <v>0</v>
      </c>
      <c r="FT17" s="2042">
        <f t="shared" si="68"/>
        <v>0</v>
      </c>
      <c r="FU17" s="2042">
        <f t="shared" si="69"/>
        <v>0</v>
      </c>
      <c r="FV17" s="2042">
        <f t="shared" si="70"/>
        <v>0</v>
      </c>
      <c r="FW17" s="2042">
        <f t="shared" si="71"/>
        <v>0</v>
      </c>
      <c r="FX17" s="2042">
        <f t="shared" si="72"/>
        <v>0</v>
      </c>
      <c r="FY17" s="2042">
        <f t="shared" si="73"/>
        <v>0</v>
      </c>
      <c r="FZ17" s="2042">
        <f t="shared" si="74"/>
        <v>0</v>
      </c>
      <c r="GA17" s="2042">
        <f t="shared" si="75"/>
        <v>0</v>
      </c>
      <c r="GB17" s="2042">
        <f t="shared" si="76"/>
        <v>0</v>
      </c>
      <c r="GC17" s="2042">
        <f t="shared" si="77"/>
        <v>0</v>
      </c>
      <c r="GD17" s="2042">
        <f t="shared" si="78"/>
        <v>0</v>
      </c>
      <c r="GE17" s="2042">
        <f t="shared" si="79"/>
        <v>0</v>
      </c>
      <c r="GF17" s="2042">
        <f t="shared" si="80"/>
        <v>0</v>
      </c>
      <c r="GG17" s="2042">
        <f t="shared" si="81"/>
        <v>0</v>
      </c>
      <c r="GH17" s="2042">
        <f t="shared" si="82"/>
        <v>0</v>
      </c>
      <c r="GI17" s="2042">
        <f t="shared" si="83"/>
        <v>0</v>
      </c>
      <c r="GJ17" s="2042">
        <f t="shared" si="84"/>
        <v>0</v>
      </c>
      <c r="GK17" s="2042">
        <f t="shared" si="85"/>
        <v>0</v>
      </c>
      <c r="GL17" s="2042">
        <f t="shared" si="86"/>
        <v>0</v>
      </c>
      <c r="GM17" s="2042">
        <f t="shared" si="87"/>
        <v>0</v>
      </c>
      <c r="GN17" s="2042">
        <f t="shared" si="88"/>
        <v>0</v>
      </c>
      <c r="GO17" s="2042">
        <f t="shared" si="89"/>
        <v>0</v>
      </c>
      <c r="GP17" s="2047">
        <f t="shared" si="197"/>
        <v>0</v>
      </c>
      <c r="GQ17" s="2042">
        <f t="shared" si="90"/>
        <v>0</v>
      </c>
      <c r="GR17" s="2042">
        <f t="shared" si="91"/>
        <v>0</v>
      </c>
      <c r="GS17" s="2042">
        <f t="shared" si="92"/>
        <v>0</v>
      </c>
      <c r="GT17" s="2042">
        <f t="shared" si="93"/>
        <v>0</v>
      </c>
      <c r="GU17" s="2042">
        <f t="shared" si="94"/>
        <v>0</v>
      </c>
      <c r="GV17" s="2042">
        <f t="shared" si="95"/>
        <v>0</v>
      </c>
      <c r="GW17" s="2042">
        <f t="shared" si="96"/>
        <v>0</v>
      </c>
      <c r="GX17" s="2042">
        <f t="shared" si="97"/>
        <v>0</v>
      </c>
      <c r="GY17" s="2042">
        <f t="shared" si="98"/>
        <v>0</v>
      </c>
      <c r="GZ17" s="2042">
        <f t="shared" si="99"/>
        <v>0</v>
      </c>
      <c r="HA17" s="2042">
        <f t="shared" si="100"/>
        <v>0</v>
      </c>
      <c r="HB17" s="2042">
        <f t="shared" si="101"/>
        <v>0</v>
      </c>
      <c r="HC17" s="2047">
        <f t="shared" si="198"/>
        <v>0</v>
      </c>
      <c r="HD17" s="2042">
        <f t="shared" si="102"/>
        <v>0</v>
      </c>
      <c r="HE17" s="2042">
        <f t="shared" si="103"/>
        <v>0</v>
      </c>
      <c r="HF17" s="2042">
        <f t="shared" si="104"/>
        <v>0</v>
      </c>
      <c r="HG17" s="2042">
        <f t="shared" si="105"/>
        <v>0</v>
      </c>
      <c r="HH17" s="2042">
        <f t="shared" si="106"/>
        <v>0</v>
      </c>
      <c r="HI17" s="2042">
        <f t="shared" si="107"/>
        <v>0</v>
      </c>
      <c r="HJ17" s="2042">
        <f t="shared" si="108"/>
        <v>0</v>
      </c>
      <c r="HK17" s="2042">
        <f t="shared" si="109"/>
        <v>0</v>
      </c>
      <c r="HL17" s="2042">
        <f t="shared" si="110"/>
        <v>0</v>
      </c>
      <c r="HM17" s="2042">
        <f t="shared" si="111"/>
        <v>0</v>
      </c>
      <c r="HN17" s="2042">
        <f t="shared" si="112"/>
        <v>0</v>
      </c>
      <c r="HO17" s="2042">
        <f t="shared" si="113"/>
        <v>0</v>
      </c>
      <c r="HP17" s="2047">
        <f t="shared" si="199"/>
        <v>0</v>
      </c>
      <c r="HQ17" s="2042">
        <f t="shared" si="114"/>
        <v>0</v>
      </c>
      <c r="HR17" s="2042">
        <f t="shared" si="115"/>
        <v>0</v>
      </c>
      <c r="HS17" s="2042">
        <f t="shared" si="116"/>
        <v>0</v>
      </c>
      <c r="HT17" s="2042">
        <f t="shared" si="117"/>
        <v>0</v>
      </c>
      <c r="HU17" s="2042">
        <f t="shared" si="118"/>
        <v>0</v>
      </c>
      <c r="HV17" s="2042">
        <f t="shared" si="119"/>
        <v>0</v>
      </c>
      <c r="HW17" s="2042">
        <f t="shared" si="120"/>
        <v>0</v>
      </c>
      <c r="HX17" s="2042">
        <f t="shared" si="121"/>
        <v>0</v>
      </c>
      <c r="HY17" s="2042">
        <f t="shared" si="122"/>
        <v>0</v>
      </c>
      <c r="HZ17" s="2042">
        <f t="shared" si="123"/>
        <v>0</v>
      </c>
      <c r="IA17" s="2042">
        <f t="shared" si="124"/>
        <v>0</v>
      </c>
      <c r="IB17" s="2042">
        <f t="shared" si="125"/>
        <v>0</v>
      </c>
      <c r="IC17" s="2047">
        <f t="shared" si="200"/>
        <v>0</v>
      </c>
      <c r="IE17" s="2044">
        <f t="shared" si="201"/>
        <v>0</v>
      </c>
      <c r="IF17" s="2025">
        <f t="shared" si="126"/>
        <v>0</v>
      </c>
      <c r="IG17" s="2025">
        <f t="shared" si="127"/>
        <v>0</v>
      </c>
      <c r="IH17" s="2025">
        <f t="shared" si="128"/>
        <v>0</v>
      </c>
      <c r="II17" s="2025">
        <f t="shared" si="129"/>
        <v>0</v>
      </c>
      <c r="IJ17" s="2025">
        <f t="shared" si="130"/>
        <v>0</v>
      </c>
      <c r="IK17" s="2025">
        <f t="shared" si="131"/>
        <v>0</v>
      </c>
      <c r="IL17" s="2025">
        <f t="shared" si="132"/>
        <v>0</v>
      </c>
      <c r="IM17" s="2025">
        <f t="shared" si="133"/>
        <v>0</v>
      </c>
      <c r="IN17" s="2025">
        <f t="shared" si="134"/>
        <v>0</v>
      </c>
      <c r="IO17" s="2025">
        <f t="shared" si="135"/>
        <v>0</v>
      </c>
      <c r="IP17" s="2025">
        <f t="shared" si="136"/>
        <v>0</v>
      </c>
      <c r="IQ17" s="2025">
        <f t="shared" si="137"/>
        <v>0</v>
      </c>
      <c r="IS17" s="2044">
        <f t="shared" si="202"/>
        <v>0</v>
      </c>
      <c r="IT17" s="2025">
        <f t="shared" si="138"/>
        <v>0</v>
      </c>
      <c r="IU17" s="2025">
        <f t="shared" si="139"/>
        <v>0</v>
      </c>
      <c r="IV17" s="2025">
        <f t="shared" si="140"/>
        <v>0</v>
      </c>
      <c r="IW17" s="2025">
        <f t="shared" si="141"/>
        <v>0</v>
      </c>
      <c r="IX17" s="2025">
        <f t="shared" si="142"/>
        <v>0</v>
      </c>
      <c r="IY17" s="2025">
        <f t="shared" si="143"/>
        <v>0</v>
      </c>
      <c r="IZ17" s="2025">
        <f t="shared" si="144"/>
        <v>0</v>
      </c>
      <c r="JA17" s="2025">
        <f t="shared" si="145"/>
        <v>0</v>
      </c>
      <c r="JB17" s="2025">
        <f t="shared" si="146"/>
        <v>0</v>
      </c>
      <c r="JC17" s="2025">
        <f t="shared" si="147"/>
        <v>0</v>
      </c>
      <c r="JD17" s="2025">
        <f t="shared" si="148"/>
        <v>0</v>
      </c>
      <c r="JE17" s="2025">
        <f t="shared" si="149"/>
        <v>0</v>
      </c>
    </row>
    <row r="18" spans="1:265" ht="18" customHeight="1">
      <c r="A18" s="1319"/>
      <c r="B18" s="2023">
        <v>14</v>
      </c>
      <c r="C18" s="1105" t="s">
        <v>34</v>
      </c>
      <c r="D18" s="2130"/>
      <c r="E18" s="739"/>
      <c r="F18" s="1544"/>
      <c r="G18" s="1320"/>
      <c r="H18" s="1321">
        <f t="shared" si="0"/>
        <v>0</v>
      </c>
      <c r="I18" s="1321">
        <f t="shared" si="150"/>
        <v>0</v>
      </c>
      <c r="J18" s="1321">
        <f t="shared" si="1"/>
        <v>0</v>
      </c>
      <c r="K18" s="1321">
        <f t="shared" si="2"/>
        <v>0</v>
      </c>
      <c r="L18" s="1322">
        <f>Summen_GL!F85</f>
        <v>0</v>
      </c>
      <c r="M18" s="1323">
        <f t="shared" si="151"/>
        <v>0</v>
      </c>
      <c r="N18" s="2024"/>
      <c r="O18" s="1321">
        <f t="shared" si="205"/>
        <v>0</v>
      </c>
      <c r="P18" s="1321">
        <f t="shared" si="3"/>
        <v>0</v>
      </c>
      <c r="Q18" s="2024"/>
      <c r="R18" s="1470"/>
      <c r="S18" s="1471"/>
      <c r="T18" s="1470"/>
      <c r="U18" s="1471"/>
      <c r="V18" s="1470"/>
      <c r="W18" s="1471"/>
      <c r="X18" s="1470"/>
      <c r="Y18" s="1471"/>
      <c r="Z18" s="1470"/>
      <c r="AA18" s="1471"/>
      <c r="AB18" s="1470"/>
      <c r="AC18" s="1551"/>
      <c r="AD18" s="844"/>
      <c r="AE18" s="1319"/>
      <c r="AF18" s="876"/>
      <c r="AG18" s="844"/>
      <c r="AH18" s="1563"/>
      <c r="AI18" s="2132"/>
      <c r="AJ18" s="1319"/>
      <c r="AK18" s="1593">
        <f t="shared" si="152"/>
        <v>0</v>
      </c>
      <c r="AL18" s="1594">
        <f t="shared" si="153"/>
        <v>0</v>
      </c>
      <c r="AM18" s="1319"/>
      <c r="AN18" s="1319"/>
      <c r="AP18" s="1860">
        <f t="shared" si="154"/>
        <v>0</v>
      </c>
      <c r="AQ18" s="1860">
        <f t="shared" si="155"/>
        <v>0</v>
      </c>
      <c r="AR18" s="1860">
        <f t="shared" si="156"/>
        <v>0</v>
      </c>
      <c r="AS18" s="1860">
        <f t="shared" si="157"/>
        <v>0</v>
      </c>
      <c r="AT18" s="1860">
        <f t="shared" si="158"/>
        <v>0</v>
      </c>
      <c r="AU18" s="1860">
        <f t="shared" si="159"/>
        <v>0</v>
      </c>
      <c r="AV18" s="1860">
        <f t="shared" si="160"/>
        <v>0</v>
      </c>
      <c r="AW18" s="1860">
        <f t="shared" si="161"/>
        <v>0</v>
      </c>
      <c r="AX18" s="1860">
        <f t="shared" si="162"/>
        <v>0</v>
      </c>
      <c r="AY18" s="1860">
        <f t="shared" si="163"/>
        <v>0</v>
      </c>
      <c r="AZ18" s="1860">
        <f t="shared" si="164"/>
        <v>0</v>
      </c>
      <c r="BA18" s="2026">
        <f t="shared" si="165"/>
        <v>0</v>
      </c>
      <c r="BB18" s="2026">
        <f t="shared" si="166"/>
        <v>0</v>
      </c>
      <c r="BC18" s="2026">
        <f t="shared" si="167"/>
        <v>0</v>
      </c>
      <c r="BD18" s="2026">
        <f t="shared" si="168"/>
        <v>0</v>
      </c>
      <c r="BE18" s="2026">
        <f t="shared" si="169"/>
        <v>0</v>
      </c>
      <c r="BF18" s="2026">
        <f t="shared" si="170"/>
        <v>0</v>
      </c>
      <c r="BG18" s="2026">
        <f t="shared" si="171"/>
        <v>0</v>
      </c>
      <c r="BH18" s="2026">
        <f t="shared" si="172"/>
        <v>0</v>
      </c>
      <c r="BI18" s="2026">
        <f t="shared" si="173"/>
        <v>0</v>
      </c>
      <c r="BJ18" s="2026">
        <f t="shared" si="174"/>
        <v>0</v>
      </c>
      <c r="BK18" s="2027"/>
      <c r="BL18" s="2026">
        <f t="shared" si="175"/>
        <v>0</v>
      </c>
      <c r="BM18" s="2026">
        <f t="shared" si="176"/>
        <v>0</v>
      </c>
      <c r="BN18" s="2026">
        <f t="shared" si="4"/>
        <v>0</v>
      </c>
      <c r="BO18" s="2026">
        <f t="shared" si="5"/>
        <v>0</v>
      </c>
      <c r="BP18" s="2026">
        <f t="shared" si="6"/>
        <v>0</v>
      </c>
      <c r="BQ18" s="2026">
        <f t="shared" si="7"/>
        <v>0</v>
      </c>
      <c r="BR18" s="2026">
        <f t="shared" si="8"/>
        <v>0</v>
      </c>
      <c r="BS18" s="2026">
        <f t="shared" si="177"/>
        <v>0</v>
      </c>
      <c r="BT18" s="2026">
        <f t="shared" si="9"/>
        <v>0</v>
      </c>
      <c r="BU18" s="2026">
        <f t="shared" si="10"/>
        <v>0</v>
      </c>
      <c r="BV18" s="2028"/>
      <c r="BW18" s="2029">
        <f t="shared" si="11"/>
        <v>0</v>
      </c>
      <c r="BX18" s="2029">
        <f t="shared" si="178"/>
        <v>0</v>
      </c>
      <c r="BY18" s="2029">
        <f t="shared" si="179"/>
        <v>0</v>
      </c>
      <c r="CA18" s="2030">
        <f t="shared" si="12"/>
        <v>0</v>
      </c>
      <c r="CB18" s="2030">
        <f t="shared" si="13"/>
        <v>0</v>
      </c>
      <c r="CC18" s="2030">
        <f t="shared" si="14"/>
        <v>0</v>
      </c>
      <c r="CD18" s="2031">
        <f t="shared" si="15"/>
        <v>0</v>
      </c>
      <c r="CE18" s="2031">
        <f t="shared" si="16"/>
        <v>0</v>
      </c>
      <c r="CF18" s="2031">
        <f t="shared" si="180"/>
        <v>0</v>
      </c>
      <c r="CG18" s="2030">
        <f t="shared" si="17"/>
        <v>0</v>
      </c>
      <c r="CH18" s="2032">
        <f t="shared" si="18"/>
        <v>0</v>
      </c>
      <c r="CI18" s="2032">
        <f t="shared" si="19"/>
        <v>0</v>
      </c>
      <c r="CJ18" s="2032">
        <f t="shared" si="181"/>
        <v>0</v>
      </c>
      <c r="CK18" s="2030">
        <f t="shared" si="20"/>
        <v>0</v>
      </c>
      <c r="CL18" s="2033">
        <f t="shared" si="21"/>
        <v>0</v>
      </c>
      <c r="CM18" s="2032">
        <f t="shared" si="22"/>
        <v>0</v>
      </c>
      <c r="CN18" s="2033">
        <f t="shared" si="23"/>
        <v>0</v>
      </c>
      <c r="CO18" s="2033">
        <f t="shared" si="182"/>
        <v>0</v>
      </c>
      <c r="CP18" s="2030">
        <f t="shared" si="24"/>
        <v>0</v>
      </c>
      <c r="CQ18" s="2030">
        <f t="shared" si="25"/>
        <v>0</v>
      </c>
      <c r="CR18" s="2030">
        <f t="shared" si="26"/>
        <v>0</v>
      </c>
      <c r="CS18" s="2030">
        <f t="shared" si="27"/>
        <v>0</v>
      </c>
      <c r="CT18" s="2035">
        <f t="shared" si="28"/>
        <v>0</v>
      </c>
      <c r="CU18" s="2036">
        <f t="shared" si="183"/>
        <v>0</v>
      </c>
      <c r="CV18" s="2036">
        <f t="shared" si="184"/>
        <v>0</v>
      </c>
      <c r="CW18" s="2036">
        <f t="shared" si="185"/>
        <v>0</v>
      </c>
      <c r="CY18" s="10"/>
      <c r="CZ18" s="10"/>
      <c r="DA18" s="10"/>
      <c r="DB18" s="10"/>
      <c r="DC18" s="10"/>
      <c r="DL18" s="10">
        <f t="shared" si="186"/>
        <v>0</v>
      </c>
      <c r="DM18" s="10">
        <f t="shared" si="29"/>
        <v>0</v>
      </c>
      <c r="DN18" s="2027" t="e">
        <f>DL18/Betrieb!$E$23</f>
        <v>#DIV/0!</v>
      </c>
      <c r="DO18" s="2027" t="e">
        <f>DM18/Betrieb!$E$24</f>
        <v>#DIV/0!</v>
      </c>
      <c r="DP18" s="2041">
        <f>(Betrieb!$E$21*Betrieb!$H$21)+(Betrieb!$E$23*Betrieb!$H$23)</f>
        <v>0</v>
      </c>
      <c r="DQ18" s="2025">
        <f>(Betrieb!$E$22*Betrieb!$H$22)+(Betrieb!$E$24*Betrieb!$H$24)</f>
        <v>0</v>
      </c>
      <c r="DR18" s="2041">
        <f t="shared" si="187"/>
        <v>0</v>
      </c>
      <c r="DS18" s="2025">
        <f t="shared" si="188"/>
        <v>0</v>
      </c>
      <c r="DT18" s="2042">
        <f t="shared" si="189"/>
        <v>0</v>
      </c>
      <c r="DU18" s="2043">
        <f t="shared" si="203"/>
        <v>0</v>
      </c>
      <c r="DV18" s="2043">
        <f t="shared" si="190"/>
        <v>0</v>
      </c>
      <c r="DW18" s="2043">
        <f t="shared" si="204"/>
        <v>0</v>
      </c>
      <c r="DZ18" s="2044">
        <f t="shared" si="191"/>
        <v>0</v>
      </c>
      <c r="EA18" s="1874">
        <f t="shared" si="30"/>
        <v>0</v>
      </c>
      <c r="EB18" s="1874">
        <f t="shared" si="31"/>
        <v>0</v>
      </c>
      <c r="EC18" s="1874">
        <f t="shared" si="32"/>
        <v>0</v>
      </c>
      <c r="ED18" s="1874">
        <f t="shared" si="33"/>
        <v>0</v>
      </c>
      <c r="EE18" s="1874">
        <f t="shared" si="34"/>
        <v>0</v>
      </c>
      <c r="EF18" s="1874">
        <f t="shared" si="35"/>
        <v>0</v>
      </c>
      <c r="EH18" s="2044">
        <f t="shared" si="192"/>
        <v>0</v>
      </c>
      <c r="EI18" s="2025">
        <f t="shared" si="36"/>
        <v>0</v>
      </c>
      <c r="EJ18" s="2025">
        <f t="shared" si="37"/>
        <v>0</v>
      </c>
      <c r="EK18" s="2025">
        <f t="shared" si="38"/>
        <v>0</v>
      </c>
      <c r="EL18" s="2025">
        <f t="shared" si="39"/>
        <v>0</v>
      </c>
      <c r="EM18" s="2025">
        <f t="shared" si="40"/>
        <v>0</v>
      </c>
      <c r="EN18" s="2025">
        <f t="shared" si="41"/>
        <v>0</v>
      </c>
      <c r="EP18" s="2045">
        <f t="shared" si="42"/>
        <v>0</v>
      </c>
      <c r="EQ18" s="2042">
        <f t="shared" si="193"/>
        <v>0</v>
      </c>
      <c r="ER18" s="2042">
        <f t="shared" si="43"/>
        <v>0</v>
      </c>
      <c r="ES18" s="2042">
        <f t="shared" si="44"/>
        <v>0</v>
      </c>
      <c r="ET18" s="2042">
        <f t="shared" si="45"/>
        <v>0</v>
      </c>
      <c r="EU18" s="2042">
        <f t="shared" si="46"/>
        <v>0</v>
      </c>
      <c r="EV18" s="2042">
        <f t="shared" si="47"/>
        <v>0</v>
      </c>
      <c r="EW18" s="2042">
        <f t="shared" si="48"/>
        <v>0</v>
      </c>
      <c r="EX18" s="2042">
        <f t="shared" si="49"/>
        <v>0</v>
      </c>
      <c r="EY18" s="2042">
        <f t="shared" si="50"/>
        <v>0</v>
      </c>
      <c r="EZ18" s="2042">
        <f t="shared" si="51"/>
        <v>0</v>
      </c>
      <c r="FA18" s="2042">
        <f t="shared" si="52"/>
        <v>0</v>
      </c>
      <c r="FB18" s="2042">
        <f t="shared" si="53"/>
        <v>0</v>
      </c>
      <c r="FC18" s="2042">
        <f t="shared" si="54"/>
        <v>0</v>
      </c>
      <c r="FD18" s="2046">
        <f t="shared" si="194"/>
        <v>0</v>
      </c>
      <c r="FE18" s="2042">
        <f t="shared" si="55"/>
        <v>0</v>
      </c>
      <c r="FF18" s="2042">
        <f t="shared" si="56"/>
        <v>0</v>
      </c>
      <c r="FG18" s="2042">
        <f t="shared" si="57"/>
        <v>0</v>
      </c>
      <c r="FH18" s="2042">
        <f t="shared" si="58"/>
        <v>0</v>
      </c>
      <c r="FI18" s="2042">
        <f t="shared" si="59"/>
        <v>0</v>
      </c>
      <c r="FJ18" s="2042">
        <f t="shared" si="195"/>
        <v>0</v>
      </c>
      <c r="FK18" s="2042">
        <f t="shared" si="60"/>
        <v>0</v>
      </c>
      <c r="FL18" s="2042">
        <f t="shared" si="61"/>
        <v>0</v>
      </c>
      <c r="FM18" s="2042">
        <f t="shared" si="62"/>
        <v>0</v>
      </c>
      <c r="FN18" s="2042">
        <f t="shared" si="63"/>
        <v>0</v>
      </c>
      <c r="FO18" s="2042">
        <f t="shared" si="64"/>
        <v>0</v>
      </c>
      <c r="FP18" s="2042">
        <f t="shared" si="65"/>
        <v>0</v>
      </c>
      <c r="FQ18" s="2047">
        <f t="shared" si="196"/>
        <v>0</v>
      </c>
      <c r="FR18" s="2042">
        <f t="shared" si="66"/>
        <v>0</v>
      </c>
      <c r="FS18" s="2042">
        <f t="shared" si="67"/>
        <v>0</v>
      </c>
      <c r="FT18" s="2042">
        <f t="shared" si="68"/>
        <v>0</v>
      </c>
      <c r="FU18" s="2042">
        <f t="shared" si="69"/>
        <v>0</v>
      </c>
      <c r="FV18" s="2042">
        <f t="shared" si="70"/>
        <v>0</v>
      </c>
      <c r="FW18" s="2042">
        <f t="shared" si="71"/>
        <v>0</v>
      </c>
      <c r="FX18" s="2042">
        <f t="shared" si="72"/>
        <v>0</v>
      </c>
      <c r="FY18" s="2042">
        <f t="shared" si="73"/>
        <v>0</v>
      </c>
      <c r="FZ18" s="2042">
        <f t="shared" si="74"/>
        <v>0</v>
      </c>
      <c r="GA18" s="2042">
        <f t="shared" si="75"/>
        <v>0</v>
      </c>
      <c r="GB18" s="2042">
        <f t="shared" si="76"/>
        <v>0</v>
      </c>
      <c r="GC18" s="2042">
        <f t="shared" si="77"/>
        <v>0</v>
      </c>
      <c r="GD18" s="2042">
        <f t="shared" si="78"/>
        <v>0</v>
      </c>
      <c r="GE18" s="2042">
        <f t="shared" si="79"/>
        <v>0</v>
      </c>
      <c r="GF18" s="2042">
        <f t="shared" si="80"/>
        <v>0</v>
      </c>
      <c r="GG18" s="2042">
        <f t="shared" si="81"/>
        <v>0</v>
      </c>
      <c r="GH18" s="2042">
        <f t="shared" si="82"/>
        <v>0</v>
      </c>
      <c r="GI18" s="2042">
        <f t="shared" si="83"/>
        <v>0</v>
      </c>
      <c r="GJ18" s="2042">
        <f t="shared" si="84"/>
        <v>0</v>
      </c>
      <c r="GK18" s="2042">
        <f t="shared" si="85"/>
        <v>0</v>
      </c>
      <c r="GL18" s="2042">
        <f t="shared" si="86"/>
        <v>0</v>
      </c>
      <c r="GM18" s="2042">
        <f t="shared" si="87"/>
        <v>0</v>
      </c>
      <c r="GN18" s="2042">
        <f t="shared" si="88"/>
        <v>0</v>
      </c>
      <c r="GO18" s="2042">
        <f t="shared" si="89"/>
        <v>0</v>
      </c>
      <c r="GP18" s="2047">
        <f t="shared" si="197"/>
        <v>0</v>
      </c>
      <c r="GQ18" s="2042">
        <f t="shared" si="90"/>
        <v>0</v>
      </c>
      <c r="GR18" s="2042">
        <f t="shared" si="91"/>
        <v>0</v>
      </c>
      <c r="GS18" s="2042">
        <f t="shared" si="92"/>
        <v>0</v>
      </c>
      <c r="GT18" s="2042">
        <f t="shared" si="93"/>
        <v>0</v>
      </c>
      <c r="GU18" s="2042">
        <f t="shared" si="94"/>
        <v>0</v>
      </c>
      <c r="GV18" s="2042">
        <f t="shared" si="95"/>
        <v>0</v>
      </c>
      <c r="GW18" s="2042">
        <f t="shared" si="96"/>
        <v>0</v>
      </c>
      <c r="GX18" s="2042">
        <f t="shared" si="97"/>
        <v>0</v>
      </c>
      <c r="GY18" s="2042">
        <f t="shared" si="98"/>
        <v>0</v>
      </c>
      <c r="GZ18" s="2042">
        <f t="shared" si="99"/>
        <v>0</v>
      </c>
      <c r="HA18" s="2042">
        <f t="shared" si="100"/>
        <v>0</v>
      </c>
      <c r="HB18" s="2042">
        <f t="shared" si="101"/>
        <v>0</v>
      </c>
      <c r="HC18" s="2047">
        <f t="shared" si="198"/>
        <v>0</v>
      </c>
      <c r="HD18" s="2042">
        <f t="shared" si="102"/>
        <v>0</v>
      </c>
      <c r="HE18" s="2042">
        <f t="shared" si="103"/>
        <v>0</v>
      </c>
      <c r="HF18" s="2042">
        <f t="shared" si="104"/>
        <v>0</v>
      </c>
      <c r="HG18" s="2042">
        <f t="shared" si="105"/>
        <v>0</v>
      </c>
      <c r="HH18" s="2042">
        <f t="shared" si="106"/>
        <v>0</v>
      </c>
      <c r="HI18" s="2042">
        <f t="shared" si="107"/>
        <v>0</v>
      </c>
      <c r="HJ18" s="2042">
        <f t="shared" si="108"/>
        <v>0</v>
      </c>
      <c r="HK18" s="2042">
        <f t="shared" si="109"/>
        <v>0</v>
      </c>
      <c r="HL18" s="2042">
        <f t="shared" si="110"/>
        <v>0</v>
      </c>
      <c r="HM18" s="2042">
        <f t="shared" si="111"/>
        <v>0</v>
      </c>
      <c r="HN18" s="2042">
        <f t="shared" si="112"/>
        <v>0</v>
      </c>
      <c r="HO18" s="2042">
        <f t="shared" si="113"/>
        <v>0</v>
      </c>
      <c r="HP18" s="2047">
        <f t="shared" si="199"/>
        <v>0</v>
      </c>
      <c r="HQ18" s="2042">
        <f t="shared" si="114"/>
        <v>0</v>
      </c>
      <c r="HR18" s="2042">
        <f t="shared" si="115"/>
        <v>0</v>
      </c>
      <c r="HS18" s="2042">
        <f t="shared" si="116"/>
        <v>0</v>
      </c>
      <c r="HT18" s="2042">
        <f t="shared" si="117"/>
        <v>0</v>
      </c>
      <c r="HU18" s="2042">
        <f t="shared" si="118"/>
        <v>0</v>
      </c>
      <c r="HV18" s="2042">
        <f t="shared" si="119"/>
        <v>0</v>
      </c>
      <c r="HW18" s="2042">
        <f t="shared" si="120"/>
        <v>0</v>
      </c>
      <c r="HX18" s="2042">
        <f t="shared" si="121"/>
        <v>0</v>
      </c>
      <c r="HY18" s="2042">
        <f t="shared" si="122"/>
        <v>0</v>
      </c>
      <c r="HZ18" s="2042">
        <f t="shared" si="123"/>
        <v>0</v>
      </c>
      <c r="IA18" s="2042">
        <f t="shared" si="124"/>
        <v>0</v>
      </c>
      <c r="IB18" s="2042">
        <f t="shared" si="125"/>
        <v>0</v>
      </c>
      <c r="IC18" s="2047">
        <f t="shared" si="200"/>
        <v>0</v>
      </c>
      <c r="IE18" s="2044">
        <f t="shared" si="201"/>
        <v>0</v>
      </c>
      <c r="IF18" s="2025">
        <f t="shared" si="126"/>
        <v>0</v>
      </c>
      <c r="IG18" s="2025">
        <f t="shared" si="127"/>
        <v>0</v>
      </c>
      <c r="IH18" s="2025">
        <f t="shared" si="128"/>
        <v>0</v>
      </c>
      <c r="II18" s="2025">
        <f t="shared" si="129"/>
        <v>0</v>
      </c>
      <c r="IJ18" s="2025">
        <f t="shared" si="130"/>
        <v>0</v>
      </c>
      <c r="IK18" s="2025">
        <f t="shared" si="131"/>
        <v>0</v>
      </c>
      <c r="IL18" s="2025">
        <f t="shared" si="132"/>
        <v>0</v>
      </c>
      <c r="IM18" s="2025">
        <f t="shared" si="133"/>
        <v>0</v>
      </c>
      <c r="IN18" s="2025">
        <f t="shared" si="134"/>
        <v>0</v>
      </c>
      <c r="IO18" s="2025">
        <f t="shared" si="135"/>
        <v>0</v>
      </c>
      <c r="IP18" s="2025">
        <f t="shared" si="136"/>
        <v>0</v>
      </c>
      <c r="IQ18" s="2025">
        <f t="shared" si="137"/>
        <v>0</v>
      </c>
      <c r="IS18" s="2044">
        <f t="shared" si="202"/>
        <v>0</v>
      </c>
      <c r="IT18" s="2025">
        <f t="shared" si="138"/>
        <v>0</v>
      </c>
      <c r="IU18" s="2025">
        <f t="shared" si="139"/>
        <v>0</v>
      </c>
      <c r="IV18" s="2025">
        <f t="shared" si="140"/>
        <v>0</v>
      </c>
      <c r="IW18" s="2025">
        <f t="shared" si="141"/>
        <v>0</v>
      </c>
      <c r="IX18" s="2025">
        <f t="shared" si="142"/>
        <v>0</v>
      </c>
      <c r="IY18" s="2025">
        <f t="shared" si="143"/>
        <v>0</v>
      </c>
      <c r="IZ18" s="2025">
        <f t="shared" si="144"/>
        <v>0</v>
      </c>
      <c r="JA18" s="2025">
        <f t="shared" si="145"/>
        <v>0</v>
      </c>
      <c r="JB18" s="2025">
        <f t="shared" si="146"/>
        <v>0</v>
      </c>
      <c r="JC18" s="2025">
        <f t="shared" si="147"/>
        <v>0</v>
      </c>
      <c r="JD18" s="2025">
        <f t="shared" si="148"/>
        <v>0</v>
      </c>
      <c r="JE18" s="2025">
        <f t="shared" si="149"/>
        <v>0</v>
      </c>
    </row>
    <row r="19" spans="1:265" ht="18" customHeight="1">
      <c r="A19" s="1319"/>
      <c r="B19" s="2023">
        <v>15</v>
      </c>
      <c r="C19" s="1105" t="s">
        <v>34</v>
      </c>
      <c r="D19" s="2130"/>
      <c r="E19" s="739"/>
      <c r="F19" s="1544"/>
      <c r="G19" s="1320"/>
      <c r="H19" s="1321">
        <f t="shared" si="0"/>
        <v>0</v>
      </c>
      <c r="I19" s="1321">
        <f t="shared" si="150"/>
        <v>0</v>
      </c>
      <c r="J19" s="1321">
        <f t="shared" si="1"/>
        <v>0</v>
      </c>
      <c r="K19" s="1321">
        <f t="shared" si="2"/>
        <v>0</v>
      </c>
      <c r="L19" s="1322">
        <f>Summen_GL!F86</f>
        <v>0</v>
      </c>
      <c r="M19" s="1323">
        <f t="shared" si="151"/>
        <v>0</v>
      </c>
      <c r="N19" s="2024"/>
      <c r="O19" s="1321">
        <f t="shared" si="205"/>
        <v>0</v>
      </c>
      <c r="P19" s="1321">
        <f t="shared" si="3"/>
        <v>0</v>
      </c>
      <c r="Q19" s="2024"/>
      <c r="R19" s="1470"/>
      <c r="S19" s="1471"/>
      <c r="T19" s="1470"/>
      <c r="U19" s="1471"/>
      <c r="V19" s="1470"/>
      <c r="W19" s="1471"/>
      <c r="X19" s="1470"/>
      <c r="Y19" s="1471"/>
      <c r="Z19" s="1470"/>
      <c r="AA19" s="1471"/>
      <c r="AB19" s="1470"/>
      <c r="AC19" s="1551"/>
      <c r="AD19" s="844"/>
      <c r="AE19" s="1319"/>
      <c r="AF19" s="876"/>
      <c r="AG19" s="844"/>
      <c r="AH19" s="1563"/>
      <c r="AI19" s="2132"/>
      <c r="AJ19" s="1319"/>
      <c r="AK19" s="1593">
        <f t="shared" si="152"/>
        <v>0</v>
      </c>
      <c r="AL19" s="1594">
        <f t="shared" si="153"/>
        <v>0</v>
      </c>
      <c r="AM19" s="1319"/>
      <c r="AN19" s="1319"/>
      <c r="AP19" s="1860">
        <f t="shared" si="154"/>
        <v>0</v>
      </c>
      <c r="AQ19" s="1860">
        <f t="shared" si="155"/>
        <v>0</v>
      </c>
      <c r="AR19" s="1860">
        <f t="shared" si="156"/>
        <v>0</v>
      </c>
      <c r="AS19" s="1860">
        <f t="shared" si="157"/>
        <v>0</v>
      </c>
      <c r="AT19" s="1860">
        <f t="shared" si="158"/>
        <v>0</v>
      </c>
      <c r="AU19" s="1860">
        <f t="shared" si="159"/>
        <v>0</v>
      </c>
      <c r="AV19" s="1860">
        <f t="shared" si="160"/>
        <v>0</v>
      </c>
      <c r="AW19" s="1860">
        <f t="shared" si="161"/>
        <v>0</v>
      </c>
      <c r="AX19" s="1860">
        <f t="shared" si="162"/>
        <v>0</v>
      </c>
      <c r="AY19" s="1860">
        <f t="shared" si="163"/>
        <v>0</v>
      </c>
      <c r="AZ19" s="1860">
        <f t="shared" si="164"/>
        <v>0</v>
      </c>
      <c r="BA19" s="2026">
        <f t="shared" si="165"/>
        <v>0</v>
      </c>
      <c r="BB19" s="2026">
        <f t="shared" si="166"/>
        <v>0</v>
      </c>
      <c r="BC19" s="2026">
        <f t="shared" si="167"/>
        <v>0</v>
      </c>
      <c r="BD19" s="2026">
        <f t="shared" si="168"/>
        <v>0</v>
      </c>
      <c r="BE19" s="2026">
        <f t="shared" si="169"/>
        <v>0</v>
      </c>
      <c r="BF19" s="2026">
        <f t="shared" si="170"/>
        <v>0</v>
      </c>
      <c r="BG19" s="2026">
        <f t="shared" si="171"/>
        <v>0</v>
      </c>
      <c r="BH19" s="2026">
        <f t="shared" si="172"/>
        <v>0</v>
      </c>
      <c r="BI19" s="2026">
        <f t="shared" si="173"/>
        <v>0</v>
      </c>
      <c r="BJ19" s="2026">
        <f t="shared" si="174"/>
        <v>0</v>
      </c>
      <c r="BK19" s="2027"/>
      <c r="BL19" s="2026">
        <f t="shared" si="175"/>
        <v>0</v>
      </c>
      <c r="BM19" s="2026">
        <f t="shared" si="176"/>
        <v>0</v>
      </c>
      <c r="BN19" s="2026">
        <f t="shared" si="4"/>
        <v>0</v>
      </c>
      <c r="BO19" s="2026">
        <f t="shared" si="5"/>
        <v>0</v>
      </c>
      <c r="BP19" s="2026">
        <f t="shared" si="6"/>
        <v>0</v>
      </c>
      <c r="BQ19" s="2026">
        <f t="shared" si="7"/>
        <v>0</v>
      </c>
      <c r="BR19" s="2026">
        <f t="shared" si="8"/>
        <v>0</v>
      </c>
      <c r="BS19" s="2026">
        <f t="shared" si="177"/>
        <v>0</v>
      </c>
      <c r="BT19" s="2026">
        <f t="shared" si="9"/>
        <v>0</v>
      </c>
      <c r="BU19" s="2026">
        <f t="shared" si="10"/>
        <v>0</v>
      </c>
      <c r="BV19" s="2028"/>
      <c r="BW19" s="2029">
        <f t="shared" si="11"/>
        <v>0</v>
      </c>
      <c r="BX19" s="2029">
        <f t="shared" si="178"/>
        <v>0</v>
      </c>
      <c r="BY19" s="2029">
        <f t="shared" si="179"/>
        <v>0</v>
      </c>
      <c r="CA19" s="2030">
        <f t="shared" si="12"/>
        <v>0</v>
      </c>
      <c r="CB19" s="2030">
        <f t="shared" si="13"/>
        <v>0</v>
      </c>
      <c r="CC19" s="2030">
        <f t="shared" si="14"/>
        <v>0</v>
      </c>
      <c r="CD19" s="2031">
        <f t="shared" si="15"/>
        <v>0</v>
      </c>
      <c r="CE19" s="2031">
        <f t="shared" si="16"/>
        <v>0</v>
      </c>
      <c r="CF19" s="2031">
        <f t="shared" si="180"/>
        <v>0</v>
      </c>
      <c r="CG19" s="2030">
        <f t="shared" si="17"/>
        <v>0</v>
      </c>
      <c r="CH19" s="2032">
        <f t="shared" si="18"/>
        <v>0</v>
      </c>
      <c r="CI19" s="2032">
        <f t="shared" si="19"/>
        <v>0</v>
      </c>
      <c r="CJ19" s="2032">
        <f t="shared" si="181"/>
        <v>0</v>
      </c>
      <c r="CK19" s="2030">
        <f t="shared" si="20"/>
        <v>0</v>
      </c>
      <c r="CL19" s="2033">
        <f t="shared" si="21"/>
        <v>0</v>
      </c>
      <c r="CM19" s="2032">
        <f t="shared" si="22"/>
        <v>0</v>
      </c>
      <c r="CN19" s="2033">
        <f t="shared" si="23"/>
        <v>0</v>
      </c>
      <c r="CO19" s="2033">
        <f t="shared" si="182"/>
        <v>0</v>
      </c>
      <c r="CP19" s="2030">
        <f t="shared" si="24"/>
        <v>0</v>
      </c>
      <c r="CQ19" s="2030">
        <f t="shared" si="25"/>
        <v>0</v>
      </c>
      <c r="CR19" s="2030">
        <f t="shared" si="26"/>
        <v>0</v>
      </c>
      <c r="CS19" s="2030">
        <f t="shared" si="27"/>
        <v>0</v>
      </c>
      <c r="CT19" s="2035">
        <f t="shared" si="28"/>
        <v>0</v>
      </c>
      <c r="CU19" s="2036">
        <f t="shared" si="183"/>
        <v>0</v>
      </c>
      <c r="CV19" s="2036">
        <f t="shared" si="184"/>
        <v>0</v>
      </c>
      <c r="CW19" s="2036">
        <f t="shared" si="185"/>
        <v>0</v>
      </c>
      <c r="CY19" s="10"/>
      <c r="CZ19" s="10"/>
      <c r="DA19" s="10"/>
      <c r="DB19" s="10"/>
      <c r="DC19" s="10"/>
      <c r="DL19" s="10">
        <f t="shared" si="186"/>
        <v>0</v>
      </c>
      <c r="DM19" s="10">
        <f t="shared" si="29"/>
        <v>0</v>
      </c>
      <c r="DN19" s="2027" t="e">
        <f>DL19/Betrieb!$E$23</f>
        <v>#DIV/0!</v>
      </c>
      <c r="DO19" s="2027" t="e">
        <f>DM19/Betrieb!$E$24</f>
        <v>#DIV/0!</v>
      </c>
      <c r="DP19" s="2041">
        <f>(Betrieb!$E$21*Betrieb!$H$21)+(Betrieb!$E$23*Betrieb!$H$23)</f>
        <v>0</v>
      </c>
      <c r="DQ19" s="2025">
        <f>(Betrieb!$E$22*Betrieb!$H$22)+(Betrieb!$E$24*Betrieb!$H$24)</f>
        <v>0</v>
      </c>
      <c r="DR19" s="2041">
        <f t="shared" si="187"/>
        <v>0</v>
      </c>
      <c r="DS19" s="2025">
        <f t="shared" si="188"/>
        <v>0</v>
      </c>
      <c r="DT19" s="2042">
        <f t="shared" si="189"/>
        <v>0</v>
      </c>
      <c r="DU19" s="2043">
        <f t="shared" si="203"/>
        <v>0</v>
      </c>
      <c r="DV19" s="2043">
        <f t="shared" si="190"/>
        <v>0</v>
      </c>
      <c r="DW19" s="2043">
        <f t="shared" si="204"/>
        <v>0</v>
      </c>
      <c r="DZ19" s="2044">
        <f t="shared" si="191"/>
        <v>0</v>
      </c>
      <c r="EA19" s="1874">
        <f t="shared" si="30"/>
        <v>0</v>
      </c>
      <c r="EB19" s="1874">
        <f t="shared" si="31"/>
        <v>0</v>
      </c>
      <c r="EC19" s="1874">
        <f t="shared" si="32"/>
        <v>0</v>
      </c>
      <c r="ED19" s="1874">
        <f t="shared" si="33"/>
        <v>0</v>
      </c>
      <c r="EE19" s="1874">
        <f t="shared" si="34"/>
        <v>0</v>
      </c>
      <c r="EF19" s="1874">
        <f t="shared" si="35"/>
        <v>0</v>
      </c>
      <c r="EH19" s="2044">
        <f t="shared" si="192"/>
        <v>0</v>
      </c>
      <c r="EI19" s="2025">
        <f t="shared" si="36"/>
        <v>0</v>
      </c>
      <c r="EJ19" s="2025">
        <f t="shared" si="37"/>
        <v>0</v>
      </c>
      <c r="EK19" s="2025">
        <f t="shared" si="38"/>
        <v>0</v>
      </c>
      <c r="EL19" s="2025">
        <f t="shared" si="39"/>
        <v>0</v>
      </c>
      <c r="EM19" s="2025">
        <f t="shared" si="40"/>
        <v>0</v>
      </c>
      <c r="EN19" s="2025">
        <f t="shared" si="41"/>
        <v>0</v>
      </c>
      <c r="EP19" s="2045">
        <f t="shared" si="42"/>
        <v>0</v>
      </c>
      <c r="EQ19" s="2042">
        <f t="shared" si="193"/>
        <v>0</v>
      </c>
      <c r="ER19" s="2042">
        <f t="shared" si="43"/>
        <v>0</v>
      </c>
      <c r="ES19" s="2042">
        <f t="shared" si="44"/>
        <v>0</v>
      </c>
      <c r="ET19" s="2042">
        <f t="shared" si="45"/>
        <v>0</v>
      </c>
      <c r="EU19" s="2042">
        <f t="shared" si="46"/>
        <v>0</v>
      </c>
      <c r="EV19" s="2042">
        <f t="shared" si="47"/>
        <v>0</v>
      </c>
      <c r="EW19" s="2042">
        <f t="shared" si="48"/>
        <v>0</v>
      </c>
      <c r="EX19" s="2042">
        <f t="shared" si="49"/>
        <v>0</v>
      </c>
      <c r="EY19" s="2042">
        <f t="shared" si="50"/>
        <v>0</v>
      </c>
      <c r="EZ19" s="2042">
        <f t="shared" si="51"/>
        <v>0</v>
      </c>
      <c r="FA19" s="2042">
        <f t="shared" si="52"/>
        <v>0</v>
      </c>
      <c r="FB19" s="2042">
        <f t="shared" si="53"/>
        <v>0</v>
      </c>
      <c r="FC19" s="2042">
        <f t="shared" si="54"/>
        <v>0</v>
      </c>
      <c r="FD19" s="2046">
        <f t="shared" si="194"/>
        <v>0</v>
      </c>
      <c r="FE19" s="2042">
        <f t="shared" si="55"/>
        <v>0</v>
      </c>
      <c r="FF19" s="2042">
        <f t="shared" si="56"/>
        <v>0</v>
      </c>
      <c r="FG19" s="2042">
        <f t="shared" si="57"/>
        <v>0</v>
      </c>
      <c r="FH19" s="2042">
        <f t="shared" si="58"/>
        <v>0</v>
      </c>
      <c r="FI19" s="2042">
        <f t="shared" si="59"/>
        <v>0</v>
      </c>
      <c r="FJ19" s="2042">
        <f t="shared" si="195"/>
        <v>0</v>
      </c>
      <c r="FK19" s="2042">
        <f t="shared" si="60"/>
        <v>0</v>
      </c>
      <c r="FL19" s="2042">
        <f t="shared" si="61"/>
        <v>0</v>
      </c>
      <c r="FM19" s="2042">
        <f t="shared" si="62"/>
        <v>0</v>
      </c>
      <c r="FN19" s="2042">
        <f t="shared" si="63"/>
        <v>0</v>
      </c>
      <c r="FO19" s="2042">
        <f t="shared" si="64"/>
        <v>0</v>
      </c>
      <c r="FP19" s="2042">
        <f t="shared" si="65"/>
        <v>0</v>
      </c>
      <c r="FQ19" s="2047">
        <f t="shared" si="196"/>
        <v>0</v>
      </c>
      <c r="FR19" s="2042">
        <f t="shared" si="66"/>
        <v>0</v>
      </c>
      <c r="FS19" s="2042">
        <f t="shared" si="67"/>
        <v>0</v>
      </c>
      <c r="FT19" s="2042">
        <f t="shared" si="68"/>
        <v>0</v>
      </c>
      <c r="FU19" s="2042">
        <f t="shared" si="69"/>
        <v>0</v>
      </c>
      <c r="FV19" s="2042">
        <f t="shared" si="70"/>
        <v>0</v>
      </c>
      <c r="FW19" s="2042">
        <f t="shared" si="71"/>
        <v>0</v>
      </c>
      <c r="FX19" s="2042">
        <f t="shared" si="72"/>
        <v>0</v>
      </c>
      <c r="FY19" s="2042">
        <f t="shared" si="73"/>
        <v>0</v>
      </c>
      <c r="FZ19" s="2042">
        <f t="shared" si="74"/>
        <v>0</v>
      </c>
      <c r="GA19" s="2042">
        <f t="shared" si="75"/>
        <v>0</v>
      </c>
      <c r="GB19" s="2042">
        <f t="shared" si="76"/>
        <v>0</v>
      </c>
      <c r="GC19" s="2042">
        <f t="shared" si="77"/>
        <v>0</v>
      </c>
      <c r="GD19" s="2042">
        <f t="shared" si="78"/>
        <v>0</v>
      </c>
      <c r="GE19" s="2042">
        <f t="shared" si="79"/>
        <v>0</v>
      </c>
      <c r="GF19" s="2042">
        <f t="shared" si="80"/>
        <v>0</v>
      </c>
      <c r="GG19" s="2042">
        <f t="shared" si="81"/>
        <v>0</v>
      </c>
      <c r="GH19" s="2042">
        <f t="shared" si="82"/>
        <v>0</v>
      </c>
      <c r="GI19" s="2042">
        <f t="shared" si="83"/>
        <v>0</v>
      </c>
      <c r="GJ19" s="2042">
        <f t="shared" si="84"/>
        <v>0</v>
      </c>
      <c r="GK19" s="2042">
        <f t="shared" si="85"/>
        <v>0</v>
      </c>
      <c r="GL19" s="2042">
        <f t="shared" si="86"/>
        <v>0</v>
      </c>
      <c r="GM19" s="2042">
        <f t="shared" si="87"/>
        <v>0</v>
      </c>
      <c r="GN19" s="2042">
        <f t="shared" si="88"/>
        <v>0</v>
      </c>
      <c r="GO19" s="2042">
        <f t="shared" si="89"/>
        <v>0</v>
      </c>
      <c r="GP19" s="2047">
        <f t="shared" si="197"/>
        <v>0</v>
      </c>
      <c r="GQ19" s="2042">
        <f t="shared" si="90"/>
        <v>0</v>
      </c>
      <c r="GR19" s="2042">
        <f t="shared" si="91"/>
        <v>0</v>
      </c>
      <c r="GS19" s="2042">
        <f t="shared" si="92"/>
        <v>0</v>
      </c>
      <c r="GT19" s="2042">
        <f t="shared" si="93"/>
        <v>0</v>
      </c>
      <c r="GU19" s="2042">
        <f t="shared" si="94"/>
        <v>0</v>
      </c>
      <c r="GV19" s="2042">
        <f t="shared" si="95"/>
        <v>0</v>
      </c>
      <c r="GW19" s="2042">
        <f t="shared" si="96"/>
        <v>0</v>
      </c>
      <c r="GX19" s="2042">
        <f t="shared" si="97"/>
        <v>0</v>
      </c>
      <c r="GY19" s="2042">
        <f t="shared" si="98"/>
        <v>0</v>
      </c>
      <c r="GZ19" s="2042">
        <f t="shared" si="99"/>
        <v>0</v>
      </c>
      <c r="HA19" s="2042">
        <f t="shared" si="100"/>
        <v>0</v>
      </c>
      <c r="HB19" s="2042">
        <f t="shared" si="101"/>
        <v>0</v>
      </c>
      <c r="HC19" s="2047">
        <f t="shared" si="198"/>
        <v>0</v>
      </c>
      <c r="HD19" s="2042">
        <f t="shared" si="102"/>
        <v>0</v>
      </c>
      <c r="HE19" s="2042">
        <f t="shared" si="103"/>
        <v>0</v>
      </c>
      <c r="HF19" s="2042">
        <f t="shared" si="104"/>
        <v>0</v>
      </c>
      <c r="HG19" s="2042">
        <f t="shared" si="105"/>
        <v>0</v>
      </c>
      <c r="HH19" s="2042">
        <f t="shared" si="106"/>
        <v>0</v>
      </c>
      <c r="HI19" s="2042">
        <f t="shared" si="107"/>
        <v>0</v>
      </c>
      <c r="HJ19" s="2042">
        <f t="shared" si="108"/>
        <v>0</v>
      </c>
      <c r="HK19" s="2042">
        <f t="shared" si="109"/>
        <v>0</v>
      </c>
      <c r="HL19" s="2042">
        <f t="shared" si="110"/>
        <v>0</v>
      </c>
      <c r="HM19" s="2042">
        <f t="shared" si="111"/>
        <v>0</v>
      </c>
      <c r="HN19" s="2042">
        <f t="shared" si="112"/>
        <v>0</v>
      </c>
      <c r="HO19" s="2042">
        <f t="shared" si="113"/>
        <v>0</v>
      </c>
      <c r="HP19" s="2047">
        <f t="shared" si="199"/>
        <v>0</v>
      </c>
      <c r="HQ19" s="2042">
        <f t="shared" si="114"/>
        <v>0</v>
      </c>
      <c r="HR19" s="2042">
        <f t="shared" si="115"/>
        <v>0</v>
      </c>
      <c r="HS19" s="2042">
        <f t="shared" si="116"/>
        <v>0</v>
      </c>
      <c r="HT19" s="2042">
        <f t="shared" si="117"/>
        <v>0</v>
      </c>
      <c r="HU19" s="2042">
        <f t="shared" si="118"/>
        <v>0</v>
      </c>
      <c r="HV19" s="2042">
        <f t="shared" si="119"/>
        <v>0</v>
      </c>
      <c r="HW19" s="2042">
        <f t="shared" si="120"/>
        <v>0</v>
      </c>
      <c r="HX19" s="2042">
        <f t="shared" si="121"/>
        <v>0</v>
      </c>
      <c r="HY19" s="2042">
        <f t="shared" si="122"/>
        <v>0</v>
      </c>
      <c r="HZ19" s="2042">
        <f t="shared" si="123"/>
        <v>0</v>
      </c>
      <c r="IA19" s="2042">
        <f t="shared" si="124"/>
        <v>0</v>
      </c>
      <c r="IB19" s="2042">
        <f t="shared" si="125"/>
        <v>0</v>
      </c>
      <c r="IC19" s="2047">
        <f t="shared" si="200"/>
        <v>0</v>
      </c>
      <c r="IE19" s="2044">
        <f t="shared" si="201"/>
        <v>0</v>
      </c>
      <c r="IF19" s="2025">
        <f t="shared" si="126"/>
        <v>0</v>
      </c>
      <c r="IG19" s="2025">
        <f t="shared" si="127"/>
        <v>0</v>
      </c>
      <c r="IH19" s="2025">
        <f t="shared" si="128"/>
        <v>0</v>
      </c>
      <c r="II19" s="2025">
        <f t="shared" si="129"/>
        <v>0</v>
      </c>
      <c r="IJ19" s="2025">
        <f t="shared" si="130"/>
        <v>0</v>
      </c>
      <c r="IK19" s="2025">
        <f t="shared" si="131"/>
        <v>0</v>
      </c>
      <c r="IL19" s="2025">
        <f t="shared" si="132"/>
        <v>0</v>
      </c>
      <c r="IM19" s="2025">
        <f t="shared" si="133"/>
        <v>0</v>
      </c>
      <c r="IN19" s="2025">
        <f t="shared" si="134"/>
        <v>0</v>
      </c>
      <c r="IO19" s="2025">
        <f t="shared" si="135"/>
        <v>0</v>
      </c>
      <c r="IP19" s="2025">
        <f t="shared" si="136"/>
        <v>0</v>
      </c>
      <c r="IQ19" s="2025">
        <f t="shared" si="137"/>
        <v>0</v>
      </c>
      <c r="IS19" s="2044">
        <f t="shared" si="202"/>
        <v>0</v>
      </c>
      <c r="IT19" s="2025">
        <f t="shared" si="138"/>
        <v>0</v>
      </c>
      <c r="IU19" s="2025">
        <f t="shared" si="139"/>
        <v>0</v>
      </c>
      <c r="IV19" s="2025">
        <f t="shared" si="140"/>
        <v>0</v>
      </c>
      <c r="IW19" s="2025">
        <f t="shared" si="141"/>
        <v>0</v>
      </c>
      <c r="IX19" s="2025">
        <f t="shared" si="142"/>
        <v>0</v>
      </c>
      <c r="IY19" s="2025">
        <f t="shared" si="143"/>
        <v>0</v>
      </c>
      <c r="IZ19" s="2025">
        <f t="shared" si="144"/>
        <v>0</v>
      </c>
      <c r="JA19" s="2025">
        <f t="shared" si="145"/>
        <v>0</v>
      </c>
      <c r="JB19" s="2025">
        <f t="shared" si="146"/>
        <v>0</v>
      </c>
      <c r="JC19" s="2025">
        <f t="shared" si="147"/>
        <v>0</v>
      </c>
      <c r="JD19" s="2025">
        <f t="shared" si="148"/>
        <v>0</v>
      </c>
      <c r="JE19" s="2025">
        <f t="shared" si="149"/>
        <v>0</v>
      </c>
    </row>
    <row r="20" spans="1:265" ht="18" customHeight="1">
      <c r="A20" s="1319"/>
      <c r="B20" s="2023">
        <v>16</v>
      </c>
      <c r="C20" s="1105" t="s">
        <v>34</v>
      </c>
      <c r="D20" s="2130"/>
      <c r="E20" s="739"/>
      <c r="F20" s="1544"/>
      <c r="G20" s="1320"/>
      <c r="H20" s="1321">
        <f t="shared" si="0"/>
        <v>0</v>
      </c>
      <c r="I20" s="1321">
        <f t="shared" si="150"/>
        <v>0</v>
      </c>
      <c r="J20" s="1321">
        <f t="shared" si="1"/>
        <v>0</v>
      </c>
      <c r="K20" s="1321">
        <f t="shared" si="2"/>
        <v>0</v>
      </c>
      <c r="L20" s="1322">
        <f>Summen_GL!F87</f>
        <v>0</v>
      </c>
      <c r="M20" s="1323">
        <f t="shared" si="151"/>
        <v>0</v>
      </c>
      <c r="N20" s="2024"/>
      <c r="O20" s="1321">
        <f t="shared" si="205"/>
        <v>0</v>
      </c>
      <c r="P20" s="1321">
        <f t="shared" si="3"/>
        <v>0</v>
      </c>
      <c r="Q20" s="2024"/>
      <c r="R20" s="1470"/>
      <c r="S20" s="1471"/>
      <c r="T20" s="1470"/>
      <c r="U20" s="1471"/>
      <c r="V20" s="1470"/>
      <c r="W20" s="1471"/>
      <c r="X20" s="1470"/>
      <c r="Y20" s="1471"/>
      <c r="Z20" s="1470"/>
      <c r="AA20" s="1471"/>
      <c r="AB20" s="1470"/>
      <c r="AC20" s="1551"/>
      <c r="AD20" s="844"/>
      <c r="AE20" s="1319"/>
      <c r="AF20" s="876"/>
      <c r="AG20" s="844"/>
      <c r="AH20" s="1563"/>
      <c r="AI20" s="2132"/>
      <c r="AJ20" s="1319"/>
      <c r="AK20" s="1593">
        <f t="shared" si="152"/>
        <v>0</v>
      </c>
      <c r="AL20" s="1594">
        <f t="shared" si="153"/>
        <v>0</v>
      </c>
      <c r="AM20" s="1319"/>
      <c r="AN20" s="1319"/>
      <c r="AP20" s="1860">
        <f t="shared" si="154"/>
        <v>0</v>
      </c>
      <c r="AQ20" s="1860">
        <f t="shared" si="155"/>
        <v>0</v>
      </c>
      <c r="AR20" s="1860">
        <f t="shared" si="156"/>
        <v>0</v>
      </c>
      <c r="AS20" s="1860">
        <f t="shared" si="157"/>
        <v>0</v>
      </c>
      <c r="AT20" s="1860">
        <f t="shared" si="158"/>
        <v>0</v>
      </c>
      <c r="AU20" s="1860">
        <f t="shared" si="159"/>
        <v>0</v>
      </c>
      <c r="AV20" s="1860">
        <f t="shared" si="160"/>
        <v>0</v>
      </c>
      <c r="AW20" s="1860">
        <f t="shared" si="161"/>
        <v>0</v>
      </c>
      <c r="AX20" s="1860">
        <f t="shared" si="162"/>
        <v>0</v>
      </c>
      <c r="AY20" s="1860">
        <f t="shared" si="163"/>
        <v>0</v>
      </c>
      <c r="AZ20" s="1860">
        <f t="shared" si="164"/>
        <v>0</v>
      </c>
      <c r="BA20" s="2026">
        <f t="shared" si="165"/>
        <v>0</v>
      </c>
      <c r="BB20" s="2026">
        <f t="shared" si="166"/>
        <v>0</v>
      </c>
      <c r="BC20" s="2026">
        <f t="shared" si="167"/>
        <v>0</v>
      </c>
      <c r="BD20" s="2026">
        <f t="shared" si="168"/>
        <v>0</v>
      </c>
      <c r="BE20" s="2026">
        <f t="shared" si="169"/>
        <v>0</v>
      </c>
      <c r="BF20" s="2026">
        <f t="shared" si="170"/>
        <v>0</v>
      </c>
      <c r="BG20" s="2026">
        <f t="shared" si="171"/>
        <v>0</v>
      </c>
      <c r="BH20" s="2026">
        <f t="shared" si="172"/>
        <v>0</v>
      </c>
      <c r="BI20" s="2026">
        <f t="shared" si="173"/>
        <v>0</v>
      </c>
      <c r="BJ20" s="2026">
        <f t="shared" si="174"/>
        <v>0</v>
      </c>
      <c r="BK20" s="2027"/>
      <c r="BL20" s="2026">
        <f t="shared" si="175"/>
        <v>0</v>
      </c>
      <c r="BM20" s="2026">
        <f t="shared" si="176"/>
        <v>0</v>
      </c>
      <c r="BN20" s="2026">
        <f t="shared" si="4"/>
        <v>0</v>
      </c>
      <c r="BO20" s="2026">
        <f t="shared" si="5"/>
        <v>0</v>
      </c>
      <c r="BP20" s="2026">
        <f t="shared" si="6"/>
        <v>0</v>
      </c>
      <c r="BQ20" s="2026">
        <f t="shared" si="7"/>
        <v>0</v>
      </c>
      <c r="BR20" s="2026">
        <f t="shared" si="8"/>
        <v>0</v>
      </c>
      <c r="BS20" s="2026">
        <f t="shared" si="177"/>
        <v>0</v>
      </c>
      <c r="BT20" s="2026">
        <f t="shared" si="9"/>
        <v>0</v>
      </c>
      <c r="BU20" s="2026">
        <f t="shared" si="10"/>
        <v>0</v>
      </c>
      <c r="BV20" s="2028"/>
      <c r="BW20" s="2029">
        <f t="shared" si="11"/>
        <v>0</v>
      </c>
      <c r="BX20" s="2029">
        <f t="shared" si="178"/>
        <v>0</v>
      </c>
      <c r="BY20" s="2029">
        <f t="shared" si="179"/>
        <v>0</v>
      </c>
      <c r="BZ20" s="2060"/>
      <c r="CA20" s="2030">
        <f t="shared" si="12"/>
        <v>0</v>
      </c>
      <c r="CB20" s="2030">
        <f t="shared" si="13"/>
        <v>0</v>
      </c>
      <c r="CC20" s="2030">
        <f t="shared" si="14"/>
        <v>0</v>
      </c>
      <c r="CD20" s="2031">
        <f t="shared" si="15"/>
        <v>0</v>
      </c>
      <c r="CE20" s="2031">
        <f t="shared" si="16"/>
        <v>0</v>
      </c>
      <c r="CF20" s="2031">
        <f t="shared" si="180"/>
        <v>0</v>
      </c>
      <c r="CG20" s="2030">
        <f t="shared" si="17"/>
        <v>0</v>
      </c>
      <c r="CH20" s="2032">
        <f t="shared" si="18"/>
        <v>0</v>
      </c>
      <c r="CI20" s="2032">
        <f t="shared" si="19"/>
        <v>0</v>
      </c>
      <c r="CJ20" s="2032">
        <f t="shared" si="181"/>
        <v>0</v>
      </c>
      <c r="CK20" s="2030">
        <f t="shared" si="20"/>
        <v>0</v>
      </c>
      <c r="CL20" s="2033">
        <f t="shared" si="21"/>
        <v>0</v>
      </c>
      <c r="CM20" s="2032">
        <f t="shared" si="22"/>
        <v>0</v>
      </c>
      <c r="CN20" s="2033">
        <f t="shared" si="23"/>
        <v>0</v>
      </c>
      <c r="CO20" s="2033">
        <f t="shared" si="182"/>
        <v>0</v>
      </c>
      <c r="CP20" s="2030">
        <f t="shared" si="24"/>
        <v>0</v>
      </c>
      <c r="CQ20" s="2030">
        <f t="shared" si="25"/>
        <v>0</v>
      </c>
      <c r="CR20" s="2030">
        <f t="shared" si="26"/>
        <v>0</v>
      </c>
      <c r="CS20" s="2030">
        <f t="shared" si="27"/>
        <v>0</v>
      </c>
      <c r="CT20" s="2035">
        <f t="shared" si="28"/>
        <v>0</v>
      </c>
      <c r="CU20" s="2036">
        <f t="shared" si="183"/>
        <v>0</v>
      </c>
      <c r="CV20" s="2036">
        <f t="shared" si="184"/>
        <v>0</v>
      </c>
      <c r="CW20" s="2036">
        <f t="shared" si="185"/>
        <v>0</v>
      </c>
      <c r="CY20" s="2061"/>
      <c r="CZ20" s="2061"/>
      <c r="DA20" s="2061"/>
      <c r="DB20" s="2061"/>
      <c r="DC20" s="10"/>
      <c r="DL20" s="10">
        <f t="shared" si="186"/>
        <v>0</v>
      </c>
      <c r="DM20" s="10">
        <f t="shared" si="29"/>
        <v>0</v>
      </c>
      <c r="DN20" s="2027" t="e">
        <f>DL20/Betrieb!$E$23</f>
        <v>#DIV/0!</v>
      </c>
      <c r="DO20" s="2027" t="e">
        <f>DM20/Betrieb!$E$24</f>
        <v>#DIV/0!</v>
      </c>
      <c r="DP20" s="2041">
        <f>(Betrieb!$E$21*Betrieb!$H$21)+(Betrieb!$E$23*Betrieb!$H$23)</f>
        <v>0</v>
      </c>
      <c r="DQ20" s="2025">
        <f>(Betrieb!$E$22*Betrieb!$H$22)+(Betrieb!$E$24*Betrieb!$H$24)</f>
        <v>0</v>
      </c>
      <c r="DR20" s="2041">
        <f t="shared" si="187"/>
        <v>0</v>
      </c>
      <c r="DS20" s="2025">
        <f t="shared" si="188"/>
        <v>0</v>
      </c>
      <c r="DT20" s="2042">
        <f t="shared" si="189"/>
        <v>0</v>
      </c>
      <c r="DU20" s="2043">
        <f t="shared" si="203"/>
        <v>0</v>
      </c>
      <c r="DV20" s="2043">
        <f t="shared" si="190"/>
        <v>0</v>
      </c>
      <c r="DW20" s="2043">
        <f t="shared" si="204"/>
        <v>0</v>
      </c>
      <c r="DZ20" s="2044">
        <f t="shared" si="191"/>
        <v>0</v>
      </c>
      <c r="EA20" s="1874">
        <f t="shared" si="30"/>
        <v>0</v>
      </c>
      <c r="EB20" s="1874">
        <f t="shared" si="31"/>
        <v>0</v>
      </c>
      <c r="EC20" s="1874">
        <f t="shared" si="32"/>
        <v>0</v>
      </c>
      <c r="ED20" s="1874">
        <f t="shared" si="33"/>
        <v>0</v>
      </c>
      <c r="EE20" s="1874">
        <f t="shared" si="34"/>
        <v>0</v>
      </c>
      <c r="EF20" s="1874">
        <f t="shared" si="35"/>
        <v>0</v>
      </c>
      <c r="EH20" s="2044">
        <f t="shared" si="192"/>
        <v>0</v>
      </c>
      <c r="EI20" s="2025">
        <f t="shared" si="36"/>
        <v>0</v>
      </c>
      <c r="EJ20" s="2025">
        <f t="shared" si="37"/>
        <v>0</v>
      </c>
      <c r="EK20" s="2025">
        <f t="shared" si="38"/>
        <v>0</v>
      </c>
      <c r="EL20" s="2025">
        <f t="shared" si="39"/>
        <v>0</v>
      </c>
      <c r="EM20" s="2025">
        <f t="shared" si="40"/>
        <v>0</v>
      </c>
      <c r="EN20" s="2025">
        <f t="shared" si="41"/>
        <v>0</v>
      </c>
      <c r="EP20" s="2045">
        <f t="shared" si="42"/>
        <v>0</v>
      </c>
      <c r="EQ20" s="2042">
        <f t="shared" si="193"/>
        <v>0</v>
      </c>
      <c r="ER20" s="2042">
        <f t="shared" si="43"/>
        <v>0</v>
      </c>
      <c r="ES20" s="2042">
        <f t="shared" si="44"/>
        <v>0</v>
      </c>
      <c r="ET20" s="2042">
        <f t="shared" si="45"/>
        <v>0</v>
      </c>
      <c r="EU20" s="2042">
        <f t="shared" si="46"/>
        <v>0</v>
      </c>
      <c r="EV20" s="2042">
        <f t="shared" si="47"/>
        <v>0</v>
      </c>
      <c r="EW20" s="2042">
        <f t="shared" si="48"/>
        <v>0</v>
      </c>
      <c r="EX20" s="2042">
        <f t="shared" si="49"/>
        <v>0</v>
      </c>
      <c r="EY20" s="2042">
        <f t="shared" si="50"/>
        <v>0</v>
      </c>
      <c r="EZ20" s="2042">
        <f t="shared" si="51"/>
        <v>0</v>
      </c>
      <c r="FA20" s="2042">
        <f t="shared" si="52"/>
        <v>0</v>
      </c>
      <c r="FB20" s="2042">
        <f t="shared" si="53"/>
        <v>0</v>
      </c>
      <c r="FC20" s="2042">
        <f t="shared" si="54"/>
        <v>0</v>
      </c>
      <c r="FD20" s="2046">
        <f t="shared" si="194"/>
        <v>0</v>
      </c>
      <c r="FE20" s="2042">
        <f t="shared" si="55"/>
        <v>0</v>
      </c>
      <c r="FF20" s="2042">
        <f t="shared" si="56"/>
        <v>0</v>
      </c>
      <c r="FG20" s="2042">
        <f t="shared" si="57"/>
        <v>0</v>
      </c>
      <c r="FH20" s="2042">
        <f t="shared" si="58"/>
        <v>0</v>
      </c>
      <c r="FI20" s="2042">
        <f t="shared" si="59"/>
        <v>0</v>
      </c>
      <c r="FJ20" s="2042">
        <f t="shared" si="195"/>
        <v>0</v>
      </c>
      <c r="FK20" s="2042">
        <f t="shared" si="60"/>
        <v>0</v>
      </c>
      <c r="FL20" s="2042">
        <f t="shared" si="61"/>
        <v>0</v>
      </c>
      <c r="FM20" s="2042">
        <f t="shared" si="62"/>
        <v>0</v>
      </c>
      <c r="FN20" s="2042">
        <f t="shared" si="63"/>
        <v>0</v>
      </c>
      <c r="FO20" s="2042">
        <f t="shared" si="64"/>
        <v>0</v>
      </c>
      <c r="FP20" s="2042">
        <f t="shared" si="65"/>
        <v>0</v>
      </c>
      <c r="FQ20" s="2047">
        <f t="shared" si="196"/>
        <v>0</v>
      </c>
      <c r="FR20" s="2042">
        <f t="shared" si="66"/>
        <v>0</v>
      </c>
      <c r="FS20" s="2042">
        <f t="shared" si="67"/>
        <v>0</v>
      </c>
      <c r="FT20" s="2042">
        <f t="shared" si="68"/>
        <v>0</v>
      </c>
      <c r="FU20" s="2042">
        <f t="shared" si="69"/>
        <v>0</v>
      </c>
      <c r="FV20" s="2042">
        <f t="shared" si="70"/>
        <v>0</v>
      </c>
      <c r="FW20" s="2042">
        <f t="shared" si="71"/>
        <v>0</v>
      </c>
      <c r="FX20" s="2042">
        <f t="shared" si="72"/>
        <v>0</v>
      </c>
      <c r="FY20" s="2042">
        <f t="shared" si="73"/>
        <v>0</v>
      </c>
      <c r="FZ20" s="2042">
        <f t="shared" si="74"/>
        <v>0</v>
      </c>
      <c r="GA20" s="2042">
        <f t="shared" si="75"/>
        <v>0</v>
      </c>
      <c r="GB20" s="2042">
        <f t="shared" si="76"/>
        <v>0</v>
      </c>
      <c r="GC20" s="2042">
        <f t="shared" si="77"/>
        <v>0</v>
      </c>
      <c r="GD20" s="2042">
        <f t="shared" si="78"/>
        <v>0</v>
      </c>
      <c r="GE20" s="2042">
        <f t="shared" si="79"/>
        <v>0</v>
      </c>
      <c r="GF20" s="2042">
        <f t="shared" si="80"/>
        <v>0</v>
      </c>
      <c r="GG20" s="2042">
        <f t="shared" si="81"/>
        <v>0</v>
      </c>
      <c r="GH20" s="2042">
        <f t="shared" si="82"/>
        <v>0</v>
      </c>
      <c r="GI20" s="2042">
        <f t="shared" si="83"/>
        <v>0</v>
      </c>
      <c r="GJ20" s="2042">
        <f t="shared" si="84"/>
        <v>0</v>
      </c>
      <c r="GK20" s="2042">
        <f t="shared" si="85"/>
        <v>0</v>
      </c>
      <c r="GL20" s="2042">
        <f t="shared" si="86"/>
        <v>0</v>
      </c>
      <c r="GM20" s="2042">
        <f t="shared" si="87"/>
        <v>0</v>
      </c>
      <c r="GN20" s="2042">
        <f t="shared" si="88"/>
        <v>0</v>
      </c>
      <c r="GO20" s="2042">
        <f t="shared" si="89"/>
        <v>0</v>
      </c>
      <c r="GP20" s="2047">
        <f t="shared" si="197"/>
        <v>0</v>
      </c>
      <c r="GQ20" s="2042">
        <f t="shared" si="90"/>
        <v>0</v>
      </c>
      <c r="GR20" s="2042">
        <f t="shared" si="91"/>
        <v>0</v>
      </c>
      <c r="GS20" s="2042">
        <f t="shared" si="92"/>
        <v>0</v>
      </c>
      <c r="GT20" s="2042">
        <f t="shared" si="93"/>
        <v>0</v>
      </c>
      <c r="GU20" s="2042">
        <f t="shared" si="94"/>
        <v>0</v>
      </c>
      <c r="GV20" s="2042">
        <f t="shared" si="95"/>
        <v>0</v>
      </c>
      <c r="GW20" s="2042">
        <f t="shared" si="96"/>
        <v>0</v>
      </c>
      <c r="GX20" s="2042">
        <f t="shared" si="97"/>
        <v>0</v>
      </c>
      <c r="GY20" s="2042">
        <f t="shared" si="98"/>
        <v>0</v>
      </c>
      <c r="GZ20" s="2042">
        <f t="shared" si="99"/>
        <v>0</v>
      </c>
      <c r="HA20" s="2042">
        <f t="shared" si="100"/>
        <v>0</v>
      </c>
      <c r="HB20" s="2042">
        <f t="shared" si="101"/>
        <v>0</v>
      </c>
      <c r="HC20" s="2047">
        <f t="shared" si="198"/>
        <v>0</v>
      </c>
      <c r="HD20" s="2042">
        <f t="shared" si="102"/>
        <v>0</v>
      </c>
      <c r="HE20" s="2042">
        <f t="shared" si="103"/>
        <v>0</v>
      </c>
      <c r="HF20" s="2042">
        <f t="shared" si="104"/>
        <v>0</v>
      </c>
      <c r="HG20" s="2042">
        <f t="shared" si="105"/>
        <v>0</v>
      </c>
      <c r="HH20" s="2042">
        <f t="shared" si="106"/>
        <v>0</v>
      </c>
      <c r="HI20" s="2042">
        <f t="shared" si="107"/>
        <v>0</v>
      </c>
      <c r="HJ20" s="2042">
        <f t="shared" si="108"/>
        <v>0</v>
      </c>
      <c r="HK20" s="2042">
        <f t="shared" si="109"/>
        <v>0</v>
      </c>
      <c r="HL20" s="2042">
        <f t="shared" si="110"/>
        <v>0</v>
      </c>
      <c r="HM20" s="2042">
        <f t="shared" si="111"/>
        <v>0</v>
      </c>
      <c r="HN20" s="2042">
        <f t="shared" si="112"/>
        <v>0</v>
      </c>
      <c r="HO20" s="2042">
        <f t="shared" si="113"/>
        <v>0</v>
      </c>
      <c r="HP20" s="2047">
        <f t="shared" si="199"/>
        <v>0</v>
      </c>
      <c r="HQ20" s="2042">
        <f t="shared" si="114"/>
        <v>0</v>
      </c>
      <c r="HR20" s="2042">
        <f t="shared" si="115"/>
        <v>0</v>
      </c>
      <c r="HS20" s="2042">
        <f t="shared" si="116"/>
        <v>0</v>
      </c>
      <c r="HT20" s="2042">
        <f t="shared" si="117"/>
        <v>0</v>
      </c>
      <c r="HU20" s="2042">
        <f t="shared" si="118"/>
        <v>0</v>
      </c>
      <c r="HV20" s="2042">
        <f t="shared" si="119"/>
        <v>0</v>
      </c>
      <c r="HW20" s="2042">
        <f t="shared" si="120"/>
        <v>0</v>
      </c>
      <c r="HX20" s="2042">
        <f t="shared" si="121"/>
        <v>0</v>
      </c>
      <c r="HY20" s="2042">
        <f t="shared" si="122"/>
        <v>0</v>
      </c>
      <c r="HZ20" s="2042">
        <f t="shared" si="123"/>
        <v>0</v>
      </c>
      <c r="IA20" s="2042">
        <f t="shared" si="124"/>
        <v>0</v>
      </c>
      <c r="IB20" s="2042">
        <f t="shared" si="125"/>
        <v>0</v>
      </c>
      <c r="IC20" s="2047">
        <f t="shared" si="200"/>
        <v>0</v>
      </c>
      <c r="IE20" s="2044">
        <f t="shared" si="201"/>
        <v>0</v>
      </c>
      <c r="IF20" s="2025">
        <f t="shared" si="126"/>
        <v>0</v>
      </c>
      <c r="IG20" s="2025">
        <f t="shared" si="127"/>
        <v>0</v>
      </c>
      <c r="IH20" s="2025">
        <f t="shared" si="128"/>
        <v>0</v>
      </c>
      <c r="II20" s="2025">
        <f t="shared" si="129"/>
        <v>0</v>
      </c>
      <c r="IJ20" s="2025">
        <f t="shared" si="130"/>
        <v>0</v>
      </c>
      <c r="IK20" s="2025">
        <f t="shared" si="131"/>
        <v>0</v>
      </c>
      <c r="IL20" s="2025">
        <f t="shared" si="132"/>
        <v>0</v>
      </c>
      <c r="IM20" s="2025">
        <f t="shared" si="133"/>
        <v>0</v>
      </c>
      <c r="IN20" s="2025">
        <f t="shared" si="134"/>
        <v>0</v>
      </c>
      <c r="IO20" s="2025">
        <f t="shared" si="135"/>
        <v>0</v>
      </c>
      <c r="IP20" s="2025">
        <f t="shared" si="136"/>
        <v>0</v>
      </c>
      <c r="IQ20" s="2025">
        <f t="shared" si="137"/>
        <v>0</v>
      </c>
      <c r="IS20" s="2044">
        <f t="shared" si="202"/>
        <v>0</v>
      </c>
      <c r="IT20" s="2025">
        <f t="shared" si="138"/>
        <v>0</v>
      </c>
      <c r="IU20" s="2025">
        <f t="shared" si="139"/>
        <v>0</v>
      </c>
      <c r="IV20" s="2025">
        <f t="shared" si="140"/>
        <v>0</v>
      </c>
      <c r="IW20" s="2025">
        <f t="shared" si="141"/>
        <v>0</v>
      </c>
      <c r="IX20" s="2025">
        <f t="shared" si="142"/>
        <v>0</v>
      </c>
      <c r="IY20" s="2025">
        <f t="shared" si="143"/>
        <v>0</v>
      </c>
      <c r="IZ20" s="2025">
        <f t="shared" si="144"/>
        <v>0</v>
      </c>
      <c r="JA20" s="2025">
        <f t="shared" si="145"/>
        <v>0</v>
      </c>
      <c r="JB20" s="2025">
        <f t="shared" si="146"/>
        <v>0</v>
      </c>
      <c r="JC20" s="2025">
        <f t="shared" si="147"/>
        <v>0</v>
      </c>
      <c r="JD20" s="2025">
        <f t="shared" si="148"/>
        <v>0</v>
      </c>
      <c r="JE20" s="2025">
        <f t="shared" si="149"/>
        <v>0</v>
      </c>
    </row>
    <row r="21" spans="1:265" ht="18" customHeight="1">
      <c r="A21" s="1319"/>
      <c r="B21" s="2023">
        <v>17</v>
      </c>
      <c r="C21" s="1105" t="s">
        <v>34</v>
      </c>
      <c r="D21" s="2130"/>
      <c r="E21" s="739"/>
      <c r="F21" s="1544"/>
      <c r="G21" s="1320"/>
      <c r="H21" s="1321">
        <f t="shared" si="0"/>
        <v>0</v>
      </c>
      <c r="I21" s="1321">
        <f t="shared" si="150"/>
        <v>0</v>
      </c>
      <c r="J21" s="1321">
        <f t="shared" si="1"/>
        <v>0</v>
      </c>
      <c r="K21" s="1321">
        <f t="shared" si="2"/>
        <v>0</v>
      </c>
      <c r="L21" s="1322">
        <f>Summen_GL!F88</f>
        <v>0</v>
      </c>
      <c r="M21" s="1323">
        <f t="shared" si="151"/>
        <v>0</v>
      </c>
      <c r="N21" s="2024"/>
      <c r="O21" s="1321">
        <f t="shared" si="205"/>
        <v>0</v>
      </c>
      <c r="P21" s="1321">
        <f t="shared" si="3"/>
        <v>0</v>
      </c>
      <c r="Q21" s="2024"/>
      <c r="R21" s="1470"/>
      <c r="S21" s="1471"/>
      <c r="T21" s="1470"/>
      <c r="U21" s="1471"/>
      <c r="V21" s="1470"/>
      <c r="W21" s="1471"/>
      <c r="X21" s="1470"/>
      <c r="Y21" s="1471"/>
      <c r="Z21" s="1470"/>
      <c r="AA21" s="1471"/>
      <c r="AB21" s="1470"/>
      <c r="AC21" s="1551"/>
      <c r="AD21" s="844"/>
      <c r="AE21" s="1319"/>
      <c r="AF21" s="876"/>
      <c r="AG21" s="844"/>
      <c r="AH21" s="1563"/>
      <c r="AI21" s="2132"/>
      <c r="AJ21" s="1319"/>
      <c r="AK21" s="1593">
        <f t="shared" si="152"/>
        <v>0</v>
      </c>
      <c r="AL21" s="1594">
        <f t="shared" si="153"/>
        <v>0</v>
      </c>
      <c r="AM21" s="1319"/>
      <c r="AN21" s="1319"/>
      <c r="AP21" s="1860">
        <f t="shared" si="154"/>
        <v>0</v>
      </c>
      <c r="AQ21" s="1860">
        <f t="shared" si="155"/>
        <v>0</v>
      </c>
      <c r="AR21" s="1860">
        <f t="shared" si="156"/>
        <v>0</v>
      </c>
      <c r="AS21" s="1860">
        <f t="shared" si="157"/>
        <v>0</v>
      </c>
      <c r="AT21" s="1860">
        <f t="shared" si="158"/>
        <v>0</v>
      </c>
      <c r="AU21" s="1860">
        <f t="shared" si="159"/>
        <v>0</v>
      </c>
      <c r="AV21" s="1860">
        <f t="shared" si="160"/>
        <v>0</v>
      </c>
      <c r="AW21" s="1860">
        <f t="shared" si="161"/>
        <v>0</v>
      </c>
      <c r="AX21" s="1860">
        <f t="shared" si="162"/>
        <v>0</v>
      </c>
      <c r="AY21" s="1860">
        <f t="shared" si="163"/>
        <v>0</v>
      </c>
      <c r="AZ21" s="1860">
        <f t="shared" si="164"/>
        <v>0</v>
      </c>
      <c r="BA21" s="2026">
        <f t="shared" si="165"/>
        <v>0</v>
      </c>
      <c r="BB21" s="2026">
        <f t="shared" si="166"/>
        <v>0</v>
      </c>
      <c r="BC21" s="2026">
        <f t="shared" si="167"/>
        <v>0</v>
      </c>
      <c r="BD21" s="2026">
        <f t="shared" si="168"/>
        <v>0</v>
      </c>
      <c r="BE21" s="2026">
        <f t="shared" si="169"/>
        <v>0</v>
      </c>
      <c r="BF21" s="2026">
        <f t="shared" si="170"/>
        <v>0</v>
      </c>
      <c r="BG21" s="2026">
        <f t="shared" si="171"/>
        <v>0</v>
      </c>
      <c r="BH21" s="2026">
        <f t="shared" si="172"/>
        <v>0</v>
      </c>
      <c r="BI21" s="2026">
        <f t="shared" si="173"/>
        <v>0</v>
      </c>
      <c r="BJ21" s="2026">
        <f t="shared" si="174"/>
        <v>0</v>
      </c>
      <c r="BK21" s="2027"/>
      <c r="BL21" s="2026">
        <f t="shared" si="175"/>
        <v>0</v>
      </c>
      <c r="BM21" s="2026">
        <f t="shared" si="176"/>
        <v>0</v>
      </c>
      <c r="BN21" s="2026">
        <f t="shared" si="4"/>
        <v>0</v>
      </c>
      <c r="BO21" s="2026">
        <f t="shared" si="5"/>
        <v>0</v>
      </c>
      <c r="BP21" s="2026">
        <f t="shared" si="6"/>
        <v>0</v>
      </c>
      <c r="BQ21" s="2026">
        <f t="shared" si="7"/>
        <v>0</v>
      </c>
      <c r="BR21" s="2026">
        <f t="shared" si="8"/>
        <v>0</v>
      </c>
      <c r="BS21" s="2026">
        <f t="shared" si="177"/>
        <v>0</v>
      </c>
      <c r="BT21" s="2026">
        <f t="shared" si="9"/>
        <v>0</v>
      </c>
      <c r="BU21" s="2026">
        <f t="shared" si="10"/>
        <v>0</v>
      </c>
      <c r="BV21" s="2028"/>
      <c r="BW21" s="2029">
        <f t="shared" si="11"/>
        <v>0</v>
      </c>
      <c r="BX21" s="2029">
        <f t="shared" si="178"/>
        <v>0</v>
      </c>
      <c r="BY21" s="2029">
        <f t="shared" si="179"/>
        <v>0</v>
      </c>
      <c r="BZ21" s="2060"/>
      <c r="CA21" s="2030">
        <f t="shared" si="12"/>
        <v>0</v>
      </c>
      <c r="CB21" s="2030">
        <f t="shared" si="13"/>
        <v>0</v>
      </c>
      <c r="CC21" s="2030">
        <f t="shared" si="14"/>
        <v>0</v>
      </c>
      <c r="CD21" s="2031">
        <f t="shared" si="15"/>
        <v>0</v>
      </c>
      <c r="CE21" s="2031">
        <f t="shared" si="16"/>
        <v>0</v>
      </c>
      <c r="CF21" s="2031">
        <f t="shared" si="180"/>
        <v>0</v>
      </c>
      <c r="CG21" s="2030">
        <f t="shared" si="17"/>
        <v>0</v>
      </c>
      <c r="CH21" s="2032">
        <f t="shared" si="18"/>
        <v>0</v>
      </c>
      <c r="CI21" s="2032">
        <f t="shared" si="19"/>
        <v>0</v>
      </c>
      <c r="CJ21" s="2032">
        <f t="shared" si="181"/>
        <v>0</v>
      </c>
      <c r="CK21" s="2030">
        <f t="shared" si="20"/>
        <v>0</v>
      </c>
      <c r="CL21" s="2033">
        <f t="shared" si="21"/>
        <v>0</v>
      </c>
      <c r="CM21" s="2032">
        <f t="shared" si="22"/>
        <v>0</v>
      </c>
      <c r="CN21" s="2033">
        <f t="shared" si="23"/>
        <v>0</v>
      </c>
      <c r="CO21" s="2033">
        <f t="shared" si="182"/>
        <v>0</v>
      </c>
      <c r="CP21" s="2030">
        <f t="shared" si="24"/>
        <v>0</v>
      </c>
      <c r="CQ21" s="2030">
        <f t="shared" si="25"/>
        <v>0</v>
      </c>
      <c r="CR21" s="2030">
        <f t="shared" si="26"/>
        <v>0</v>
      </c>
      <c r="CS21" s="2030">
        <f t="shared" si="27"/>
        <v>0</v>
      </c>
      <c r="CT21" s="2035">
        <f t="shared" si="28"/>
        <v>0</v>
      </c>
      <c r="CU21" s="2036">
        <f t="shared" si="183"/>
        <v>0</v>
      </c>
      <c r="CV21" s="2036">
        <f t="shared" si="184"/>
        <v>0</v>
      </c>
      <c r="CW21" s="2036">
        <f t="shared" si="185"/>
        <v>0</v>
      </c>
      <c r="CY21" s="2061" t="s">
        <v>835</v>
      </c>
      <c r="CZ21" s="2062" t="s">
        <v>1161</v>
      </c>
      <c r="DA21" s="2063" t="s">
        <v>1162</v>
      </c>
      <c r="DB21" s="2061" t="s">
        <v>1154</v>
      </c>
      <c r="DC21" s="2061"/>
      <c r="DL21" s="10">
        <f t="shared" si="186"/>
        <v>0</v>
      </c>
      <c r="DM21" s="10">
        <f t="shared" si="29"/>
        <v>0</v>
      </c>
      <c r="DN21" s="2027" t="e">
        <f>DL21/Betrieb!$E$23</f>
        <v>#DIV/0!</v>
      </c>
      <c r="DO21" s="2027" t="e">
        <f>DM21/Betrieb!$E$24</f>
        <v>#DIV/0!</v>
      </c>
      <c r="DP21" s="2041">
        <f>(Betrieb!$E$21*Betrieb!$H$21)+(Betrieb!$E$23*Betrieb!$H$23)</f>
        <v>0</v>
      </c>
      <c r="DQ21" s="2025">
        <f>(Betrieb!$E$22*Betrieb!$H$22)+(Betrieb!$E$24*Betrieb!$H$24)</f>
        <v>0</v>
      </c>
      <c r="DR21" s="2041">
        <f t="shared" si="187"/>
        <v>0</v>
      </c>
      <c r="DS21" s="2025">
        <f t="shared" si="188"/>
        <v>0</v>
      </c>
      <c r="DT21" s="2042">
        <f t="shared" si="189"/>
        <v>0</v>
      </c>
      <c r="DU21" s="2043">
        <f t="shared" si="203"/>
        <v>0</v>
      </c>
      <c r="DV21" s="2043">
        <f t="shared" si="190"/>
        <v>0</v>
      </c>
      <c r="DW21" s="2043">
        <f t="shared" si="204"/>
        <v>0</v>
      </c>
      <c r="DZ21" s="2044">
        <f t="shared" si="191"/>
        <v>0</v>
      </c>
      <c r="EA21" s="1874">
        <f t="shared" si="30"/>
        <v>0</v>
      </c>
      <c r="EB21" s="1874">
        <f t="shared" si="31"/>
        <v>0</v>
      </c>
      <c r="EC21" s="1874">
        <f t="shared" si="32"/>
        <v>0</v>
      </c>
      <c r="ED21" s="1874">
        <f t="shared" si="33"/>
        <v>0</v>
      </c>
      <c r="EE21" s="1874">
        <f t="shared" si="34"/>
        <v>0</v>
      </c>
      <c r="EF21" s="1874">
        <f t="shared" si="35"/>
        <v>0</v>
      </c>
      <c r="EH21" s="2044">
        <f t="shared" si="192"/>
        <v>0</v>
      </c>
      <c r="EI21" s="2025">
        <f t="shared" si="36"/>
        <v>0</v>
      </c>
      <c r="EJ21" s="2025">
        <f t="shared" si="37"/>
        <v>0</v>
      </c>
      <c r="EK21" s="2025">
        <f t="shared" si="38"/>
        <v>0</v>
      </c>
      <c r="EL21" s="2025">
        <f t="shared" si="39"/>
        <v>0</v>
      </c>
      <c r="EM21" s="2025">
        <f t="shared" si="40"/>
        <v>0</v>
      </c>
      <c r="EN21" s="2025">
        <f t="shared" si="41"/>
        <v>0</v>
      </c>
      <c r="EP21" s="2045">
        <f t="shared" si="42"/>
        <v>0</v>
      </c>
      <c r="EQ21" s="2042">
        <f t="shared" si="193"/>
        <v>0</v>
      </c>
      <c r="ER21" s="2042">
        <f t="shared" si="43"/>
        <v>0</v>
      </c>
      <c r="ES21" s="2042">
        <f t="shared" si="44"/>
        <v>0</v>
      </c>
      <c r="ET21" s="2042">
        <f t="shared" si="45"/>
        <v>0</v>
      </c>
      <c r="EU21" s="2042">
        <f t="shared" si="46"/>
        <v>0</v>
      </c>
      <c r="EV21" s="2042">
        <f t="shared" si="47"/>
        <v>0</v>
      </c>
      <c r="EW21" s="2042">
        <f t="shared" si="48"/>
        <v>0</v>
      </c>
      <c r="EX21" s="2042">
        <f t="shared" si="49"/>
        <v>0</v>
      </c>
      <c r="EY21" s="2042">
        <f t="shared" si="50"/>
        <v>0</v>
      </c>
      <c r="EZ21" s="2042">
        <f t="shared" si="51"/>
        <v>0</v>
      </c>
      <c r="FA21" s="2042">
        <f t="shared" si="52"/>
        <v>0</v>
      </c>
      <c r="FB21" s="2042">
        <f t="shared" si="53"/>
        <v>0</v>
      </c>
      <c r="FC21" s="2042">
        <f t="shared" si="54"/>
        <v>0</v>
      </c>
      <c r="FD21" s="2046">
        <f t="shared" si="194"/>
        <v>0</v>
      </c>
      <c r="FE21" s="2042">
        <f t="shared" si="55"/>
        <v>0</v>
      </c>
      <c r="FF21" s="2042">
        <f t="shared" si="56"/>
        <v>0</v>
      </c>
      <c r="FG21" s="2042">
        <f t="shared" si="57"/>
        <v>0</v>
      </c>
      <c r="FH21" s="2042">
        <f t="shared" si="58"/>
        <v>0</v>
      </c>
      <c r="FI21" s="2042">
        <f t="shared" si="59"/>
        <v>0</v>
      </c>
      <c r="FJ21" s="2042">
        <f t="shared" si="195"/>
        <v>0</v>
      </c>
      <c r="FK21" s="2042">
        <f t="shared" si="60"/>
        <v>0</v>
      </c>
      <c r="FL21" s="2042">
        <f t="shared" si="61"/>
        <v>0</v>
      </c>
      <c r="FM21" s="2042">
        <f t="shared" si="62"/>
        <v>0</v>
      </c>
      <c r="FN21" s="2042">
        <f t="shared" si="63"/>
        <v>0</v>
      </c>
      <c r="FO21" s="2042">
        <f t="shared" si="64"/>
        <v>0</v>
      </c>
      <c r="FP21" s="2042">
        <f t="shared" si="65"/>
        <v>0</v>
      </c>
      <c r="FQ21" s="2047">
        <f t="shared" si="196"/>
        <v>0</v>
      </c>
      <c r="FR21" s="2042">
        <f t="shared" si="66"/>
        <v>0</v>
      </c>
      <c r="FS21" s="2042">
        <f t="shared" si="67"/>
        <v>0</v>
      </c>
      <c r="FT21" s="2042">
        <f t="shared" si="68"/>
        <v>0</v>
      </c>
      <c r="FU21" s="2042">
        <f t="shared" si="69"/>
        <v>0</v>
      </c>
      <c r="FV21" s="2042">
        <f t="shared" si="70"/>
        <v>0</v>
      </c>
      <c r="FW21" s="2042">
        <f t="shared" si="71"/>
        <v>0</v>
      </c>
      <c r="FX21" s="2042">
        <f t="shared" si="72"/>
        <v>0</v>
      </c>
      <c r="FY21" s="2042">
        <f t="shared" si="73"/>
        <v>0</v>
      </c>
      <c r="FZ21" s="2042">
        <f t="shared" si="74"/>
        <v>0</v>
      </c>
      <c r="GA21" s="2042">
        <f t="shared" si="75"/>
        <v>0</v>
      </c>
      <c r="GB21" s="2042">
        <f t="shared" si="76"/>
        <v>0</v>
      </c>
      <c r="GC21" s="2042">
        <f t="shared" si="77"/>
        <v>0</v>
      </c>
      <c r="GD21" s="2042">
        <f t="shared" si="78"/>
        <v>0</v>
      </c>
      <c r="GE21" s="2042">
        <f t="shared" si="79"/>
        <v>0</v>
      </c>
      <c r="GF21" s="2042">
        <f t="shared" si="80"/>
        <v>0</v>
      </c>
      <c r="GG21" s="2042">
        <f t="shared" si="81"/>
        <v>0</v>
      </c>
      <c r="GH21" s="2042">
        <f t="shared" si="82"/>
        <v>0</v>
      </c>
      <c r="GI21" s="2042">
        <f t="shared" si="83"/>
        <v>0</v>
      </c>
      <c r="GJ21" s="2042">
        <f t="shared" si="84"/>
        <v>0</v>
      </c>
      <c r="GK21" s="2042">
        <f t="shared" si="85"/>
        <v>0</v>
      </c>
      <c r="GL21" s="2042">
        <f t="shared" si="86"/>
        <v>0</v>
      </c>
      <c r="GM21" s="2042">
        <f t="shared" si="87"/>
        <v>0</v>
      </c>
      <c r="GN21" s="2042">
        <f t="shared" si="88"/>
        <v>0</v>
      </c>
      <c r="GO21" s="2042">
        <f t="shared" si="89"/>
        <v>0</v>
      </c>
      <c r="GP21" s="2047">
        <f t="shared" si="197"/>
        <v>0</v>
      </c>
      <c r="GQ21" s="2042">
        <f t="shared" si="90"/>
        <v>0</v>
      </c>
      <c r="GR21" s="2042">
        <f t="shared" si="91"/>
        <v>0</v>
      </c>
      <c r="GS21" s="2042">
        <f t="shared" si="92"/>
        <v>0</v>
      </c>
      <c r="GT21" s="2042">
        <f t="shared" si="93"/>
        <v>0</v>
      </c>
      <c r="GU21" s="2042">
        <f t="shared" si="94"/>
        <v>0</v>
      </c>
      <c r="GV21" s="2042">
        <f t="shared" si="95"/>
        <v>0</v>
      </c>
      <c r="GW21" s="2042">
        <f t="shared" si="96"/>
        <v>0</v>
      </c>
      <c r="GX21" s="2042">
        <f t="shared" si="97"/>
        <v>0</v>
      </c>
      <c r="GY21" s="2042">
        <f t="shared" si="98"/>
        <v>0</v>
      </c>
      <c r="GZ21" s="2042">
        <f t="shared" si="99"/>
        <v>0</v>
      </c>
      <c r="HA21" s="2042">
        <f t="shared" si="100"/>
        <v>0</v>
      </c>
      <c r="HB21" s="2042">
        <f t="shared" si="101"/>
        <v>0</v>
      </c>
      <c r="HC21" s="2047">
        <f t="shared" si="198"/>
        <v>0</v>
      </c>
      <c r="HD21" s="2042">
        <f t="shared" si="102"/>
        <v>0</v>
      </c>
      <c r="HE21" s="2042">
        <f t="shared" si="103"/>
        <v>0</v>
      </c>
      <c r="HF21" s="2042">
        <f t="shared" si="104"/>
        <v>0</v>
      </c>
      <c r="HG21" s="2042">
        <f t="shared" si="105"/>
        <v>0</v>
      </c>
      <c r="HH21" s="2042">
        <f t="shared" si="106"/>
        <v>0</v>
      </c>
      <c r="HI21" s="2042">
        <f t="shared" si="107"/>
        <v>0</v>
      </c>
      <c r="HJ21" s="2042">
        <f t="shared" si="108"/>
        <v>0</v>
      </c>
      <c r="HK21" s="2042">
        <f t="shared" si="109"/>
        <v>0</v>
      </c>
      <c r="HL21" s="2042">
        <f t="shared" si="110"/>
        <v>0</v>
      </c>
      <c r="HM21" s="2042">
        <f t="shared" si="111"/>
        <v>0</v>
      </c>
      <c r="HN21" s="2042">
        <f t="shared" si="112"/>
        <v>0</v>
      </c>
      <c r="HO21" s="2042">
        <f t="shared" si="113"/>
        <v>0</v>
      </c>
      <c r="HP21" s="2047">
        <f t="shared" si="199"/>
        <v>0</v>
      </c>
      <c r="HQ21" s="2042">
        <f t="shared" si="114"/>
        <v>0</v>
      </c>
      <c r="HR21" s="2042">
        <f t="shared" si="115"/>
        <v>0</v>
      </c>
      <c r="HS21" s="2042">
        <f t="shared" si="116"/>
        <v>0</v>
      </c>
      <c r="HT21" s="2042">
        <f t="shared" si="117"/>
        <v>0</v>
      </c>
      <c r="HU21" s="2042">
        <f t="shared" si="118"/>
        <v>0</v>
      </c>
      <c r="HV21" s="2042">
        <f t="shared" si="119"/>
        <v>0</v>
      </c>
      <c r="HW21" s="2042">
        <f t="shared" si="120"/>
        <v>0</v>
      </c>
      <c r="HX21" s="2042">
        <f t="shared" si="121"/>
        <v>0</v>
      </c>
      <c r="HY21" s="2042">
        <f t="shared" si="122"/>
        <v>0</v>
      </c>
      <c r="HZ21" s="2042">
        <f t="shared" si="123"/>
        <v>0</v>
      </c>
      <c r="IA21" s="2042">
        <f t="shared" si="124"/>
        <v>0</v>
      </c>
      <c r="IB21" s="2042">
        <f t="shared" si="125"/>
        <v>0</v>
      </c>
      <c r="IC21" s="2047">
        <f t="shared" si="200"/>
        <v>0</v>
      </c>
      <c r="IE21" s="2044">
        <f t="shared" si="201"/>
        <v>0</v>
      </c>
      <c r="IF21" s="2025">
        <f t="shared" si="126"/>
        <v>0</v>
      </c>
      <c r="IG21" s="2025">
        <f t="shared" si="127"/>
        <v>0</v>
      </c>
      <c r="IH21" s="2025">
        <f t="shared" si="128"/>
        <v>0</v>
      </c>
      <c r="II21" s="2025">
        <f t="shared" si="129"/>
        <v>0</v>
      </c>
      <c r="IJ21" s="2025">
        <f t="shared" si="130"/>
        <v>0</v>
      </c>
      <c r="IK21" s="2025">
        <f t="shared" si="131"/>
        <v>0</v>
      </c>
      <c r="IL21" s="2025">
        <f t="shared" si="132"/>
        <v>0</v>
      </c>
      <c r="IM21" s="2025">
        <f t="shared" si="133"/>
        <v>0</v>
      </c>
      <c r="IN21" s="2025">
        <f t="shared" si="134"/>
        <v>0</v>
      </c>
      <c r="IO21" s="2025">
        <f t="shared" si="135"/>
        <v>0</v>
      </c>
      <c r="IP21" s="2025">
        <f t="shared" si="136"/>
        <v>0</v>
      </c>
      <c r="IQ21" s="2025">
        <f t="shared" si="137"/>
        <v>0</v>
      </c>
      <c r="IS21" s="2044">
        <f t="shared" si="202"/>
        <v>0</v>
      </c>
      <c r="IT21" s="2025">
        <f t="shared" si="138"/>
        <v>0</v>
      </c>
      <c r="IU21" s="2025">
        <f t="shared" si="139"/>
        <v>0</v>
      </c>
      <c r="IV21" s="2025">
        <f t="shared" si="140"/>
        <v>0</v>
      </c>
      <c r="IW21" s="2025">
        <f t="shared" si="141"/>
        <v>0</v>
      </c>
      <c r="IX21" s="2025">
        <f t="shared" si="142"/>
        <v>0</v>
      </c>
      <c r="IY21" s="2025">
        <f t="shared" si="143"/>
        <v>0</v>
      </c>
      <c r="IZ21" s="2025">
        <f t="shared" si="144"/>
        <v>0</v>
      </c>
      <c r="JA21" s="2025">
        <f t="shared" si="145"/>
        <v>0</v>
      </c>
      <c r="JB21" s="2025">
        <f t="shared" si="146"/>
        <v>0</v>
      </c>
      <c r="JC21" s="2025">
        <f t="shared" si="147"/>
        <v>0</v>
      </c>
      <c r="JD21" s="2025">
        <f t="shared" si="148"/>
        <v>0</v>
      </c>
      <c r="JE21" s="2025">
        <f t="shared" si="149"/>
        <v>0</v>
      </c>
    </row>
    <row r="22" spans="1:265" ht="18" customHeight="1">
      <c r="A22" s="1319"/>
      <c r="B22" s="2023">
        <v>18</v>
      </c>
      <c r="C22" s="1105" t="s">
        <v>34</v>
      </c>
      <c r="D22" s="2130"/>
      <c r="E22" s="739"/>
      <c r="F22" s="1544"/>
      <c r="G22" s="1320"/>
      <c r="H22" s="1321">
        <f t="shared" si="0"/>
        <v>0</v>
      </c>
      <c r="I22" s="1321">
        <f t="shared" si="150"/>
        <v>0</v>
      </c>
      <c r="J22" s="1321">
        <f t="shared" si="1"/>
        <v>0</v>
      </c>
      <c r="K22" s="1321">
        <f t="shared" si="2"/>
        <v>0</v>
      </c>
      <c r="L22" s="1322">
        <f>Summen_GL!F89</f>
        <v>0</v>
      </c>
      <c r="M22" s="1323">
        <f t="shared" si="151"/>
        <v>0</v>
      </c>
      <c r="N22" s="2024"/>
      <c r="O22" s="1321">
        <f t="shared" si="205"/>
        <v>0</v>
      </c>
      <c r="P22" s="1321">
        <f t="shared" si="3"/>
        <v>0</v>
      </c>
      <c r="Q22" s="2024"/>
      <c r="R22" s="1470"/>
      <c r="S22" s="1471"/>
      <c r="T22" s="1470"/>
      <c r="U22" s="1471"/>
      <c r="V22" s="1470"/>
      <c r="W22" s="1471"/>
      <c r="X22" s="1470"/>
      <c r="Y22" s="1471"/>
      <c r="Z22" s="1470"/>
      <c r="AA22" s="1471"/>
      <c r="AB22" s="1470"/>
      <c r="AC22" s="1551"/>
      <c r="AD22" s="844"/>
      <c r="AE22" s="1319"/>
      <c r="AF22" s="876"/>
      <c r="AG22" s="844"/>
      <c r="AH22" s="1563"/>
      <c r="AI22" s="2132"/>
      <c r="AJ22" s="1319"/>
      <c r="AK22" s="1593">
        <f t="shared" si="152"/>
        <v>0</v>
      </c>
      <c r="AL22" s="1594">
        <f t="shared" si="153"/>
        <v>0</v>
      </c>
      <c r="AM22" s="1319"/>
      <c r="AN22" s="1319"/>
      <c r="AP22" s="1860">
        <f t="shared" si="154"/>
        <v>0</v>
      </c>
      <c r="AQ22" s="1860">
        <f t="shared" si="155"/>
        <v>0</v>
      </c>
      <c r="AR22" s="1860">
        <f t="shared" si="156"/>
        <v>0</v>
      </c>
      <c r="AS22" s="1860">
        <f t="shared" si="157"/>
        <v>0</v>
      </c>
      <c r="AT22" s="1860">
        <f t="shared" si="158"/>
        <v>0</v>
      </c>
      <c r="AU22" s="1860">
        <f t="shared" si="159"/>
        <v>0</v>
      </c>
      <c r="AV22" s="1860">
        <f t="shared" si="160"/>
        <v>0</v>
      </c>
      <c r="AW22" s="1860">
        <f t="shared" si="161"/>
        <v>0</v>
      </c>
      <c r="AX22" s="1860">
        <f t="shared" si="162"/>
        <v>0</v>
      </c>
      <c r="AY22" s="1860">
        <f t="shared" si="163"/>
        <v>0</v>
      </c>
      <c r="AZ22" s="1860">
        <f t="shared" si="164"/>
        <v>0</v>
      </c>
      <c r="BA22" s="2026">
        <f t="shared" si="165"/>
        <v>0</v>
      </c>
      <c r="BB22" s="2026">
        <f t="shared" si="166"/>
        <v>0</v>
      </c>
      <c r="BC22" s="2026">
        <f t="shared" si="167"/>
        <v>0</v>
      </c>
      <c r="BD22" s="2026">
        <f t="shared" si="168"/>
        <v>0</v>
      </c>
      <c r="BE22" s="2026">
        <f t="shared" si="169"/>
        <v>0</v>
      </c>
      <c r="BF22" s="2026">
        <f t="shared" si="170"/>
        <v>0</v>
      </c>
      <c r="BG22" s="2026">
        <f t="shared" si="171"/>
        <v>0</v>
      </c>
      <c r="BH22" s="2026">
        <f t="shared" si="172"/>
        <v>0</v>
      </c>
      <c r="BI22" s="2026">
        <f t="shared" si="173"/>
        <v>0</v>
      </c>
      <c r="BJ22" s="2026">
        <f t="shared" si="174"/>
        <v>0</v>
      </c>
      <c r="BK22" s="2027"/>
      <c r="BL22" s="2026">
        <f t="shared" si="175"/>
        <v>0</v>
      </c>
      <c r="BM22" s="2026">
        <f t="shared" si="176"/>
        <v>0</v>
      </c>
      <c r="BN22" s="2026">
        <f t="shared" si="4"/>
        <v>0</v>
      </c>
      <c r="BO22" s="2026">
        <f t="shared" si="5"/>
        <v>0</v>
      </c>
      <c r="BP22" s="2026">
        <f t="shared" si="6"/>
        <v>0</v>
      </c>
      <c r="BQ22" s="2026">
        <f t="shared" si="7"/>
        <v>0</v>
      </c>
      <c r="BR22" s="2026">
        <f t="shared" si="8"/>
        <v>0</v>
      </c>
      <c r="BS22" s="2026">
        <f t="shared" si="177"/>
        <v>0</v>
      </c>
      <c r="BT22" s="2026">
        <f t="shared" si="9"/>
        <v>0</v>
      </c>
      <c r="BU22" s="2026">
        <f t="shared" si="10"/>
        <v>0</v>
      </c>
      <c r="BV22" s="2028"/>
      <c r="BW22" s="2029">
        <f t="shared" si="11"/>
        <v>0</v>
      </c>
      <c r="BX22" s="2029">
        <f t="shared" si="178"/>
        <v>0</v>
      </c>
      <c r="BY22" s="2029">
        <f t="shared" si="179"/>
        <v>0</v>
      </c>
      <c r="BZ22" s="2060"/>
      <c r="CA22" s="2030">
        <f t="shared" si="12"/>
        <v>0</v>
      </c>
      <c r="CB22" s="2030">
        <f t="shared" si="13"/>
        <v>0</v>
      </c>
      <c r="CC22" s="2030">
        <f t="shared" si="14"/>
        <v>0</v>
      </c>
      <c r="CD22" s="2031">
        <f t="shared" si="15"/>
        <v>0</v>
      </c>
      <c r="CE22" s="2031">
        <f t="shared" si="16"/>
        <v>0</v>
      </c>
      <c r="CF22" s="2031">
        <f t="shared" si="180"/>
        <v>0</v>
      </c>
      <c r="CG22" s="2030">
        <f t="shared" si="17"/>
        <v>0</v>
      </c>
      <c r="CH22" s="2032">
        <f t="shared" si="18"/>
        <v>0</v>
      </c>
      <c r="CI22" s="2032">
        <f t="shared" si="19"/>
        <v>0</v>
      </c>
      <c r="CJ22" s="2032">
        <f t="shared" si="181"/>
        <v>0</v>
      </c>
      <c r="CK22" s="2030">
        <f t="shared" si="20"/>
        <v>0</v>
      </c>
      <c r="CL22" s="2033">
        <f t="shared" si="21"/>
        <v>0</v>
      </c>
      <c r="CM22" s="2032">
        <f t="shared" si="22"/>
        <v>0</v>
      </c>
      <c r="CN22" s="2033">
        <f t="shared" si="23"/>
        <v>0</v>
      </c>
      <c r="CO22" s="2033">
        <f t="shared" si="182"/>
        <v>0</v>
      </c>
      <c r="CP22" s="2030">
        <f t="shared" si="24"/>
        <v>0</v>
      </c>
      <c r="CQ22" s="2030">
        <f t="shared" si="25"/>
        <v>0</v>
      </c>
      <c r="CR22" s="2030">
        <f t="shared" si="26"/>
        <v>0</v>
      </c>
      <c r="CS22" s="2030">
        <f t="shared" si="27"/>
        <v>0</v>
      </c>
      <c r="CT22" s="2035">
        <f t="shared" si="28"/>
        <v>0</v>
      </c>
      <c r="CU22" s="2036">
        <f t="shared" si="183"/>
        <v>0</v>
      </c>
      <c r="CV22" s="2036">
        <f t="shared" si="184"/>
        <v>0</v>
      </c>
      <c r="CW22" s="2036">
        <f t="shared" si="185"/>
        <v>0</v>
      </c>
      <c r="CY22" s="2064" t="s">
        <v>841</v>
      </c>
      <c r="CZ22" s="2065">
        <v>11</v>
      </c>
      <c r="DA22" s="2066">
        <f>1000*CZ22*$V$31/100</f>
        <v>0</v>
      </c>
      <c r="DB22" s="2066">
        <v>5.0999999999999996</v>
      </c>
      <c r="DC22" s="2067" t="s">
        <v>1155</v>
      </c>
      <c r="DL22" s="10">
        <f t="shared" si="186"/>
        <v>0</v>
      </c>
      <c r="DM22" s="10">
        <f t="shared" si="29"/>
        <v>0</v>
      </c>
      <c r="DN22" s="2027" t="e">
        <f>DL22/Betrieb!$E$23</f>
        <v>#DIV/0!</v>
      </c>
      <c r="DO22" s="2027" t="e">
        <f>DM22/Betrieb!$E$24</f>
        <v>#DIV/0!</v>
      </c>
      <c r="DP22" s="2041">
        <f>(Betrieb!$E$21*Betrieb!$H$21)+(Betrieb!$E$23*Betrieb!$H$23)</f>
        <v>0</v>
      </c>
      <c r="DQ22" s="2025">
        <f>(Betrieb!$E$22*Betrieb!$H$22)+(Betrieb!$E$24*Betrieb!$H$24)</f>
        <v>0</v>
      </c>
      <c r="DR22" s="2041">
        <f t="shared" si="187"/>
        <v>0</v>
      </c>
      <c r="DS22" s="2025">
        <f t="shared" si="188"/>
        <v>0</v>
      </c>
      <c r="DT22" s="2042">
        <f t="shared" si="189"/>
        <v>0</v>
      </c>
      <c r="DU22" s="2043">
        <f t="shared" si="203"/>
        <v>0</v>
      </c>
      <c r="DV22" s="2043">
        <f t="shared" si="190"/>
        <v>0</v>
      </c>
      <c r="DW22" s="2043">
        <f t="shared" si="204"/>
        <v>0</v>
      </c>
      <c r="DZ22" s="2044">
        <f t="shared" si="191"/>
        <v>0</v>
      </c>
      <c r="EA22" s="1874">
        <f t="shared" si="30"/>
        <v>0</v>
      </c>
      <c r="EB22" s="1874">
        <f t="shared" si="31"/>
        <v>0</v>
      </c>
      <c r="EC22" s="1874">
        <f t="shared" si="32"/>
        <v>0</v>
      </c>
      <c r="ED22" s="1874">
        <f t="shared" si="33"/>
        <v>0</v>
      </c>
      <c r="EE22" s="1874">
        <f t="shared" si="34"/>
        <v>0</v>
      </c>
      <c r="EF22" s="1874">
        <f t="shared" si="35"/>
        <v>0</v>
      </c>
      <c r="EH22" s="2044">
        <f t="shared" si="192"/>
        <v>0</v>
      </c>
      <c r="EI22" s="2025">
        <f t="shared" si="36"/>
        <v>0</v>
      </c>
      <c r="EJ22" s="2025">
        <f t="shared" si="37"/>
        <v>0</v>
      </c>
      <c r="EK22" s="2025">
        <f t="shared" si="38"/>
        <v>0</v>
      </c>
      <c r="EL22" s="2025">
        <f t="shared" si="39"/>
        <v>0</v>
      </c>
      <c r="EM22" s="2025">
        <f t="shared" si="40"/>
        <v>0</v>
      </c>
      <c r="EN22" s="2025">
        <f t="shared" si="41"/>
        <v>0</v>
      </c>
      <c r="EP22" s="2045">
        <f t="shared" si="42"/>
        <v>0</v>
      </c>
      <c r="EQ22" s="2042">
        <f t="shared" si="193"/>
        <v>0</v>
      </c>
      <c r="ER22" s="2042">
        <f t="shared" si="43"/>
        <v>0</v>
      </c>
      <c r="ES22" s="2042">
        <f t="shared" si="44"/>
        <v>0</v>
      </c>
      <c r="ET22" s="2042">
        <f t="shared" si="45"/>
        <v>0</v>
      </c>
      <c r="EU22" s="2042">
        <f t="shared" si="46"/>
        <v>0</v>
      </c>
      <c r="EV22" s="2042">
        <f t="shared" si="47"/>
        <v>0</v>
      </c>
      <c r="EW22" s="2042">
        <f t="shared" si="48"/>
        <v>0</v>
      </c>
      <c r="EX22" s="2042">
        <f t="shared" si="49"/>
        <v>0</v>
      </c>
      <c r="EY22" s="2042">
        <f t="shared" si="50"/>
        <v>0</v>
      </c>
      <c r="EZ22" s="2042">
        <f t="shared" si="51"/>
        <v>0</v>
      </c>
      <c r="FA22" s="2042">
        <f t="shared" si="52"/>
        <v>0</v>
      </c>
      <c r="FB22" s="2042">
        <f t="shared" si="53"/>
        <v>0</v>
      </c>
      <c r="FC22" s="2042">
        <f t="shared" si="54"/>
        <v>0</v>
      </c>
      <c r="FD22" s="2046">
        <f t="shared" si="194"/>
        <v>0</v>
      </c>
      <c r="FE22" s="2042">
        <f t="shared" si="55"/>
        <v>0</v>
      </c>
      <c r="FF22" s="2042">
        <f t="shared" si="56"/>
        <v>0</v>
      </c>
      <c r="FG22" s="2042">
        <f t="shared" si="57"/>
        <v>0</v>
      </c>
      <c r="FH22" s="2042">
        <f t="shared" si="58"/>
        <v>0</v>
      </c>
      <c r="FI22" s="2042">
        <f t="shared" si="59"/>
        <v>0</v>
      </c>
      <c r="FJ22" s="2042">
        <f t="shared" si="195"/>
        <v>0</v>
      </c>
      <c r="FK22" s="2042">
        <f t="shared" si="60"/>
        <v>0</v>
      </c>
      <c r="FL22" s="2042">
        <f t="shared" si="61"/>
        <v>0</v>
      </c>
      <c r="FM22" s="2042">
        <f t="shared" si="62"/>
        <v>0</v>
      </c>
      <c r="FN22" s="2042">
        <f t="shared" si="63"/>
        <v>0</v>
      </c>
      <c r="FO22" s="2042">
        <f t="shared" si="64"/>
        <v>0</v>
      </c>
      <c r="FP22" s="2042">
        <f t="shared" si="65"/>
        <v>0</v>
      </c>
      <c r="FQ22" s="2047">
        <f t="shared" si="196"/>
        <v>0</v>
      </c>
      <c r="FR22" s="2042">
        <f t="shared" si="66"/>
        <v>0</v>
      </c>
      <c r="FS22" s="2042">
        <f t="shared" si="67"/>
        <v>0</v>
      </c>
      <c r="FT22" s="2042">
        <f t="shared" si="68"/>
        <v>0</v>
      </c>
      <c r="FU22" s="2042">
        <f t="shared" si="69"/>
        <v>0</v>
      </c>
      <c r="FV22" s="2042">
        <f t="shared" si="70"/>
        <v>0</v>
      </c>
      <c r="FW22" s="2042">
        <f t="shared" si="71"/>
        <v>0</v>
      </c>
      <c r="FX22" s="2042">
        <f t="shared" si="72"/>
        <v>0</v>
      </c>
      <c r="FY22" s="2042">
        <f t="shared" si="73"/>
        <v>0</v>
      </c>
      <c r="FZ22" s="2042">
        <f t="shared" si="74"/>
        <v>0</v>
      </c>
      <c r="GA22" s="2042">
        <f t="shared" si="75"/>
        <v>0</v>
      </c>
      <c r="GB22" s="2042">
        <f t="shared" si="76"/>
        <v>0</v>
      </c>
      <c r="GC22" s="2042">
        <f t="shared" si="77"/>
        <v>0</v>
      </c>
      <c r="GD22" s="2042">
        <f t="shared" si="78"/>
        <v>0</v>
      </c>
      <c r="GE22" s="2042">
        <f t="shared" si="79"/>
        <v>0</v>
      </c>
      <c r="GF22" s="2042">
        <f t="shared" si="80"/>
        <v>0</v>
      </c>
      <c r="GG22" s="2042">
        <f t="shared" si="81"/>
        <v>0</v>
      </c>
      <c r="GH22" s="2042">
        <f t="shared" si="82"/>
        <v>0</v>
      </c>
      <c r="GI22" s="2042">
        <f t="shared" si="83"/>
        <v>0</v>
      </c>
      <c r="GJ22" s="2042">
        <f t="shared" si="84"/>
        <v>0</v>
      </c>
      <c r="GK22" s="2042">
        <f t="shared" si="85"/>
        <v>0</v>
      </c>
      <c r="GL22" s="2042">
        <f t="shared" si="86"/>
        <v>0</v>
      </c>
      <c r="GM22" s="2042">
        <f t="shared" si="87"/>
        <v>0</v>
      </c>
      <c r="GN22" s="2042">
        <f t="shared" si="88"/>
        <v>0</v>
      </c>
      <c r="GO22" s="2042">
        <f t="shared" si="89"/>
        <v>0</v>
      </c>
      <c r="GP22" s="2047">
        <f t="shared" si="197"/>
        <v>0</v>
      </c>
      <c r="GQ22" s="2042">
        <f t="shared" si="90"/>
        <v>0</v>
      </c>
      <c r="GR22" s="2042">
        <f t="shared" si="91"/>
        <v>0</v>
      </c>
      <c r="GS22" s="2042">
        <f t="shared" si="92"/>
        <v>0</v>
      </c>
      <c r="GT22" s="2042">
        <f t="shared" si="93"/>
        <v>0</v>
      </c>
      <c r="GU22" s="2042">
        <f t="shared" si="94"/>
        <v>0</v>
      </c>
      <c r="GV22" s="2042">
        <f t="shared" si="95"/>
        <v>0</v>
      </c>
      <c r="GW22" s="2042">
        <f t="shared" si="96"/>
        <v>0</v>
      </c>
      <c r="GX22" s="2042">
        <f t="shared" si="97"/>
        <v>0</v>
      </c>
      <c r="GY22" s="2042">
        <f t="shared" si="98"/>
        <v>0</v>
      </c>
      <c r="GZ22" s="2042">
        <f t="shared" si="99"/>
        <v>0</v>
      </c>
      <c r="HA22" s="2042">
        <f t="shared" si="100"/>
        <v>0</v>
      </c>
      <c r="HB22" s="2042">
        <f t="shared" si="101"/>
        <v>0</v>
      </c>
      <c r="HC22" s="2047">
        <f t="shared" si="198"/>
        <v>0</v>
      </c>
      <c r="HD22" s="2042">
        <f t="shared" si="102"/>
        <v>0</v>
      </c>
      <c r="HE22" s="2042">
        <f t="shared" si="103"/>
        <v>0</v>
      </c>
      <c r="HF22" s="2042">
        <f t="shared" si="104"/>
        <v>0</v>
      </c>
      <c r="HG22" s="2042">
        <f t="shared" si="105"/>
        <v>0</v>
      </c>
      <c r="HH22" s="2042">
        <f t="shared" si="106"/>
        <v>0</v>
      </c>
      <c r="HI22" s="2042">
        <f t="shared" si="107"/>
        <v>0</v>
      </c>
      <c r="HJ22" s="2042">
        <f t="shared" si="108"/>
        <v>0</v>
      </c>
      <c r="HK22" s="2042">
        <f t="shared" si="109"/>
        <v>0</v>
      </c>
      <c r="HL22" s="2042">
        <f t="shared" si="110"/>
        <v>0</v>
      </c>
      <c r="HM22" s="2042">
        <f t="shared" si="111"/>
        <v>0</v>
      </c>
      <c r="HN22" s="2042">
        <f t="shared" si="112"/>
        <v>0</v>
      </c>
      <c r="HO22" s="2042">
        <f t="shared" si="113"/>
        <v>0</v>
      </c>
      <c r="HP22" s="2047">
        <f t="shared" si="199"/>
        <v>0</v>
      </c>
      <c r="HQ22" s="2042">
        <f t="shared" si="114"/>
        <v>0</v>
      </c>
      <c r="HR22" s="2042">
        <f t="shared" si="115"/>
        <v>0</v>
      </c>
      <c r="HS22" s="2042">
        <f t="shared" si="116"/>
        <v>0</v>
      </c>
      <c r="HT22" s="2042">
        <f t="shared" si="117"/>
        <v>0</v>
      </c>
      <c r="HU22" s="2042">
        <f t="shared" si="118"/>
        <v>0</v>
      </c>
      <c r="HV22" s="2042">
        <f t="shared" si="119"/>
        <v>0</v>
      </c>
      <c r="HW22" s="2042">
        <f t="shared" si="120"/>
        <v>0</v>
      </c>
      <c r="HX22" s="2042">
        <f t="shared" si="121"/>
        <v>0</v>
      </c>
      <c r="HY22" s="2042">
        <f t="shared" si="122"/>
        <v>0</v>
      </c>
      <c r="HZ22" s="2042">
        <f t="shared" si="123"/>
        <v>0</v>
      </c>
      <c r="IA22" s="2042">
        <f t="shared" si="124"/>
        <v>0</v>
      </c>
      <c r="IB22" s="2042">
        <f t="shared" si="125"/>
        <v>0</v>
      </c>
      <c r="IC22" s="2047">
        <f t="shared" si="200"/>
        <v>0</v>
      </c>
      <c r="IE22" s="2044">
        <f t="shared" si="201"/>
        <v>0</v>
      </c>
      <c r="IF22" s="2025">
        <f t="shared" si="126"/>
        <v>0</v>
      </c>
      <c r="IG22" s="2025">
        <f t="shared" si="127"/>
        <v>0</v>
      </c>
      <c r="IH22" s="2025">
        <f t="shared" si="128"/>
        <v>0</v>
      </c>
      <c r="II22" s="2025">
        <f t="shared" si="129"/>
        <v>0</v>
      </c>
      <c r="IJ22" s="2025">
        <f t="shared" si="130"/>
        <v>0</v>
      </c>
      <c r="IK22" s="2025">
        <f t="shared" si="131"/>
        <v>0</v>
      </c>
      <c r="IL22" s="2025">
        <f t="shared" si="132"/>
        <v>0</v>
      </c>
      <c r="IM22" s="2025">
        <f t="shared" si="133"/>
        <v>0</v>
      </c>
      <c r="IN22" s="2025">
        <f t="shared" si="134"/>
        <v>0</v>
      </c>
      <c r="IO22" s="2025">
        <f t="shared" si="135"/>
        <v>0</v>
      </c>
      <c r="IP22" s="2025">
        <f t="shared" si="136"/>
        <v>0</v>
      </c>
      <c r="IQ22" s="2025">
        <f t="shared" si="137"/>
        <v>0</v>
      </c>
      <c r="IS22" s="2044">
        <f t="shared" si="202"/>
        <v>0</v>
      </c>
      <c r="IT22" s="2025">
        <f t="shared" si="138"/>
        <v>0</v>
      </c>
      <c r="IU22" s="2025">
        <f t="shared" si="139"/>
        <v>0</v>
      </c>
      <c r="IV22" s="2025">
        <f t="shared" si="140"/>
        <v>0</v>
      </c>
      <c r="IW22" s="2025">
        <f t="shared" si="141"/>
        <v>0</v>
      </c>
      <c r="IX22" s="2025">
        <f t="shared" si="142"/>
        <v>0</v>
      </c>
      <c r="IY22" s="2025">
        <f t="shared" si="143"/>
        <v>0</v>
      </c>
      <c r="IZ22" s="2025">
        <f t="shared" si="144"/>
        <v>0</v>
      </c>
      <c r="JA22" s="2025">
        <f t="shared" si="145"/>
        <v>0</v>
      </c>
      <c r="JB22" s="2025">
        <f t="shared" si="146"/>
        <v>0</v>
      </c>
      <c r="JC22" s="2025">
        <f t="shared" si="147"/>
        <v>0</v>
      </c>
      <c r="JD22" s="2025">
        <f t="shared" si="148"/>
        <v>0</v>
      </c>
      <c r="JE22" s="2025">
        <f t="shared" si="149"/>
        <v>0</v>
      </c>
    </row>
    <row r="23" spans="1:265" ht="18" customHeight="1">
      <c r="A23" s="1319"/>
      <c r="B23" s="2023">
        <v>19</v>
      </c>
      <c r="C23" s="1105" t="s">
        <v>34</v>
      </c>
      <c r="D23" s="2130"/>
      <c r="E23" s="739"/>
      <c r="F23" s="1544"/>
      <c r="G23" s="1320"/>
      <c r="H23" s="1321">
        <f t="shared" si="0"/>
        <v>0</v>
      </c>
      <c r="I23" s="1321">
        <f t="shared" si="150"/>
        <v>0</v>
      </c>
      <c r="J23" s="1321">
        <f t="shared" si="1"/>
        <v>0</v>
      </c>
      <c r="K23" s="1321">
        <f t="shared" si="2"/>
        <v>0</v>
      </c>
      <c r="L23" s="1322">
        <f>Summen_GL!F90</f>
        <v>0</v>
      </c>
      <c r="M23" s="1323">
        <f t="shared" si="151"/>
        <v>0</v>
      </c>
      <c r="N23" s="2024"/>
      <c r="O23" s="1321">
        <f t="shared" si="205"/>
        <v>0</v>
      </c>
      <c r="P23" s="1321">
        <f t="shared" si="3"/>
        <v>0</v>
      </c>
      <c r="Q23" s="2024"/>
      <c r="R23" s="1470"/>
      <c r="S23" s="1471"/>
      <c r="T23" s="1470"/>
      <c r="U23" s="1471"/>
      <c r="V23" s="1470"/>
      <c r="W23" s="1471"/>
      <c r="X23" s="1470"/>
      <c r="Y23" s="1471"/>
      <c r="Z23" s="1470"/>
      <c r="AA23" s="1471"/>
      <c r="AB23" s="1470"/>
      <c r="AC23" s="1551"/>
      <c r="AD23" s="844"/>
      <c r="AE23" s="1319"/>
      <c r="AF23" s="876"/>
      <c r="AG23" s="844"/>
      <c r="AH23" s="1563"/>
      <c r="AI23" s="2132"/>
      <c r="AJ23" s="1319"/>
      <c r="AK23" s="1593">
        <f t="shared" si="152"/>
        <v>0</v>
      </c>
      <c r="AL23" s="1594">
        <f t="shared" si="153"/>
        <v>0</v>
      </c>
      <c r="AM23" s="1319"/>
      <c r="AN23" s="1319"/>
      <c r="AP23" s="1860">
        <f t="shared" si="154"/>
        <v>0</v>
      </c>
      <c r="AQ23" s="1860">
        <f t="shared" si="155"/>
        <v>0</v>
      </c>
      <c r="AR23" s="1860">
        <f t="shared" si="156"/>
        <v>0</v>
      </c>
      <c r="AS23" s="1860">
        <f t="shared" si="157"/>
        <v>0</v>
      </c>
      <c r="AT23" s="1860">
        <f t="shared" si="158"/>
        <v>0</v>
      </c>
      <c r="AU23" s="1860">
        <f t="shared" si="159"/>
        <v>0</v>
      </c>
      <c r="AV23" s="1860">
        <f t="shared" si="160"/>
        <v>0</v>
      </c>
      <c r="AW23" s="1860">
        <f t="shared" si="161"/>
        <v>0</v>
      </c>
      <c r="AX23" s="1860">
        <f t="shared" si="162"/>
        <v>0</v>
      </c>
      <c r="AY23" s="1860">
        <f t="shared" si="163"/>
        <v>0</v>
      </c>
      <c r="AZ23" s="1860">
        <f t="shared" si="164"/>
        <v>0</v>
      </c>
      <c r="BA23" s="2026">
        <f t="shared" si="165"/>
        <v>0</v>
      </c>
      <c r="BB23" s="2026">
        <f t="shared" si="166"/>
        <v>0</v>
      </c>
      <c r="BC23" s="2026">
        <f t="shared" si="167"/>
        <v>0</v>
      </c>
      <c r="BD23" s="2026">
        <f t="shared" si="168"/>
        <v>0</v>
      </c>
      <c r="BE23" s="2026">
        <f t="shared" si="169"/>
        <v>0</v>
      </c>
      <c r="BF23" s="2026">
        <f t="shared" si="170"/>
        <v>0</v>
      </c>
      <c r="BG23" s="2026">
        <f t="shared" si="171"/>
        <v>0</v>
      </c>
      <c r="BH23" s="2026">
        <f t="shared" si="172"/>
        <v>0</v>
      </c>
      <c r="BI23" s="2026">
        <f t="shared" si="173"/>
        <v>0</v>
      </c>
      <c r="BJ23" s="2026">
        <f t="shared" si="174"/>
        <v>0</v>
      </c>
      <c r="BK23" s="2027"/>
      <c r="BL23" s="2026">
        <f t="shared" si="175"/>
        <v>0</v>
      </c>
      <c r="BM23" s="2026">
        <f t="shared" si="176"/>
        <v>0</v>
      </c>
      <c r="BN23" s="2026">
        <f t="shared" si="4"/>
        <v>0</v>
      </c>
      <c r="BO23" s="2026">
        <f t="shared" si="5"/>
        <v>0</v>
      </c>
      <c r="BP23" s="2026">
        <f t="shared" si="6"/>
        <v>0</v>
      </c>
      <c r="BQ23" s="2026">
        <f t="shared" si="7"/>
        <v>0</v>
      </c>
      <c r="BR23" s="2026">
        <f t="shared" si="8"/>
        <v>0</v>
      </c>
      <c r="BS23" s="2026">
        <f t="shared" si="177"/>
        <v>0</v>
      </c>
      <c r="BT23" s="2026">
        <f t="shared" si="9"/>
        <v>0</v>
      </c>
      <c r="BU23" s="2026">
        <f t="shared" si="10"/>
        <v>0</v>
      </c>
      <c r="BV23" s="2028"/>
      <c r="BW23" s="2029">
        <f t="shared" si="11"/>
        <v>0</v>
      </c>
      <c r="BX23" s="2029">
        <f t="shared" si="178"/>
        <v>0</v>
      </c>
      <c r="BY23" s="2029">
        <f t="shared" si="179"/>
        <v>0</v>
      </c>
      <c r="BZ23" s="2060"/>
      <c r="CA23" s="2030">
        <f t="shared" si="12"/>
        <v>0</v>
      </c>
      <c r="CB23" s="2030">
        <f t="shared" si="13"/>
        <v>0</v>
      </c>
      <c r="CC23" s="2030">
        <f t="shared" si="14"/>
        <v>0</v>
      </c>
      <c r="CD23" s="2031">
        <f t="shared" si="15"/>
        <v>0</v>
      </c>
      <c r="CE23" s="2031">
        <f t="shared" si="16"/>
        <v>0</v>
      </c>
      <c r="CF23" s="2031">
        <f t="shared" si="180"/>
        <v>0</v>
      </c>
      <c r="CG23" s="2030">
        <f t="shared" si="17"/>
        <v>0</v>
      </c>
      <c r="CH23" s="2032">
        <f t="shared" si="18"/>
        <v>0</v>
      </c>
      <c r="CI23" s="2032">
        <f t="shared" si="19"/>
        <v>0</v>
      </c>
      <c r="CJ23" s="2032">
        <f t="shared" si="181"/>
        <v>0</v>
      </c>
      <c r="CK23" s="2030">
        <f t="shared" si="20"/>
        <v>0</v>
      </c>
      <c r="CL23" s="2033">
        <f t="shared" si="21"/>
        <v>0</v>
      </c>
      <c r="CM23" s="2032">
        <f t="shared" si="22"/>
        <v>0</v>
      </c>
      <c r="CN23" s="2033">
        <f t="shared" si="23"/>
        <v>0</v>
      </c>
      <c r="CO23" s="2033">
        <f t="shared" si="182"/>
        <v>0</v>
      </c>
      <c r="CP23" s="2030">
        <f t="shared" si="24"/>
        <v>0</v>
      </c>
      <c r="CQ23" s="2030">
        <f t="shared" si="25"/>
        <v>0</v>
      </c>
      <c r="CR23" s="2030">
        <f t="shared" si="26"/>
        <v>0</v>
      </c>
      <c r="CS23" s="2030">
        <f t="shared" si="27"/>
        <v>0</v>
      </c>
      <c r="CT23" s="2035">
        <f t="shared" si="28"/>
        <v>0</v>
      </c>
      <c r="CU23" s="2036">
        <f t="shared" si="183"/>
        <v>0</v>
      </c>
      <c r="CV23" s="2036">
        <f t="shared" si="184"/>
        <v>0</v>
      </c>
      <c r="CW23" s="2036">
        <f t="shared" si="185"/>
        <v>0</v>
      </c>
      <c r="CY23" s="2068" t="s">
        <v>840</v>
      </c>
      <c r="CZ23" s="2069">
        <v>12</v>
      </c>
      <c r="DA23" s="2066">
        <f t="shared" ref="DA23:DA29" si="206">1000*CZ23*$V$31/100</f>
        <v>0</v>
      </c>
      <c r="DB23" s="2061">
        <v>5.4</v>
      </c>
      <c r="DC23" s="2066" t="s">
        <v>1156</v>
      </c>
      <c r="DL23" s="10">
        <f t="shared" si="186"/>
        <v>0</v>
      </c>
      <c r="DM23" s="10">
        <f t="shared" si="29"/>
        <v>0</v>
      </c>
      <c r="DN23" s="2027" t="e">
        <f>DL23/Betrieb!$E$23</f>
        <v>#DIV/0!</v>
      </c>
      <c r="DO23" s="2027" t="e">
        <f>DM23/Betrieb!$E$24</f>
        <v>#DIV/0!</v>
      </c>
      <c r="DP23" s="2041">
        <f>(Betrieb!$E$21*Betrieb!$H$21)+(Betrieb!$E$23*Betrieb!$H$23)</f>
        <v>0</v>
      </c>
      <c r="DQ23" s="2025">
        <f>(Betrieb!$E$22*Betrieb!$H$22)+(Betrieb!$E$24*Betrieb!$H$24)</f>
        <v>0</v>
      </c>
      <c r="DR23" s="2041">
        <f t="shared" si="187"/>
        <v>0</v>
      </c>
      <c r="DS23" s="2025">
        <f t="shared" si="188"/>
        <v>0</v>
      </c>
      <c r="DT23" s="2042">
        <f t="shared" si="189"/>
        <v>0</v>
      </c>
      <c r="DU23" s="2043">
        <f t="shared" si="203"/>
        <v>0</v>
      </c>
      <c r="DV23" s="2043">
        <f t="shared" si="190"/>
        <v>0</v>
      </c>
      <c r="DW23" s="2043">
        <f t="shared" si="204"/>
        <v>0</v>
      </c>
      <c r="DZ23" s="2044">
        <f t="shared" si="191"/>
        <v>0</v>
      </c>
      <c r="EA23" s="1874">
        <f t="shared" si="30"/>
        <v>0</v>
      </c>
      <c r="EB23" s="1874">
        <f t="shared" si="31"/>
        <v>0</v>
      </c>
      <c r="EC23" s="1874">
        <f t="shared" si="32"/>
        <v>0</v>
      </c>
      <c r="ED23" s="1874">
        <f t="shared" si="33"/>
        <v>0</v>
      </c>
      <c r="EE23" s="1874">
        <f t="shared" si="34"/>
        <v>0</v>
      </c>
      <c r="EF23" s="1874">
        <f t="shared" si="35"/>
        <v>0</v>
      </c>
      <c r="EH23" s="2044">
        <f t="shared" si="192"/>
        <v>0</v>
      </c>
      <c r="EI23" s="2025">
        <f t="shared" si="36"/>
        <v>0</v>
      </c>
      <c r="EJ23" s="2025">
        <f t="shared" si="37"/>
        <v>0</v>
      </c>
      <c r="EK23" s="2025">
        <f t="shared" si="38"/>
        <v>0</v>
      </c>
      <c r="EL23" s="2025">
        <f t="shared" si="39"/>
        <v>0</v>
      </c>
      <c r="EM23" s="2025">
        <f t="shared" si="40"/>
        <v>0</v>
      </c>
      <c r="EN23" s="2025">
        <f t="shared" si="41"/>
        <v>0</v>
      </c>
      <c r="EP23" s="2045">
        <f t="shared" si="42"/>
        <v>0</v>
      </c>
      <c r="EQ23" s="2042">
        <f t="shared" si="193"/>
        <v>0</v>
      </c>
      <c r="ER23" s="2042">
        <f t="shared" si="43"/>
        <v>0</v>
      </c>
      <c r="ES23" s="2042">
        <f t="shared" si="44"/>
        <v>0</v>
      </c>
      <c r="ET23" s="2042">
        <f t="shared" si="45"/>
        <v>0</v>
      </c>
      <c r="EU23" s="2042">
        <f t="shared" si="46"/>
        <v>0</v>
      </c>
      <c r="EV23" s="2042">
        <f t="shared" si="47"/>
        <v>0</v>
      </c>
      <c r="EW23" s="2042">
        <f t="shared" si="48"/>
        <v>0</v>
      </c>
      <c r="EX23" s="2042">
        <f t="shared" si="49"/>
        <v>0</v>
      </c>
      <c r="EY23" s="2042">
        <f t="shared" si="50"/>
        <v>0</v>
      </c>
      <c r="EZ23" s="2042">
        <f t="shared" si="51"/>
        <v>0</v>
      </c>
      <c r="FA23" s="2042">
        <f t="shared" si="52"/>
        <v>0</v>
      </c>
      <c r="FB23" s="2042">
        <f t="shared" si="53"/>
        <v>0</v>
      </c>
      <c r="FC23" s="2042">
        <f t="shared" si="54"/>
        <v>0</v>
      </c>
      <c r="FD23" s="2046">
        <f t="shared" si="194"/>
        <v>0</v>
      </c>
      <c r="FE23" s="2042">
        <f t="shared" si="55"/>
        <v>0</v>
      </c>
      <c r="FF23" s="2042">
        <f t="shared" si="56"/>
        <v>0</v>
      </c>
      <c r="FG23" s="2042">
        <f t="shared" si="57"/>
        <v>0</v>
      </c>
      <c r="FH23" s="2042">
        <f t="shared" si="58"/>
        <v>0</v>
      </c>
      <c r="FI23" s="2042">
        <f t="shared" si="59"/>
        <v>0</v>
      </c>
      <c r="FJ23" s="2042">
        <f t="shared" si="195"/>
        <v>0</v>
      </c>
      <c r="FK23" s="2042">
        <f t="shared" si="60"/>
        <v>0</v>
      </c>
      <c r="FL23" s="2042">
        <f t="shared" si="61"/>
        <v>0</v>
      </c>
      <c r="FM23" s="2042">
        <f t="shared" si="62"/>
        <v>0</v>
      </c>
      <c r="FN23" s="2042">
        <f t="shared" si="63"/>
        <v>0</v>
      </c>
      <c r="FO23" s="2042">
        <f t="shared" si="64"/>
        <v>0</v>
      </c>
      <c r="FP23" s="2042">
        <f t="shared" si="65"/>
        <v>0</v>
      </c>
      <c r="FQ23" s="2047">
        <f t="shared" si="196"/>
        <v>0</v>
      </c>
      <c r="FR23" s="2042">
        <f t="shared" si="66"/>
        <v>0</v>
      </c>
      <c r="FS23" s="2042">
        <f t="shared" si="67"/>
        <v>0</v>
      </c>
      <c r="FT23" s="2042">
        <f t="shared" si="68"/>
        <v>0</v>
      </c>
      <c r="FU23" s="2042">
        <f t="shared" si="69"/>
        <v>0</v>
      </c>
      <c r="FV23" s="2042">
        <f t="shared" si="70"/>
        <v>0</v>
      </c>
      <c r="FW23" s="2042">
        <f t="shared" si="71"/>
        <v>0</v>
      </c>
      <c r="FX23" s="2042">
        <f t="shared" si="72"/>
        <v>0</v>
      </c>
      <c r="FY23" s="2042">
        <f t="shared" si="73"/>
        <v>0</v>
      </c>
      <c r="FZ23" s="2042">
        <f t="shared" si="74"/>
        <v>0</v>
      </c>
      <c r="GA23" s="2042">
        <f t="shared" si="75"/>
        <v>0</v>
      </c>
      <c r="GB23" s="2042">
        <f t="shared" si="76"/>
        <v>0</v>
      </c>
      <c r="GC23" s="2042">
        <f t="shared" si="77"/>
        <v>0</v>
      </c>
      <c r="GD23" s="2042">
        <f t="shared" si="78"/>
        <v>0</v>
      </c>
      <c r="GE23" s="2042">
        <f t="shared" si="79"/>
        <v>0</v>
      </c>
      <c r="GF23" s="2042">
        <f t="shared" si="80"/>
        <v>0</v>
      </c>
      <c r="GG23" s="2042">
        <f t="shared" si="81"/>
        <v>0</v>
      </c>
      <c r="GH23" s="2042">
        <f t="shared" si="82"/>
        <v>0</v>
      </c>
      <c r="GI23" s="2042">
        <f t="shared" si="83"/>
        <v>0</v>
      </c>
      <c r="GJ23" s="2042">
        <f t="shared" si="84"/>
        <v>0</v>
      </c>
      <c r="GK23" s="2042">
        <f t="shared" si="85"/>
        <v>0</v>
      </c>
      <c r="GL23" s="2042">
        <f t="shared" si="86"/>
        <v>0</v>
      </c>
      <c r="GM23" s="2042">
        <f t="shared" si="87"/>
        <v>0</v>
      </c>
      <c r="GN23" s="2042">
        <f t="shared" si="88"/>
        <v>0</v>
      </c>
      <c r="GO23" s="2042">
        <f t="shared" si="89"/>
        <v>0</v>
      </c>
      <c r="GP23" s="2047">
        <f t="shared" si="197"/>
        <v>0</v>
      </c>
      <c r="GQ23" s="2042">
        <f t="shared" si="90"/>
        <v>0</v>
      </c>
      <c r="GR23" s="2042">
        <f t="shared" si="91"/>
        <v>0</v>
      </c>
      <c r="GS23" s="2042">
        <f t="shared" si="92"/>
        <v>0</v>
      </c>
      <c r="GT23" s="2042">
        <f t="shared" si="93"/>
        <v>0</v>
      </c>
      <c r="GU23" s="2042">
        <f t="shared" si="94"/>
        <v>0</v>
      </c>
      <c r="GV23" s="2042">
        <f t="shared" si="95"/>
        <v>0</v>
      </c>
      <c r="GW23" s="2042">
        <f t="shared" si="96"/>
        <v>0</v>
      </c>
      <c r="GX23" s="2042">
        <f t="shared" si="97"/>
        <v>0</v>
      </c>
      <c r="GY23" s="2042">
        <f t="shared" si="98"/>
        <v>0</v>
      </c>
      <c r="GZ23" s="2042">
        <f t="shared" si="99"/>
        <v>0</v>
      </c>
      <c r="HA23" s="2042">
        <f t="shared" si="100"/>
        <v>0</v>
      </c>
      <c r="HB23" s="2042">
        <f t="shared" si="101"/>
        <v>0</v>
      </c>
      <c r="HC23" s="2047">
        <f t="shared" si="198"/>
        <v>0</v>
      </c>
      <c r="HD23" s="2042">
        <f t="shared" si="102"/>
        <v>0</v>
      </c>
      <c r="HE23" s="2042">
        <f t="shared" si="103"/>
        <v>0</v>
      </c>
      <c r="HF23" s="2042">
        <f t="shared" si="104"/>
        <v>0</v>
      </c>
      <c r="HG23" s="2042">
        <f t="shared" si="105"/>
        <v>0</v>
      </c>
      <c r="HH23" s="2042">
        <f t="shared" si="106"/>
        <v>0</v>
      </c>
      <c r="HI23" s="2042">
        <f t="shared" si="107"/>
        <v>0</v>
      </c>
      <c r="HJ23" s="2042">
        <f t="shared" si="108"/>
        <v>0</v>
      </c>
      <c r="HK23" s="2042">
        <f t="shared" si="109"/>
        <v>0</v>
      </c>
      <c r="HL23" s="2042">
        <f t="shared" si="110"/>
        <v>0</v>
      </c>
      <c r="HM23" s="2042">
        <f t="shared" si="111"/>
        <v>0</v>
      </c>
      <c r="HN23" s="2042">
        <f t="shared" si="112"/>
        <v>0</v>
      </c>
      <c r="HO23" s="2042">
        <f t="shared" si="113"/>
        <v>0</v>
      </c>
      <c r="HP23" s="2047">
        <f t="shared" si="199"/>
        <v>0</v>
      </c>
      <c r="HQ23" s="2042">
        <f t="shared" si="114"/>
        <v>0</v>
      </c>
      <c r="HR23" s="2042">
        <f t="shared" si="115"/>
        <v>0</v>
      </c>
      <c r="HS23" s="2042">
        <f t="shared" si="116"/>
        <v>0</v>
      </c>
      <c r="HT23" s="2042">
        <f t="shared" si="117"/>
        <v>0</v>
      </c>
      <c r="HU23" s="2042">
        <f t="shared" si="118"/>
        <v>0</v>
      </c>
      <c r="HV23" s="2042">
        <f t="shared" si="119"/>
        <v>0</v>
      </c>
      <c r="HW23" s="2042">
        <f t="shared" si="120"/>
        <v>0</v>
      </c>
      <c r="HX23" s="2042">
        <f t="shared" si="121"/>
        <v>0</v>
      </c>
      <c r="HY23" s="2042">
        <f t="shared" si="122"/>
        <v>0</v>
      </c>
      <c r="HZ23" s="2042">
        <f t="shared" si="123"/>
        <v>0</v>
      </c>
      <c r="IA23" s="2042">
        <f t="shared" si="124"/>
        <v>0</v>
      </c>
      <c r="IB23" s="2042">
        <f t="shared" si="125"/>
        <v>0</v>
      </c>
      <c r="IC23" s="2047">
        <f t="shared" si="200"/>
        <v>0</v>
      </c>
      <c r="IE23" s="2044">
        <f t="shared" si="201"/>
        <v>0</v>
      </c>
      <c r="IF23" s="2025">
        <f t="shared" si="126"/>
        <v>0</v>
      </c>
      <c r="IG23" s="2025">
        <f t="shared" si="127"/>
        <v>0</v>
      </c>
      <c r="IH23" s="2025">
        <f t="shared" si="128"/>
        <v>0</v>
      </c>
      <c r="II23" s="2025">
        <f t="shared" si="129"/>
        <v>0</v>
      </c>
      <c r="IJ23" s="2025">
        <f t="shared" si="130"/>
        <v>0</v>
      </c>
      <c r="IK23" s="2025">
        <f t="shared" si="131"/>
        <v>0</v>
      </c>
      <c r="IL23" s="2025">
        <f t="shared" si="132"/>
        <v>0</v>
      </c>
      <c r="IM23" s="2025">
        <f t="shared" si="133"/>
        <v>0</v>
      </c>
      <c r="IN23" s="2025">
        <f t="shared" si="134"/>
        <v>0</v>
      </c>
      <c r="IO23" s="2025">
        <f t="shared" si="135"/>
        <v>0</v>
      </c>
      <c r="IP23" s="2025">
        <f t="shared" si="136"/>
        <v>0</v>
      </c>
      <c r="IQ23" s="2025">
        <f t="shared" si="137"/>
        <v>0</v>
      </c>
      <c r="IS23" s="2044">
        <f t="shared" si="202"/>
        <v>0</v>
      </c>
      <c r="IT23" s="2025">
        <f t="shared" si="138"/>
        <v>0</v>
      </c>
      <c r="IU23" s="2025">
        <f t="shared" si="139"/>
        <v>0</v>
      </c>
      <c r="IV23" s="2025">
        <f t="shared" si="140"/>
        <v>0</v>
      </c>
      <c r="IW23" s="2025">
        <f t="shared" si="141"/>
        <v>0</v>
      </c>
      <c r="IX23" s="2025">
        <f t="shared" si="142"/>
        <v>0</v>
      </c>
      <c r="IY23" s="2025">
        <f t="shared" si="143"/>
        <v>0</v>
      </c>
      <c r="IZ23" s="2025">
        <f t="shared" si="144"/>
        <v>0</v>
      </c>
      <c r="JA23" s="2025">
        <f t="shared" si="145"/>
        <v>0</v>
      </c>
      <c r="JB23" s="2025">
        <f t="shared" si="146"/>
        <v>0</v>
      </c>
      <c r="JC23" s="2025">
        <f t="shared" si="147"/>
        <v>0</v>
      </c>
      <c r="JD23" s="2025">
        <f t="shared" si="148"/>
        <v>0</v>
      </c>
      <c r="JE23" s="2025">
        <f t="shared" si="149"/>
        <v>0</v>
      </c>
    </row>
    <row r="24" spans="1:265" ht="18" customHeight="1">
      <c r="A24" s="1319"/>
      <c r="B24" s="2023">
        <v>20</v>
      </c>
      <c r="C24" s="1105" t="s">
        <v>34</v>
      </c>
      <c r="D24" s="2130"/>
      <c r="E24" s="739"/>
      <c r="F24" s="1544"/>
      <c r="G24" s="1320"/>
      <c r="H24" s="1321">
        <f t="shared" si="0"/>
        <v>0</v>
      </c>
      <c r="I24" s="1321">
        <f t="shared" si="150"/>
        <v>0</v>
      </c>
      <c r="J24" s="1321">
        <f t="shared" si="1"/>
        <v>0</v>
      </c>
      <c r="K24" s="1321">
        <f t="shared" si="2"/>
        <v>0</v>
      </c>
      <c r="L24" s="1322">
        <f>Summen_GL!F91</f>
        <v>0</v>
      </c>
      <c r="M24" s="1323">
        <f t="shared" si="151"/>
        <v>0</v>
      </c>
      <c r="N24" s="2024"/>
      <c r="O24" s="1321">
        <f t="shared" si="205"/>
        <v>0</v>
      </c>
      <c r="P24" s="1321">
        <f t="shared" si="3"/>
        <v>0</v>
      </c>
      <c r="Q24" s="2024"/>
      <c r="R24" s="1470"/>
      <c r="S24" s="1471"/>
      <c r="T24" s="1470"/>
      <c r="U24" s="1471"/>
      <c r="V24" s="1470"/>
      <c r="W24" s="1471"/>
      <c r="X24" s="1470"/>
      <c r="Y24" s="1471"/>
      <c r="Z24" s="1470"/>
      <c r="AA24" s="1471"/>
      <c r="AB24" s="1470"/>
      <c r="AC24" s="1551"/>
      <c r="AD24" s="844"/>
      <c r="AE24" s="1319"/>
      <c r="AF24" s="876"/>
      <c r="AG24" s="844"/>
      <c r="AH24" s="1563"/>
      <c r="AI24" s="2132"/>
      <c r="AJ24" s="1319"/>
      <c r="AK24" s="1593">
        <f t="shared" si="152"/>
        <v>0</v>
      </c>
      <c r="AL24" s="1594">
        <f t="shared" si="153"/>
        <v>0</v>
      </c>
      <c r="AM24" s="1319"/>
      <c r="AN24" s="1319"/>
      <c r="AP24" s="1860">
        <f t="shared" si="154"/>
        <v>0</v>
      </c>
      <c r="AQ24" s="1860">
        <f t="shared" si="155"/>
        <v>0</v>
      </c>
      <c r="AR24" s="1860">
        <f t="shared" si="156"/>
        <v>0</v>
      </c>
      <c r="AS24" s="1860">
        <f t="shared" si="157"/>
        <v>0</v>
      </c>
      <c r="AT24" s="1860">
        <f t="shared" si="158"/>
        <v>0</v>
      </c>
      <c r="AU24" s="1860">
        <f t="shared" si="159"/>
        <v>0</v>
      </c>
      <c r="AV24" s="1860">
        <f t="shared" si="160"/>
        <v>0</v>
      </c>
      <c r="AW24" s="1860">
        <f t="shared" si="161"/>
        <v>0</v>
      </c>
      <c r="AX24" s="1860">
        <f t="shared" si="162"/>
        <v>0</v>
      </c>
      <c r="AY24" s="1860">
        <f t="shared" si="163"/>
        <v>0</v>
      </c>
      <c r="AZ24" s="1860">
        <f t="shared" si="164"/>
        <v>0</v>
      </c>
      <c r="BA24" s="2026">
        <f t="shared" si="165"/>
        <v>0</v>
      </c>
      <c r="BB24" s="2026">
        <f t="shared" si="166"/>
        <v>0</v>
      </c>
      <c r="BC24" s="2026">
        <f t="shared" si="167"/>
        <v>0</v>
      </c>
      <c r="BD24" s="2026">
        <f t="shared" si="168"/>
        <v>0</v>
      </c>
      <c r="BE24" s="2026">
        <f t="shared" si="169"/>
        <v>0</v>
      </c>
      <c r="BF24" s="2026">
        <f t="shared" si="170"/>
        <v>0</v>
      </c>
      <c r="BG24" s="2026">
        <f t="shared" si="171"/>
        <v>0</v>
      </c>
      <c r="BH24" s="2026">
        <f t="shared" si="172"/>
        <v>0</v>
      </c>
      <c r="BI24" s="2026">
        <f t="shared" si="173"/>
        <v>0</v>
      </c>
      <c r="BJ24" s="2026">
        <f t="shared" si="174"/>
        <v>0</v>
      </c>
      <c r="BK24" s="2027"/>
      <c r="BL24" s="2026">
        <f t="shared" si="175"/>
        <v>0</v>
      </c>
      <c r="BM24" s="2026">
        <f t="shared" si="176"/>
        <v>0</v>
      </c>
      <c r="BN24" s="2026">
        <f t="shared" si="4"/>
        <v>0</v>
      </c>
      <c r="BO24" s="2026">
        <f t="shared" si="5"/>
        <v>0</v>
      </c>
      <c r="BP24" s="2026">
        <f t="shared" si="6"/>
        <v>0</v>
      </c>
      <c r="BQ24" s="2026">
        <f t="shared" si="7"/>
        <v>0</v>
      </c>
      <c r="BR24" s="2026">
        <f t="shared" si="8"/>
        <v>0</v>
      </c>
      <c r="BS24" s="2026">
        <f t="shared" si="177"/>
        <v>0</v>
      </c>
      <c r="BT24" s="2026">
        <f t="shared" si="9"/>
        <v>0</v>
      </c>
      <c r="BU24" s="2026">
        <f t="shared" si="10"/>
        <v>0</v>
      </c>
      <c r="BV24" s="2028"/>
      <c r="BW24" s="2029">
        <f t="shared" si="11"/>
        <v>0</v>
      </c>
      <c r="BX24" s="2029">
        <f t="shared" si="178"/>
        <v>0</v>
      </c>
      <c r="BY24" s="2029">
        <f t="shared" si="179"/>
        <v>0</v>
      </c>
      <c r="BZ24" s="2060"/>
      <c r="CA24" s="2030">
        <f t="shared" si="12"/>
        <v>0</v>
      </c>
      <c r="CB24" s="2030">
        <f t="shared" si="13"/>
        <v>0</v>
      </c>
      <c r="CC24" s="2030">
        <f t="shared" si="14"/>
        <v>0</v>
      </c>
      <c r="CD24" s="2031">
        <f t="shared" si="15"/>
        <v>0</v>
      </c>
      <c r="CE24" s="2031">
        <f t="shared" si="16"/>
        <v>0</v>
      </c>
      <c r="CF24" s="2031">
        <f t="shared" si="180"/>
        <v>0</v>
      </c>
      <c r="CG24" s="2030">
        <f t="shared" si="17"/>
        <v>0</v>
      </c>
      <c r="CH24" s="2032">
        <f t="shared" si="18"/>
        <v>0</v>
      </c>
      <c r="CI24" s="2032">
        <f t="shared" si="19"/>
        <v>0</v>
      </c>
      <c r="CJ24" s="2032">
        <f t="shared" si="181"/>
        <v>0</v>
      </c>
      <c r="CK24" s="2030">
        <f t="shared" si="20"/>
        <v>0</v>
      </c>
      <c r="CL24" s="2033">
        <f t="shared" si="21"/>
        <v>0</v>
      </c>
      <c r="CM24" s="2032">
        <f t="shared" si="22"/>
        <v>0</v>
      </c>
      <c r="CN24" s="2033">
        <f t="shared" si="23"/>
        <v>0</v>
      </c>
      <c r="CO24" s="2033">
        <f t="shared" si="182"/>
        <v>0</v>
      </c>
      <c r="CP24" s="2030">
        <f t="shared" si="24"/>
        <v>0</v>
      </c>
      <c r="CQ24" s="2030">
        <f t="shared" si="25"/>
        <v>0</v>
      </c>
      <c r="CR24" s="2030">
        <f t="shared" si="26"/>
        <v>0</v>
      </c>
      <c r="CS24" s="2030">
        <f t="shared" si="27"/>
        <v>0</v>
      </c>
      <c r="CT24" s="2035">
        <f t="shared" si="28"/>
        <v>0</v>
      </c>
      <c r="CU24" s="2036">
        <f t="shared" si="183"/>
        <v>0</v>
      </c>
      <c r="CV24" s="2036">
        <f t="shared" si="184"/>
        <v>0</v>
      </c>
      <c r="CW24" s="2036">
        <f t="shared" si="185"/>
        <v>0</v>
      </c>
      <c r="CY24" s="2064" t="s">
        <v>839</v>
      </c>
      <c r="CZ24" s="2065">
        <v>13</v>
      </c>
      <c r="DA24" s="2066">
        <f t="shared" si="206"/>
        <v>0</v>
      </c>
      <c r="DB24" s="2066">
        <v>5.5</v>
      </c>
      <c r="DC24" s="2067" t="s">
        <v>1156</v>
      </c>
      <c r="DL24" s="10">
        <f t="shared" si="186"/>
        <v>0</v>
      </c>
      <c r="DM24" s="10">
        <f t="shared" si="29"/>
        <v>0</v>
      </c>
      <c r="DN24" s="2027" t="e">
        <f>DL24/Betrieb!$E$23</f>
        <v>#DIV/0!</v>
      </c>
      <c r="DO24" s="2027" t="e">
        <f>DM24/Betrieb!$E$24</f>
        <v>#DIV/0!</v>
      </c>
      <c r="DP24" s="2041">
        <f>(Betrieb!$E$21*Betrieb!$H$21)+(Betrieb!$E$23*Betrieb!$H$23)</f>
        <v>0</v>
      </c>
      <c r="DQ24" s="2025">
        <f>(Betrieb!$E$22*Betrieb!$H$22)+(Betrieb!$E$24*Betrieb!$H$24)</f>
        <v>0</v>
      </c>
      <c r="DR24" s="2041">
        <f t="shared" si="187"/>
        <v>0</v>
      </c>
      <c r="DS24" s="2025">
        <f t="shared" si="188"/>
        <v>0</v>
      </c>
      <c r="DT24" s="2042">
        <f t="shared" si="189"/>
        <v>0</v>
      </c>
      <c r="DU24" s="2043">
        <f t="shared" si="203"/>
        <v>0</v>
      </c>
      <c r="DV24" s="2043">
        <f t="shared" si="190"/>
        <v>0</v>
      </c>
      <c r="DW24" s="2043">
        <f t="shared" si="204"/>
        <v>0</v>
      </c>
      <c r="DZ24" s="2044">
        <f t="shared" si="191"/>
        <v>0</v>
      </c>
      <c r="EA24" s="1874">
        <f t="shared" si="30"/>
        <v>0</v>
      </c>
      <c r="EB24" s="1874">
        <f t="shared" si="31"/>
        <v>0</v>
      </c>
      <c r="EC24" s="1874">
        <f t="shared" si="32"/>
        <v>0</v>
      </c>
      <c r="ED24" s="1874">
        <f t="shared" si="33"/>
        <v>0</v>
      </c>
      <c r="EE24" s="1874">
        <f t="shared" si="34"/>
        <v>0</v>
      </c>
      <c r="EF24" s="1874">
        <f t="shared" si="35"/>
        <v>0</v>
      </c>
      <c r="EH24" s="2044">
        <f t="shared" si="192"/>
        <v>0</v>
      </c>
      <c r="EI24" s="2025">
        <f t="shared" si="36"/>
        <v>0</v>
      </c>
      <c r="EJ24" s="2025">
        <f t="shared" si="37"/>
        <v>0</v>
      </c>
      <c r="EK24" s="2025">
        <f t="shared" si="38"/>
        <v>0</v>
      </c>
      <c r="EL24" s="2025">
        <f t="shared" si="39"/>
        <v>0</v>
      </c>
      <c r="EM24" s="2025">
        <f t="shared" si="40"/>
        <v>0</v>
      </c>
      <c r="EN24" s="2025">
        <f t="shared" si="41"/>
        <v>0</v>
      </c>
      <c r="EP24" s="2045">
        <f t="shared" si="42"/>
        <v>0</v>
      </c>
      <c r="EQ24" s="2042">
        <f t="shared" si="193"/>
        <v>0</v>
      </c>
      <c r="ER24" s="2042">
        <f t="shared" si="43"/>
        <v>0</v>
      </c>
      <c r="ES24" s="2042">
        <f t="shared" si="44"/>
        <v>0</v>
      </c>
      <c r="ET24" s="2042">
        <f t="shared" si="45"/>
        <v>0</v>
      </c>
      <c r="EU24" s="2042">
        <f t="shared" si="46"/>
        <v>0</v>
      </c>
      <c r="EV24" s="2042">
        <f t="shared" si="47"/>
        <v>0</v>
      </c>
      <c r="EW24" s="2042">
        <f t="shared" si="48"/>
        <v>0</v>
      </c>
      <c r="EX24" s="2042">
        <f t="shared" si="49"/>
        <v>0</v>
      </c>
      <c r="EY24" s="2042">
        <f t="shared" si="50"/>
        <v>0</v>
      </c>
      <c r="EZ24" s="2042">
        <f t="shared" si="51"/>
        <v>0</v>
      </c>
      <c r="FA24" s="2042">
        <f t="shared" si="52"/>
        <v>0</v>
      </c>
      <c r="FB24" s="2042">
        <f t="shared" si="53"/>
        <v>0</v>
      </c>
      <c r="FC24" s="2042">
        <f t="shared" si="54"/>
        <v>0</v>
      </c>
      <c r="FD24" s="2046">
        <f t="shared" si="194"/>
        <v>0</v>
      </c>
      <c r="FE24" s="2042">
        <f t="shared" si="55"/>
        <v>0</v>
      </c>
      <c r="FF24" s="2042">
        <f t="shared" si="56"/>
        <v>0</v>
      </c>
      <c r="FG24" s="2042">
        <f t="shared" si="57"/>
        <v>0</v>
      </c>
      <c r="FH24" s="2042">
        <f t="shared" si="58"/>
        <v>0</v>
      </c>
      <c r="FI24" s="2042">
        <f t="shared" si="59"/>
        <v>0</v>
      </c>
      <c r="FJ24" s="2042">
        <f t="shared" si="195"/>
        <v>0</v>
      </c>
      <c r="FK24" s="2042">
        <f t="shared" si="60"/>
        <v>0</v>
      </c>
      <c r="FL24" s="2042">
        <f t="shared" si="61"/>
        <v>0</v>
      </c>
      <c r="FM24" s="2042">
        <f t="shared" si="62"/>
        <v>0</v>
      </c>
      <c r="FN24" s="2042">
        <f t="shared" si="63"/>
        <v>0</v>
      </c>
      <c r="FO24" s="2042">
        <f t="shared" si="64"/>
        <v>0</v>
      </c>
      <c r="FP24" s="2042">
        <f t="shared" si="65"/>
        <v>0</v>
      </c>
      <c r="FQ24" s="2047">
        <f t="shared" si="196"/>
        <v>0</v>
      </c>
      <c r="FR24" s="2042">
        <f t="shared" si="66"/>
        <v>0</v>
      </c>
      <c r="FS24" s="2042">
        <f t="shared" si="67"/>
        <v>0</v>
      </c>
      <c r="FT24" s="2042">
        <f t="shared" si="68"/>
        <v>0</v>
      </c>
      <c r="FU24" s="2042">
        <f t="shared" si="69"/>
        <v>0</v>
      </c>
      <c r="FV24" s="2042">
        <f t="shared" si="70"/>
        <v>0</v>
      </c>
      <c r="FW24" s="2042">
        <f t="shared" si="71"/>
        <v>0</v>
      </c>
      <c r="FX24" s="2042">
        <f t="shared" si="72"/>
        <v>0</v>
      </c>
      <c r="FY24" s="2042">
        <f t="shared" si="73"/>
        <v>0</v>
      </c>
      <c r="FZ24" s="2042">
        <f t="shared" si="74"/>
        <v>0</v>
      </c>
      <c r="GA24" s="2042">
        <f t="shared" si="75"/>
        <v>0</v>
      </c>
      <c r="GB24" s="2042">
        <f t="shared" si="76"/>
        <v>0</v>
      </c>
      <c r="GC24" s="2042">
        <f t="shared" si="77"/>
        <v>0</v>
      </c>
      <c r="GD24" s="2042">
        <f t="shared" si="78"/>
        <v>0</v>
      </c>
      <c r="GE24" s="2042">
        <f t="shared" si="79"/>
        <v>0</v>
      </c>
      <c r="GF24" s="2042">
        <f t="shared" si="80"/>
        <v>0</v>
      </c>
      <c r="GG24" s="2042">
        <f t="shared" si="81"/>
        <v>0</v>
      </c>
      <c r="GH24" s="2042">
        <f t="shared" si="82"/>
        <v>0</v>
      </c>
      <c r="GI24" s="2042">
        <f t="shared" si="83"/>
        <v>0</v>
      </c>
      <c r="GJ24" s="2042">
        <f t="shared" si="84"/>
        <v>0</v>
      </c>
      <c r="GK24" s="2042">
        <f t="shared" si="85"/>
        <v>0</v>
      </c>
      <c r="GL24" s="2042">
        <f t="shared" si="86"/>
        <v>0</v>
      </c>
      <c r="GM24" s="2042">
        <f t="shared" si="87"/>
        <v>0</v>
      </c>
      <c r="GN24" s="2042">
        <f t="shared" si="88"/>
        <v>0</v>
      </c>
      <c r="GO24" s="2042">
        <f t="shared" si="89"/>
        <v>0</v>
      </c>
      <c r="GP24" s="2047">
        <f t="shared" si="197"/>
        <v>0</v>
      </c>
      <c r="GQ24" s="2042">
        <f t="shared" si="90"/>
        <v>0</v>
      </c>
      <c r="GR24" s="2042">
        <f t="shared" si="91"/>
        <v>0</v>
      </c>
      <c r="GS24" s="2042">
        <f t="shared" si="92"/>
        <v>0</v>
      </c>
      <c r="GT24" s="2042">
        <f t="shared" si="93"/>
        <v>0</v>
      </c>
      <c r="GU24" s="2042">
        <f t="shared" si="94"/>
        <v>0</v>
      </c>
      <c r="GV24" s="2042">
        <f t="shared" si="95"/>
        <v>0</v>
      </c>
      <c r="GW24" s="2042">
        <f t="shared" si="96"/>
        <v>0</v>
      </c>
      <c r="GX24" s="2042">
        <f t="shared" si="97"/>
        <v>0</v>
      </c>
      <c r="GY24" s="2042">
        <f t="shared" si="98"/>
        <v>0</v>
      </c>
      <c r="GZ24" s="2042">
        <f t="shared" si="99"/>
        <v>0</v>
      </c>
      <c r="HA24" s="2042">
        <f t="shared" si="100"/>
        <v>0</v>
      </c>
      <c r="HB24" s="2042">
        <f t="shared" si="101"/>
        <v>0</v>
      </c>
      <c r="HC24" s="2047">
        <f t="shared" si="198"/>
        <v>0</v>
      </c>
      <c r="HD24" s="2042">
        <f t="shared" si="102"/>
        <v>0</v>
      </c>
      <c r="HE24" s="2042">
        <f t="shared" si="103"/>
        <v>0</v>
      </c>
      <c r="HF24" s="2042">
        <f t="shared" si="104"/>
        <v>0</v>
      </c>
      <c r="HG24" s="2042">
        <f t="shared" si="105"/>
        <v>0</v>
      </c>
      <c r="HH24" s="2042">
        <f t="shared" si="106"/>
        <v>0</v>
      </c>
      <c r="HI24" s="2042">
        <f t="shared" si="107"/>
        <v>0</v>
      </c>
      <c r="HJ24" s="2042">
        <f t="shared" si="108"/>
        <v>0</v>
      </c>
      <c r="HK24" s="2042">
        <f t="shared" si="109"/>
        <v>0</v>
      </c>
      <c r="HL24" s="2042">
        <f t="shared" si="110"/>
        <v>0</v>
      </c>
      <c r="HM24" s="2042">
        <f t="shared" si="111"/>
        <v>0</v>
      </c>
      <c r="HN24" s="2042">
        <f t="shared" si="112"/>
        <v>0</v>
      </c>
      <c r="HO24" s="2042">
        <f t="shared" si="113"/>
        <v>0</v>
      </c>
      <c r="HP24" s="2047">
        <f t="shared" si="199"/>
        <v>0</v>
      </c>
      <c r="HQ24" s="2042">
        <f t="shared" si="114"/>
        <v>0</v>
      </c>
      <c r="HR24" s="2042">
        <f t="shared" si="115"/>
        <v>0</v>
      </c>
      <c r="HS24" s="2042">
        <f t="shared" si="116"/>
        <v>0</v>
      </c>
      <c r="HT24" s="2042">
        <f t="shared" si="117"/>
        <v>0</v>
      </c>
      <c r="HU24" s="2042">
        <f t="shared" si="118"/>
        <v>0</v>
      </c>
      <c r="HV24" s="2042">
        <f t="shared" si="119"/>
        <v>0</v>
      </c>
      <c r="HW24" s="2042">
        <f t="shared" si="120"/>
        <v>0</v>
      </c>
      <c r="HX24" s="2042">
        <f t="shared" si="121"/>
        <v>0</v>
      </c>
      <c r="HY24" s="2042">
        <f t="shared" si="122"/>
        <v>0</v>
      </c>
      <c r="HZ24" s="2042">
        <f t="shared" si="123"/>
        <v>0</v>
      </c>
      <c r="IA24" s="2042">
        <f t="shared" si="124"/>
        <v>0</v>
      </c>
      <c r="IB24" s="2042">
        <f t="shared" si="125"/>
        <v>0</v>
      </c>
      <c r="IC24" s="2047">
        <f t="shared" si="200"/>
        <v>0</v>
      </c>
      <c r="IE24" s="2044">
        <f t="shared" si="201"/>
        <v>0</v>
      </c>
      <c r="IF24" s="2025">
        <f t="shared" si="126"/>
        <v>0</v>
      </c>
      <c r="IG24" s="2025">
        <f t="shared" si="127"/>
        <v>0</v>
      </c>
      <c r="IH24" s="2025">
        <f t="shared" si="128"/>
        <v>0</v>
      </c>
      <c r="II24" s="2025">
        <f t="shared" si="129"/>
        <v>0</v>
      </c>
      <c r="IJ24" s="2025">
        <f t="shared" si="130"/>
        <v>0</v>
      </c>
      <c r="IK24" s="2025">
        <f t="shared" si="131"/>
        <v>0</v>
      </c>
      <c r="IL24" s="2025">
        <f t="shared" si="132"/>
        <v>0</v>
      </c>
      <c r="IM24" s="2025">
        <f t="shared" si="133"/>
        <v>0</v>
      </c>
      <c r="IN24" s="2025">
        <f t="shared" si="134"/>
        <v>0</v>
      </c>
      <c r="IO24" s="2025">
        <f t="shared" si="135"/>
        <v>0</v>
      </c>
      <c r="IP24" s="2025">
        <f t="shared" si="136"/>
        <v>0</v>
      </c>
      <c r="IQ24" s="2025">
        <f t="shared" si="137"/>
        <v>0</v>
      </c>
      <c r="IS24" s="2044">
        <f t="shared" si="202"/>
        <v>0</v>
      </c>
      <c r="IT24" s="2025">
        <f t="shared" si="138"/>
        <v>0</v>
      </c>
      <c r="IU24" s="2025">
        <f t="shared" si="139"/>
        <v>0</v>
      </c>
      <c r="IV24" s="2025">
        <f t="shared" si="140"/>
        <v>0</v>
      </c>
      <c r="IW24" s="2025">
        <f t="shared" si="141"/>
        <v>0</v>
      </c>
      <c r="IX24" s="2025">
        <f t="shared" si="142"/>
        <v>0</v>
      </c>
      <c r="IY24" s="2025">
        <f t="shared" si="143"/>
        <v>0</v>
      </c>
      <c r="IZ24" s="2025">
        <f t="shared" si="144"/>
        <v>0</v>
      </c>
      <c r="JA24" s="2025">
        <f t="shared" si="145"/>
        <v>0</v>
      </c>
      <c r="JB24" s="2025">
        <f t="shared" si="146"/>
        <v>0</v>
      </c>
      <c r="JC24" s="2025">
        <f t="shared" si="147"/>
        <v>0</v>
      </c>
      <c r="JD24" s="2025">
        <f t="shared" si="148"/>
        <v>0</v>
      </c>
      <c r="JE24" s="2025">
        <f t="shared" si="149"/>
        <v>0</v>
      </c>
    </row>
    <row r="25" spans="1:265" ht="18" customHeight="1">
      <c r="A25" s="1319"/>
      <c r="B25" s="2023">
        <v>21</v>
      </c>
      <c r="C25" s="1105" t="s">
        <v>34</v>
      </c>
      <c r="D25" s="2130"/>
      <c r="E25" s="739"/>
      <c r="F25" s="1544"/>
      <c r="G25" s="1320"/>
      <c r="H25" s="1321">
        <f t="shared" si="0"/>
        <v>0</v>
      </c>
      <c r="I25" s="1321">
        <f t="shared" si="150"/>
        <v>0</v>
      </c>
      <c r="J25" s="1321">
        <f t="shared" si="1"/>
        <v>0</v>
      </c>
      <c r="K25" s="1321">
        <f t="shared" si="2"/>
        <v>0</v>
      </c>
      <c r="L25" s="1322">
        <f>Summen_GL!F92</f>
        <v>0</v>
      </c>
      <c r="M25" s="1323">
        <f t="shared" si="151"/>
        <v>0</v>
      </c>
      <c r="N25" s="2070"/>
      <c r="O25" s="1321">
        <f t="shared" si="205"/>
        <v>0</v>
      </c>
      <c r="P25" s="1321">
        <f t="shared" si="3"/>
        <v>0</v>
      </c>
      <c r="Q25" s="2070"/>
      <c r="R25" s="1470"/>
      <c r="S25" s="1471"/>
      <c r="T25" s="1470"/>
      <c r="U25" s="1471"/>
      <c r="V25" s="1470"/>
      <c r="W25" s="1471"/>
      <c r="X25" s="1470"/>
      <c r="Y25" s="1471"/>
      <c r="Z25" s="1470"/>
      <c r="AA25" s="1471"/>
      <c r="AB25" s="1470"/>
      <c r="AC25" s="1551"/>
      <c r="AD25" s="844"/>
      <c r="AE25" s="1319"/>
      <c r="AF25" s="876"/>
      <c r="AG25" s="844"/>
      <c r="AH25" s="1563"/>
      <c r="AI25" s="2132"/>
      <c r="AJ25" s="1319"/>
      <c r="AK25" s="1593">
        <f t="shared" si="152"/>
        <v>0</v>
      </c>
      <c r="AL25" s="1594">
        <f t="shared" si="153"/>
        <v>0</v>
      </c>
      <c r="AM25" s="1319"/>
      <c r="AN25" s="1319"/>
      <c r="AP25" s="1860">
        <f t="shared" si="154"/>
        <v>0</v>
      </c>
      <c r="AQ25" s="1860">
        <f t="shared" si="155"/>
        <v>0</v>
      </c>
      <c r="AR25" s="1860">
        <f t="shared" si="156"/>
        <v>0</v>
      </c>
      <c r="AS25" s="1860">
        <f t="shared" si="157"/>
        <v>0</v>
      </c>
      <c r="AT25" s="1860">
        <f t="shared" si="158"/>
        <v>0</v>
      </c>
      <c r="AU25" s="1860">
        <f t="shared" si="159"/>
        <v>0</v>
      </c>
      <c r="AV25" s="1860">
        <f t="shared" si="160"/>
        <v>0</v>
      </c>
      <c r="AW25" s="1860">
        <f t="shared" si="161"/>
        <v>0</v>
      </c>
      <c r="AX25" s="1860">
        <f t="shared" si="162"/>
        <v>0</v>
      </c>
      <c r="AY25" s="1860">
        <f t="shared" si="163"/>
        <v>0</v>
      </c>
      <c r="AZ25" s="1860">
        <f t="shared" si="164"/>
        <v>0</v>
      </c>
      <c r="BA25" s="2026">
        <f t="shared" si="165"/>
        <v>0</v>
      </c>
      <c r="BB25" s="2026">
        <f t="shared" si="166"/>
        <v>0</v>
      </c>
      <c r="BC25" s="2026">
        <f t="shared" si="167"/>
        <v>0</v>
      </c>
      <c r="BD25" s="2026">
        <f t="shared" si="168"/>
        <v>0</v>
      </c>
      <c r="BE25" s="2026">
        <f t="shared" si="169"/>
        <v>0</v>
      </c>
      <c r="BF25" s="2026">
        <f t="shared" si="170"/>
        <v>0</v>
      </c>
      <c r="BG25" s="2026">
        <f t="shared" si="171"/>
        <v>0</v>
      </c>
      <c r="BH25" s="2026">
        <f t="shared" si="172"/>
        <v>0</v>
      </c>
      <c r="BI25" s="2026">
        <f t="shared" si="173"/>
        <v>0</v>
      </c>
      <c r="BJ25" s="2026">
        <f t="shared" si="174"/>
        <v>0</v>
      </c>
      <c r="BK25" s="2027"/>
      <c r="BL25" s="2026">
        <f t="shared" si="175"/>
        <v>0</v>
      </c>
      <c r="BM25" s="2026">
        <f t="shared" si="176"/>
        <v>0</v>
      </c>
      <c r="BN25" s="2026">
        <f t="shared" si="4"/>
        <v>0</v>
      </c>
      <c r="BO25" s="2026">
        <f t="shared" si="5"/>
        <v>0</v>
      </c>
      <c r="BP25" s="2026">
        <f t="shared" si="6"/>
        <v>0</v>
      </c>
      <c r="BQ25" s="2026">
        <f t="shared" si="7"/>
        <v>0</v>
      </c>
      <c r="BR25" s="2026">
        <f t="shared" si="8"/>
        <v>0</v>
      </c>
      <c r="BS25" s="2026">
        <f t="shared" si="177"/>
        <v>0</v>
      </c>
      <c r="BT25" s="2026">
        <f t="shared" si="9"/>
        <v>0</v>
      </c>
      <c r="BU25" s="2026">
        <f t="shared" si="10"/>
        <v>0</v>
      </c>
      <c r="BV25" s="2028"/>
      <c r="BW25" s="2029">
        <f t="shared" si="11"/>
        <v>0</v>
      </c>
      <c r="BX25" s="2029">
        <f t="shared" si="178"/>
        <v>0</v>
      </c>
      <c r="BY25" s="2029">
        <f t="shared" si="179"/>
        <v>0</v>
      </c>
      <c r="BZ25" s="2060"/>
      <c r="CA25" s="2030">
        <f t="shared" si="12"/>
        <v>0</v>
      </c>
      <c r="CB25" s="2030">
        <f t="shared" si="13"/>
        <v>0</v>
      </c>
      <c r="CC25" s="2030">
        <f t="shared" si="14"/>
        <v>0</v>
      </c>
      <c r="CD25" s="2031">
        <f t="shared" si="15"/>
        <v>0</v>
      </c>
      <c r="CE25" s="2031">
        <f t="shared" si="16"/>
        <v>0</v>
      </c>
      <c r="CF25" s="2031">
        <f t="shared" si="180"/>
        <v>0</v>
      </c>
      <c r="CG25" s="2030">
        <f t="shared" si="17"/>
        <v>0</v>
      </c>
      <c r="CH25" s="2032">
        <f t="shared" si="18"/>
        <v>0</v>
      </c>
      <c r="CI25" s="2032">
        <f t="shared" si="19"/>
        <v>0</v>
      </c>
      <c r="CJ25" s="2032">
        <f t="shared" si="181"/>
        <v>0</v>
      </c>
      <c r="CK25" s="2030">
        <f t="shared" si="20"/>
        <v>0</v>
      </c>
      <c r="CL25" s="2033">
        <f t="shared" si="21"/>
        <v>0</v>
      </c>
      <c r="CM25" s="2032">
        <f t="shared" si="22"/>
        <v>0</v>
      </c>
      <c r="CN25" s="2033">
        <f t="shared" si="23"/>
        <v>0</v>
      </c>
      <c r="CO25" s="2033">
        <f t="shared" si="182"/>
        <v>0</v>
      </c>
      <c r="CP25" s="2030">
        <f t="shared" si="24"/>
        <v>0</v>
      </c>
      <c r="CQ25" s="2030">
        <f t="shared" si="25"/>
        <v>0</v>
      </c>
      <c r="CR25" s="2030">
        <f t="shared" si="26"/>
        <v>0</v>
      </c>
      <c r="CS25" s="2030">
        <f t="shared" si="27"/>
        <v>0</v>
      </c>
      <c r="CT25" s="2035">
        <f t="shared" si="28"/>
        <v>0</v>
      </c>
      <c r="CU25" s="2036">
        <f t="shared" si="183"/>
        <v>0</v>
      </c>
      <c r="CV25" s="2036">
        <f t="shared" si="184"/>
        <v>0</v>
      </c>
      <c r="CW25" s="2036">
        <f t="shared" si="185"/>
        <v>0</v>
      </c>
      <c r="CY25" s="2068" t="s">
        <v>838</v>
      </c>
      <c r="CZ25" s="2069">
        <v>14</v>
      </c>
      <c r="DA25" s="2066">
        <f t="shared" si="206"/>
        <v>0</v>
      </c>
      <c r="DB25" s="2061">
        <v>5.7</v>
      </c>
      <c r="DC25" s="2066" t="s">
        <v>1156</v>
      </c>
      <c r="DL25" s="10">
        <f t="shared" si="186"/>
        <v>0</v>
      </c>
      <c r="DM25" s="10">
        <f t="shared" si="29"/>
        <v>0</v>
      </c>
      <c r="DN25" s="2027" t="e">
        <f>DL25/Betrieb!$E$23</f>
        <v>#DIV/0!</v>
      </c>
      <c r="DO25" s="2027" t="e">
        <f>DM25/Betrieb!$E$24</f>
        <v>#DIV/0!</v>
      </c>
      <c r="DP25" s="2041">
        <f>(Betrieb!$E$21*Betrieb!$H$21)+(Betrieb!$E$23*Betrieb!$H$23)</f>
        <v>0</v>
      </c>
      <c r="DQ25" s="2025">
        <f>(Betrieb!$E$22*Betrieb!$H$22)+(Betrieb!$E$24*Betrieb!$H$24)</f>
        <v>0</v>
      </c>
      <c r="DR25" s="2041">
        <f t="shared" si="187"/>
        <v>0</v>
      </c>
      <c r="DS25" s="2025">
        <f t="shared" si="188"/>
        <v>0</v>
      </c>
      <c r="DT25" s="2042">
        <f t="shared" si="189"/>
        <v>0</v>
      </c>
      <c r="DU25" s="2043">
        <f t="shared" si="203"/>
        <v>0</v>
      </c>
      <c r="DV25" s="2043">
        <f t="shared" si="190"/>
        <v>0</v>
      </c>
      <c r="DW25" s="2043">
        <f t="shared" si="204"/>
        <v>0</v>
      </c>
      <c r="DZ25" s="2044">
        <f t="shared" si="191"/>
        <v>0</v>
      </c>
      <c r="EA25" s="1874">
        <f t="shared" si="30"/>
        <v>0</v>
      </c>
      <c r="EB25" s="1874">
        <f t="shared" si="31"/>
        <v>0</v>
      </c>
      <c r="EC25" s="1874">
        <f t="shared" si="32"/>
        <v>0</v>
      </c>
      <c r="ED25" s="1874">
        <f t="shared" si="33"/>
        <v>0</v>
      </c>
      <c r="EE25" s="1874">
        <f t="shared" si="34"/>
        <v>0</v>
      </c>
      <c r="EF25" s="1874">
        <f t="shared" si="35"/>
        <v>0</v>
      </c>
      <c r="EH25" s="2044">
        <f t="shared" si="192"/>
        <v>0</v>
      </c>
      <c r="EI25" s="2025">
        <f t="shared" si="36"/>
        <v>0</v>
      </c>
      <c r="EJ25" s="2025">
        <f t="shared" si="37"/>
        <v>0</v>
      </c>
      <c r="EK25" s="2025">
        <f t="shared" si="38"/>
        <v>0</v>
      </c>
      <c r="EL25" s="2025">
        <f t="shared" si="39"/>
        <v>0</v>
      </c>
      <c r="EM25" s="2025">
        <f t="shared" si="40"/>
        <v>0</v>
      </c>
      <c r="EN25" s="2025">
        <f t="shared" si="41"/>
        <v>0</v>
      </c>
      <c r="EP25" s="2045">
        <f t="shared" si="42"/>
        <v>0</v>
      </c>
      <c r="EQ25" s="2042">
        <f t="shared" si="193"/>
        <v>0</v>
      </c>
      <c r="ER25" s="2042">
        <f t="shared" si="43"/>
        <v>0</v>
      </c>
      <c r="ES25" s="2042">
        <f t="shared" si="44"/>
        <v>0</v>
      </c>
      <c r="ET25" s="2042">
        <f t="shared" si="45"/>
        <v>0</v>
      </c>
      <c r="EU25" s="2042">
        <f t="shared" si="46"/>
        <v>0</v>
      </c>
      <c r="EV25" s="2042">
        <f t="shared" si="47"/>
        <v>0</v>
      </c>
      <c r="EW25" s="2042">
        <f t="shared" si="48"/>
        <v>0</v>
      </c>
      <c r="EX25" s="2042">
        <f t="shared" si="49"/>
        <v>0</v>
      </c>
      <c r="EY25" s="2042">
        <f t="shared" si="50"/>
        <v>0</v>
      </c>
      <c r="EZ25" s="2042">
        <f t="shared" si="51"/>
        <v>0</v>
      </c>
      <c r="FA25" s="2042">
        <f t="shared" si="52"/>
        <v>0</v>
      </c>
      <c r="FB25" s="2042">
        <f t="shared" si="53"/>
        <v>0</v>
      </c>
      <c r="FC25" s="2042">
        <f t="shared" si="54"/>
        <v>0</v>
      </c>
      <c r="FD25" s="2046">
        <f t="shared" si="194"/>
        <v>0</v>
      </c>
      <c r="FE25" s="2042">
        <f t="shared" si="55"/>
        <v>0</v>
      </c>
      <c r="FF25" s="2042">
        <f t="shared" si="56"/>
        <v>0</v>
      </c>
      <c r="FG25" s="2042">
        <f t="shared" si="57"/>
        <v>0</v>
      </c>
      <c r="FH25" s="2042">
        <f t="shared" si="58"/>
        <v>0</v>
      </c>
      <c r="FI25" s="2042">
        <f t="shared" si="59"/>
        <v>0</v>
      </c>
      <c r="FJ25" s="2042">
        <f t="shared" si="195"/>
        <v>0</v>
      </c>
      <c r="FK25" s="2042">
        <f t="shared" si="60"/>
        <v>0</v>
      </c>
      <c r="FL25" s="2042">
        <f t="shared" si="61"/>
        <v>0</v>
      </c>
      <c r="FM25" s="2042">
        <f t="shared" si="62"/>
        <v>0</v>
      </c>
      <c r="FN25" s="2042">
        <f t="shared" si="63"/>
        <v>0</v>
      </c>
      <c r="FO25" s="2042">
        <f t="shared" si="64"/>
        <v>0</v>
      </c>
      <c r="FP25" s="2042">
        <f t="shared" si="65"/>
        <v>0</v>
      </c>
      <c r="FQ25" s="2047">
        <f t="shared" si="196"/>
        <v>0</v>
      </c>
      <c r="FR25" s="2042">
        <f t="shared" si="66"/>
        <v>0</v>
      </c>
      <c r="FS25" s="2042">
        <f t="shared" si="67"/>
        <v>0</v>
      </c>
      <c r="FT25" s="2042">
        <f t="shared" si="68"/>
        <v>0</v>
      </c>
      <c r="FU25" s="2042">
        <f t="shared" si="69"/>
        <v>0</v>
      </c>
      <c r="FV25" s="2042">
        <f t="shared" si="70"/>
        <v>0</v>
      </c>
      <c r="FW25" s="2042">
        <f t="shared" si="71"/>
        <v>0</v>
      </c>
      <c r="FX25" s="2042">
        <f t="shared" si="72"/>
        <v>0</v>
      </c>
      <c r="FY25" s="2042">
        <f t="shared" si="73"/>
        <v>0</v>
      </c>
      <c r="FZ25" s="2042">
        <f t="shared" si="74"/>
        <v>0</v>
      </c>
      <c r="GA25" s="2042">
        <f t="shared" si="75"/>
        <v>0</v>
      </c>
      <c r="GB25" s="2042">
        <f t="shared" si="76"/>
        <v>0</v>
      </c>
      <c r="GC25" s="2042">
        <f t="shared" si="77"/>
        <v>0</v>
      </c>
      <c r="GD25" s="2042">
        <f t="shared" si="78"/>
        <v>0</v>
      </c>
      <c r="GE25" s="2042">
        <f t="shared" si="79"/>
        <v>0</v>
      </c>
      <c r="GF25" s="2042">
        <f t="shared" si="80"/>
        <v>0</v>
      </c>
      <c r="GG25" s="2042">
        <f t="shared" si="81"/>
        <v>0</v>
      </c>
      <c r="GH25" s="2042">
        <f t="shared" si="82"/>
        <v>0</v>
      </c>
      <c r="GI25" s="2042">
        <f t="shared" si="83"/>
        <v>0</v>
      </c>
      <c r="GJ25" s="2042">
        <f t="shared" si="84"/>
        <v>0</v>
      </c>
      <c r="GK25" s="2042">
        <f t="shared" si="85"/>
        <v>0</v>
      </c>
      <c r="GL25" s="2042">
        <f t="shared" si="86"/>
        <v>0</v>
      </c>
      <c r="GM25" s="2042">
        <f t="shared" si="87"/>
        <v>0</v>
      </c>
      <c r="GN25" s="2042">
        <f t="shared" si="88"/>
        <v>0</v>
      </c>
      <c r="GO25" s="2042">
        <f t="shared" si="89"/>
        <v>0</v>
      </c>
      <c r="GP25" s="2047">
        <f t="shared" si="197"/>
        <v>0</v>
      </c>
      <c r="GQ25" s="2042">
        <f t="shared" si="90"/>
        <v>0</v>
      </c>
      <c r="GR25" s="2042">
        <f t="shared" si="91"/>
        <v>0</v>
      </c>
      <c r="GS25" s="2042">
        <f t="shared" si="92"/>
        <v>0</v>
      </c>
      <c r="GT25" s="2042">
        <f t="shared" si="93"/>
        <v>0</v>
      </c>
      <c r="GU25" s="2042">
        <f t="shared" si="94"/>
        <v>0</v>
      </c>
      <c r="GV25" s="2042">
        <f t="shared" si="95"/>
        <v>0</v>
      </c>
      <c r="GW25" s="2042">
        <f t="shared" si="96"/>
        <v>0</v>
      </c>
      <c r="GX25" s="2042">
        <f t="shared" si="97"/>
        <v>0</v>
      </c>
      <c r="GY25" s="2042">
        <f t="shared" si="98"/>
        <v>0</v>
      </c>
      <c r="GZ25" s="2042">
        <f t="shared" si="99"/>
        <v>0</v>
      </c>
      <c r="HA25" s="2042">
        <f t="shared" si="100"/>
        <v>0</v>
      </c>
      <c r="HB25" s="2042">
        <f t="shared" si="101"/>
        <v>0</v>
      </c>
      <c r="HC25" s="2047">
        <f t="shared" si="198"/>
        <v>0</v>
      </c>
      <c r="HD25" s="2042">
        <f t="shared" si="102"/>
        <v>0</v>
      </c>
      <c r="HE25" s="2042">
        <f t="shared" si="103"/>
        <v>0</v>
      </c>
      <c r="HF25" s="2042">
        <f t="shared" si="104"/>
        <v>0</v>
      </c>
      <c r="HG25" s="2042">
        <f t="shared" si="105"/>
        <v>0</v>
      </c>
      <c r="HH25" s="2042">
        <f t="shared" si="106"/>
        <v>0</v>
      </c>
      <c r="HI25" s="2042">
        <f t="shared" si="107"/>
        <v>0</v>
      </c>
      <c r="HJ25" s="2042">
        <f t="shared" si="108"/>
        <v>0</v>
      </c>
      <c r="HK25" s="2042">
        <f t="shared" si="109"/>
        <v>0</v>
      </c>
      <c r="HL25" s="2042">
        <f t="shared" si="110"/>
        <v>0</v>
      </c>
      <c r="HM25" s="2042">
        <f t="shared" si="111"/>
        <v>0</v>
      </c>
      <c r="HN25" s="2042">
        <f t="shared" si="112"/>
        <v>0</v>
      </c>
      <c r="HO25" s="2042">
        <f t="shared" si="113"/>
        <v>0</v>
      </c>
      <c r="HP25" s="2047">
        <f t="shared" si="199"/>
        <v>0</v>
      </c>
      <c r="HQ25" s="2042">
        <f t="shared" si="114"/>
        <v>0</v>
      </c>
      <c r="HR25" s="2042">
        <f t="shared" si="115"/>
        <v>0</v>
      </c>
      <c r="HS25" s="2042">
        <f t="shared" si="116"/>
        <v>0</v>
      </c>
      <c r="HT25" s="2042">
        <f t="shared" si="117"/>
        <v>0</v>
      </c>
      <c r="HU25" s="2042">
        <f t="shared" si="118"/>
        <v>0</v>
      </c>
      <c r="HV25" s="2042">
        <f t="shared" si="119"/>
        <v>0</v>
      </c>
      <c r="HW25" s="2042">
        <f t="shared" si="120"/>
        <v>0</v>
      </c>
      <c r="HX25" s="2042">
        <f t="shared" si="121"/>
        <v>0</v>
      </c>
      <c r="HY25" s="2042">
        <f t="shared" si="122"/>
        <v>0</v>
      </c>
      <c r="HZ25" s="2042">
        <f t="shared" si="123"/>
        <v>0</v>
      </c>
      <c r="IA25" s="2042">
        <f t="shared" si="124"/>
        <v>0</v>
      </c>
      <c r="IB25" s="2042">
        <f t="shared" si="125"/>
        <v>0</v>
      </c>
      <c r="IC25" s="2047">
        <f t="shared" si="200"/>
        <v>0</v>
      </c>
      <c r="IE25" s="2044">
        <f t="shared" si="201"/>
        <v>0</v>
      </c>
      <c r="IF25" s="2025">
        <f t="shared" si="126"/>
        <v>0</v>
      </c>
      <c r="IG25" s="2025">
        <f t="shared" si="127"/>
        <v>0</v>
      </c>
      <c r="IH25" s="2025">
        <f t="shared" si="128"/>
        <v>0</v>
      </c>
      <c r="II25" s="2025">
        <f t="shared" si="129"/>
        <v>0</v>
      </c>
      <c r="IJ25" s="2025">
        <f t="shared" si="130"/>
        <v>0</v>
      </c>
      <c r="IK25" s="2025">
        <f t="shared" si="131"/>
        <v>0</v>
      </c>
      <c r="IL25" s="2025">
        <f t="shared" si="132"/>
        <v>0</v>
      </c>
      <c r="IM25" s="2025">
        <f t="shared" si="133"/>
        <v>0</v>
      </c>
      <c r="IN25" s="2025">
        <f t="shared" si="134"/>
        <v>0</v>
      </c>
      <c r="IO25" s="2025">
        <f t="shared" si="135"/>
        <v>0</v>
      </c>
      <c r="IP25" s="2025">
        <f t="shared" si="136"/>
        <v>0</v>
      </c>
      <c r="IQ25" s="2025">
        <f t="shared" si="137"/>
        <v>0</v>
      </c>
      <c r="IS25" s="2044">
        <f t="shared" si="202"/>
        <v>0</v>
      </c>
      <c r="IT25" s="2025">
        <f t="shared" si="138"/>
        <v>0</v>
      </c>
      <c r="IU25" s="2025">
        <f t="shared" si="139"/>
        <v>0</v>
      </c>
      <c r="IV25" s="2025">
        <f t="shared" si="140"/>
        <v>0</v>
      </c>
      <c r="IW25" s="2025">
        <f t="shared" si="141"/>
        <v>0</v>
      </c>
      <c r="IX25" s="2025">
        <f t="shared" si="142"/>
        <v>0</v>
      </c>
      <c r="IY25" s="2025">
        <f t="shared" si="143"/>
        <v>0</v>
      </c>
      <c r="IZ25" s="2025">
        <f t="shared" si="144"/>
        <v>0</v>
      </c>
      <c r="JA25" s="2025">
        <f t="shared" si="145"/>
        <v>0</v>
      </c>
      <c r="JB25" s="2025">
        <f t="shared" si="146"/>
        <v>0</v>
      </c>
      <c r="JC25" s="2025">
        <f t="shared" si="147"/>
        <v>0</v>
      </c>
      <c r="JD25" s="2025">
        <f t="shared" si="148"/>
        <v>0</v>
      </c>
      <c r="JE25" s="2025">
        <f t="shared" si="149"/>
        <v>0</v>
      </c>
    </row>
    <row r="26" spans="1:265" ht="18" customHeight="1">
      <c r="A26" s="1319"/>
      <c r="B26" s="2023">
        <v>22</v>
      </c>
      <c r="C26" s="1105" t="s">
        <v>34</v>
      </c>
      <c r="D26" s="2130"/>
      <c r="E26" s="739"/>
      <c r="F26" s="1544"/>
      <c r="G26" s="1320"/>
      <c r="H26" s="1321">
        <f t="shared" si="0"/>
        <v>0</v>
      </c>
      <c r="I26" s="1321">
        <f t="shared" si="150"/>
        <v>0</v>
      </c>
      <c r="J26" s="1321">
        <f t="shared" si="1"/>
        <v>0</v>
      </c>
      <c r="K26" s="1321">
        <f t="shared" si="2"/>
        <v>0</v>
      </c>
      <c r="L26" s="1322">
        <f>Summen_GL!F93</f>
        <v>0</v>
      </c>
      <c r="M26" s="1323">
        <f t="shared" si="151"/>
        <v>0</v>
      </c>
      <c r="N26" s="2070"/>
      <c r="O26" s="1321">
        <f t="shared" si="205"/>
        <v>0</v>
      </c>
      <c r="P26" s="1321">
        <f t="shared" si="3"/>
        <v>0</v>
      </c>
      <c r="Q26" s="2070"/>
      <c r="R26" s="1470"/>
      <c r="S26" s="1471"/>
      <c r="T26" s="1470"/>
      <c r="U26" s="1471"/>
      <c r="V26" s="1470"/>
      <c r="W26" s="1471"/>
      <c r="X26" s="1470"/>
      <c r="Y26" s="1471"/>
      <c r="Z26" s="1470"/>
      <c r="AA26" s="1471"/>
      <c r="AB26" s="1470"/>
      <c r="AC26" s="1551"/>
      <c r="AD26" s="844"/>
      <c r="AE26" s="1319"/>
      <c r="AF26" s="876"/>
      <c r="AG26" s="844"/>
      <c r="AH26" s="1563"/>
      <c r="AI26" s="2132"/>
      <c r="AJ26" s="1319"/>
      <c r="AK26" s="1593">
        <f t="shared" si="152"/>
        <v>0</v>
      </c>
      <c r="AL26" s="1594">
        <f t="shared" si="153"/>
        <v>0</v>
      </c>
      <c r="AM26" s="1319"/>
      <c r="AN26" s="1319"/>
      <c r="AP26" s="1860">
        <f t="shared" si="154"/>
        <v>0</v>
      </c>
      <c r="AQ26" s="1860">
        <f t="shared" si="155"/>
        <v>0</v>
      </c>
      <c r="AR26" s="1860">
        <f t="shared" si="156"/>
        <v>0</v>
      </c>
      <c r="AS26" s="1860">
        <f t="shared" si="157"/>
        <v>0</v>
      </c>
      <c r="AT26" s="1860">
        <f t="shared" si="158"/>
        <v>0</v>
      </c>
      <c r="AU26" s="1860">
        <f t="shared" si="159"/>
        <v>0</v>
      </c>
      <c r="AV26" s="1860">
        <f t="shared" si="160"/>
        <v>0</v>
      </c>
      <c r="AW26" s="1860">
        <f t="shared" si="161"/>
        <v>0</v>
      </c>
      <c r="AX26" s="1860">
        <f t="shared" si="162"/>
        <v>0</v>
      </c>
      <c r="AY26" s="1860">
        <f t="shared" si="163"/>
        <v>0</v>
      </c>
      <c r="AZ26" s="1860">
        <f t="shared" si="164"/>
        <v>0</v>
      </c>
      <c r="BA26" s="2026">
        <f t="shared" si="165"/>
        <v>0</v>
      </c>
      <c r="BB26" s="2026">
        <f t="shared" si="166"/>
        <v>0</v>
      </c>
      <c r="BC26" s="2026">
        <f t="shared" si="167"/>
        <v>0</v>
      </c>
      <c r="BD26" s="2026">
        <f t="shared" si="168"/>
        <v>0</v>
      </c>
      <c r="BE26" s="2026">
        <f t="shared" si="169"/>
        <v>0</v>
      </c>
      <c r="BF26" s="2026">
        <f t="shared" si="170"/>
        <v>0</v>
      </c>
      <c r="BG26" s="2026">
        <f t="shared" si="171"/>
        <v>0</v>
      </c>
      <c r="BH26" s="2026">
        <f t="shared" si="172"/>
        <v>0</v>
      </c>
      <c r="BI26" s="2026">
        <f t="shared" si="173"/>
        <v>0</v>
      </c>
      <c r="BJ26" s="2026">
        <f t="shared" si="174"/>
        <v>0</v>
      </c>
      <c r="BK26" s="2027"/>
      <c r="BL26" s="2026">
        <f t="shared" si="175"/>
        <v>0</v>
      </c>
      <c r="BM26" s="2026">
        <f t="shared" si="176"/>
        <v>0</v>
      </c>
      <c r="BN26" s="2026">
        <f t="shared" si="4"/>
        <v>0</v>
      </c>
      <c r="BO26" s="2026">
        <f t="shared" si="5"/>
        <v>0</v>
      </c>
      <c r="BP26" s="2026">
        <f t="shared" si="6"/>
        <v>0</v>
      </c>
      <c r="BQ26" s="2026">
        <f t="shared" si="7"/>
        <v>0</v>
      </c>
      <c r="BR26" s="2026">
        <f t="shared" si="8"/>
        <v>0</v>
      </c>
      <c r="BS26" s="2026">
        <f t="shared" si="177"/>
        <v>0</v>
      </c>
      <c r="BT26" s="2026">
        <f t="shared" si="9"/>
        <v>0</v>
      </c>
      <c r="BU26" s="2026">
        <f t="shared" si="10"/>
        <v>0</v>
      </c>
      <c r="BV26" s="2028"/>
      <c r="BW26" s="2029">
        <f t="shared" si="11"/>
        <v>0</v>
      </c>
      <c r="BX26" s="2029">
        <f t="shared" si="178"/>
        <v>0</v>
      </c>
      <c r="BY26" s="2029">
        <f t="shared" si="179"/>
        <v>0</v>
      </c>
      <c r="BZ26" s="2060"/>
      <c r="CA26" s="2030">
        <f t="shared" si="12"/>
        <v>0</v>
      </c>
      <c r="CB26" s="2030">
        <f t="shared" si="13"/>
        <v>0</v>
      </c>
      <c r="CC26" s="2030">
        <f t="shared" si="14"/>
        <v>0</v>
      </c>
      <c r="CD26" s="2031">
        <f t="shared" si="15"/>
        <v>0</v>
      </c>
      <c r="CE26" s="2031">
        <f t="shared" si="16"/>
        <v>0</v>
      </c>
      <c r="CF26" s="2031">
        <f t="shared" si="180"/>
        <v>0</v>
      </c>
      <c r="CG26" s="2030">
        <f t="shared" si="17"/>
        <v>0</v>
      </c>
      <c r="CH26" s="2032">
        <f t="shared" si="18"/>
        <v>0</v>
      </c>
      <c r="CI26" s="2032">
        <f t="shared" si="19"/>
        <v>0</v>
      </c>
      <c r="CJ26" s="2032">
        <f t="shared" si="181"/>
        <v>0</v>
      </c>
      <c r="CK26" s="2030">
        <f t="shared" si="20"/>
        <v>0</v>
      </c>
      <c r="CL26" s="2033">
        <f t="shared" si="21"/>
        <v>0</v>
      </c>
      <c r="CM26" s="2032">
        <f t="shared" si="22"/>
        <v>0</v>
      </c>
      <c r="CN26" s="2033">
        <f t="shared" si="23"/>
        <v>0</v>
      </c>
      <c r="CO26" s="2033">
        <f t="shared" si="182"/>
        <v>0</v>
      </c>
      <c r="CP26" s="2030">
        <f t="shared" si="24"/>
        <v>0</v>
      </c>
      <c r="CQ26" s="2030">
        <f t="shared" si="25"/>
        <v>0</v>
      </c>
      <c r="CR26" s="2030">
        <f t="shared" si="26"/>
        <v>0</v>
      </c>
      <c r="CS26" s="2030">
        <f t="shared" si="27"/>
        <v>0</v>
      </c>
      <c r="CT26" s="2035">
        <f t="shared" si="28"/>
        <v>0</v>
      </c>
      <c r="CU26" s="2036">
        <f t="shared" si="183"/>
        <v>0</v>
      </c>
      <c r="CV26" s="2036">
        <f t="shared" si="184"/>
        <v>0</v>
      </c>
      <c r="CW26" s="2036">
        <f t="shared" si="185"/>
        <v>0</v>
      </c>
      <c r="CY26" s="2064" t="s">
        <v>1158</v>
      </c>
      <c r="CZ26" s="2065">
        <v>15</v>
      </c>
      <c r="DA26" s="2066">
        <f t="shared" si="206"/>
        <v>0</v>
      </c>
      <c r="DB26" s="2066">
        <v>5.9</v>
      </c>
      <c r="DC26" s="2067" t="s">
        <v>1157</v>
      </c>
      <c r="DL26" s="10">
        <f t="shared" si="186"/>
        <v>0</v>
      </c>
      <c r="DM26" s="10">
        <f t="shared" si="29"/>
        <v>0</v>
      </c>
      <c r="DN26" s="2027" t="e">
        <f>DL26/Betrieb!$E$23</f>
        <v>#DIV/0!</v>
      </c>
      <c r="DO26" s="2027" t="e">
        <f>DM26/Betrieb!$E$24</f>
        <v>#DIV/0!</v>
      </c>
      <c r="DP26" s="2041">
        <f>(Betrieb!$E$21*Betrieb!$H$21)+(Betrieb!$E$23*Betrieb!$H$23)</f>
        <v>0</v>
      </c>
      <c r="DQ26" s="2025">
        <f>(Betrieb!$E$22*Betrieb!$H$22)+(Betrieb!$E$24*Betrieb!$H$24)</f>
        <v>0</v>
      </c>
      <c r="DR26" s="2041">
        <f t="shared" si="187"/>
        <v>0</v>
      </c>
      <c r="DS26" s="2025">
        <f t="shared" si="188"/>
        <v>0</v>
      </c>
      <c r="DT26" s="2042">
        <f t="shared" si="189"/>
        <v>0</v>
      </c>
      <c r="DU26" s="2043">
        <f t="shared" si="203"/>
        <v>0</v>
      </c>
      <c r="DV26" s="2043">
        <f t="shared" si="190"/>
        <v>0</v>
      </c>
      <c r="DW26" s="2043">
        <f t="shared" si="204"/>
        <v>0</v>
      </c>
      <c r="DZ26" s="2044">
        <f t="shared" si="191"/>
        <v>0</v>
      </c>
      <c r="EA26" s="1874">
        <f t="shared" si="30"/>
        <v>0</v>
      </c>
      <c r="EB26" s="1874">
        <f t="shared" si="31"/>
        <v>0</v>
      </c>
      <c r="EC26" s="1874">
        <f t="shared" si="32"/>
        <v>0</v>
      </c>
      <c r="ED26" s="1874">
        <f t="shared" si="33"/>
        <v>0</v>
      </c>
      <c r="EE26" s="1874">
        <f t="shared" si="34"/>
        <v>0</v>
      </c>
      <c r="EF26" s="1874">
        <f t="shared" si="35"/>
        <v>0</v>
      </c>
      <c r="EH26" s="2044">
        <f t="shared" si="192"/>
        <v>0</v>
      </c>
      <c r="EI26" s="2025">
        <f t="shared" si="36"/>
        <v>0</v>
      </c>
      <c r="EJ26" s="2025">
        <f t="shared" si="37"/>
        <v>0</v>
      </c>
      <c r="EK26" s="2025">
        <f t="shared" si="38"/>
        <v>0</v>
      </c>
      <c r="EL26" s="2025">
        <f t="shared" si="39"/>
        <v>0</v>
      </c>
      <c r="EM26" s="2025">
        <f t="shared" si="40"/>
        <v>0</v>
      </c>
      <c r="EN26" s="2025">
        <f t="shared" si="41"/>
        <v>0</v>
      </c>
      <c r="EP26" s="2045">
        <f t="shared" si="42"/>
        <v>0</v>
      </c>
      <c r="EQ26" s="2042">
        <f t="shared" si="193"/>
        <v>0</v>
      </c>
      <c r="ER26" s="2042">
        <f t="shared" si="43"/>
        <v>0</v>
      </c>
      <c r="ES26" s="2042">
        <f t="shared" si="44"/>
        <v>0</v>
      </c>
      <c r="ET26" s="2042">
        <f t="shared" si="45"/>
        <v>0</v>
      </c>
      <c r="EU26" s="2042">
        <f t="shared" si="46"/>
        <v>0</v>
      </c>
      <c r="EV26" s="2042">
        <f t="shared" si="47"/>
        <v>0</v>
      </c>
      <c r="EW26" s="2042">
        <f t="shared" si="48"/>
        <v>0</v>
      </c>
      <c r="EX26" s="2042">
        <f t="shared" si="49"/>
        <v>0</v>
      </c>
      <c r="EY26" s="2042">
        <f t="shared" si="50"/>
        <v>0</v>
      </c>
      <c r="EZ26" s="2042">
        <f t="shared" si="51"/>
        <v>0</v>
      </c>
      <c r="FA26" s="2042">
        <f t="shared" si="52"/>
        <v>0</v>
      </c>
      <c r="FB26" s="2042">
        <f t="shared" si="53"/>
        <v>0</v>
      </c>
      <c r="FC26" s="2042">
        <f t="shared" si="54"/>
        <v>0</v>
      </c>
      <c r="FD26" s="2046">
        <f t="shared" si="194"/>
        <v>0</v>
      </c>
      <c r="FE26" s="2042">
        <f t="shared" si="55"/>
        <v>0</v>
      </c>
      <c r="FF26" s="2042">
        <f t="shared" si="56"/>
        <v>0</v>
      </c>
      <c r="FG26" s="2042">
        <f t="shared" si="57"/>
        <v>0</v>
      </c>
      <c r="FH26" s="2042">
        <f t="shared" si="58"/>
        <v>0</v>
      </c>
      <c r="FI26" s="2042">
        <f t="shared" si="59"/>
        <v>0</v>
      </c>
      <c r="FJ26" s="2042">
        <f t="shared" si="195"/>
        <v>0</v>
      </c>
      <c r="FK26" s="2042">
        <f t="shared" si="60"/>
        <v>0</v>
      </c>
      <c r="FL26" s="2042">
        <f t="shared" si="61"/>
        <v>0</v>
      </c>
      <c r="FM26" s="2042">
        <f t="shared" si="62"/>
        <v>0</v>
      </c>
      <c r="FN26" s="2042">
        <f t="shared" si="63"/>
        <v>0</v>
      </c>
      <c r="FO26" s="2042">
        <f t="shared" si="64"/>
        <v>0</v>
      </c>
      <c r="FP26" s="2042">
        <f t="shared" si="65"/>
        <v>0</v>
      </c>
      <c r="FQ26" s="2047">
        <f t="shared" si="196"/>
        <v>0</v>
      </c>
      <c r="FR26" s="2042">
        <f t="shared" si="66"/>
        <v>0</v>
      </c>
      <c r="FS26" s="2042">
        <f t="shared" si="67"/>
        <v>0</v>
      </c>
      <c r="FT26" s="2042">
        <f t="shared" si="68"/>
        <v>0</v>
      </c>
      <c r="FU26" s="2042">
        <f t="shared" si="69"/>
        <v>0</v>
      </c>
      <c r="FV26" s="2042">
        <f t="shared" si="70"/>
        <v>0</v>
      </c>
      <c r="FW26" s="2042">
        <f t="shared" si="71"/>
        <v>0</v>
      </c>
      <c r="FX26" s="2042">
        <f t="shared" si="72"/>
        <v>0</v>
      </c>
      <c r="FY26" s="2042">
        <f t="shared" si="73"/>
        <v>0</v>
      </c>
      <c r="FZ26" s="2042">
        <f t="shared" si="74"/>
        <v>0</v>
      </c>
      <c r="GA26" s="2042">
        <f t="shared" si="75"/>
        <v>0</v>
      </c>
      <c r="GB26" s="2042">
        <f t="shared" si="76"/>
        <v>0</v>
      </c>
      <c r="GC26" s="2042">
        <f t="shared" si="77"/>
        <v>0</v>
      </c>
      <c r="GD26" s="2042">
        <f t="shared" si="78"/>
        <v>0</v>
      </c>
      <c r="GE26" s="2042">
        <f t="shared" si="79"/>
        <v>0</v>
      </c>
      <c r="GF26" s="2042">
        <f t="shared" si="80"/>
        <v>0</v>
      </c>
      <c r="GG26" s="2042">
        <f t="shared" si="81"/>
        <v>0</v>
      </c>
      <c r="GH26" s="2042">
        <f t="shared" si="82"/>
        <v>0</v>
      </c>
      <c r="GI26" s="2042">
        <f t="shared" si="83"/>
        <v>0</v>
      </c>
      <c r="GJ26" s="2042">
        <f t="shared" si="84"/>
        <v>0</v>
      </c>
      <c r="GK26" s="2042">
        <f t="shared" si="85"/>
        <v>0</v>
      </c>
      <c r="GL26" s="2042">
        <f t="shared" si="86"/>
        <v>0</v>
      </c>
      <c r="GM26" s="2042">
        <f t="shared" si="87"/>
        <v>0</v>
      </c>
      <c r="GN26" s="2042">
        <f t="shared" si="88"/>
        <v>0</v>
      </c>
      <c r="GO26" s="2042">
        <f t="shared" si="89"/>
        <v>0</v>
      </c>
      <c r="GP26" s="2047">
        <f t="shared" si="197"/>
        <v>0</v>
      </c>
      <c r="GQ26" s="2042">
        <f t="shared" si="90"/>
        <v>0</v>
      </c>
      <c r="GR26" s="2042">
        <f t="shared" si="91"/>
        <v>0</v>
      </c>
      <c r="GS26" s="2042">
        <f t="shared" si="92"/>
        <v>0</v>
      </c>
      <c r="GT26" s="2042">
        <f t="shared" si="93"/>
        <v>0</v>
      </c>
      <c r="GU26" s="2042">
        <f t="shared" si="94"/>
        <v>0</v>
      </c>
      <c r="GV26" s="2042">
        <f t="shared" si="95"/>
        <v>0</v>
      </c>
      <c r="GW26" s="2042">
        <f t="shared" si="96"/>
        <v>0</v>
      </c>
      <c r="GX26" s="2042">
        <f t="shared" si="97"/>
        <v>0</v>
      </c>
      <c r="GY26" s="2042">
        <f t="shared" si="98"/>
        <v>0</v>
      </c>
      <c r="GZ26" s="2042">
        <f t="shared" si="99"/>
        <v>0</v>
      </c>
      <c r="HA26" s="2042">
        <f t="shared" si="100"/>
        <v>0</v>
      </c>
      <c r="HB26" s="2042">
        <f t="shared" si="101"/>
        <v>0</v>
      </c>
      <c r="HC26" s="2047">
        <f t="shared" si="198"/>
        <v>0</v>
      </c>
      <c r="HD26" s="2042">
        <f t="shared" si="102"/>
        <v>0</v>
      </c>
      <c r="HE26" s="2042">
        <f t="shared" si="103"/>
        <v>0</v>
      </c>
      <c r="HF26" s="2042">
        <f t="shared" si="104"/>
        <v>0</v>
      </c>
      <c r="HG26" s="2042">
        <f t="shared" si="105"/>
        <v>0</v>
      </c>
      <c r="HH26" s="2042">
        <f t="shared" si="106"/>
        <v>0</v>
      </c>
      <c r="HI26" s="2042">
        <f t="shared" si="107"/>
        <v>0</v>
      </c>
      <c r="HJ26" s="2042">
        <f t="shared" si="108"/>
        <v>0</v>
      </c>
      <c r="HK26" s="2042">
        <f t="shared" si="109"/>
        <v>0</v>
      </c>
      <c r="HL26" s="2042">
        <f t="shared" si="110"/>
        <v>0</v>
      </c>
      <c r="HM26" s="2042">
        <f t="shared" si="111"/>
        <v>0</v>
      </c>
      <c r="HN26" s="2042">
        <f t="shared" si="112"/>
        <v>0</v>
      </c>
      <c r="HO26" s="2042">
        <f t="shared" si="113"/>
        <v>0</v>
      </c>
      <c r="HP26" s="2047">
        <f t="shared" si="199"/>
        <v>0</v>
      </c>
      <c r="HQ26" s="2042">
        <f t="shared" si="114"/>
        <v>0</v>
      </c>
      <c r="HR26" s="2042">
        <f t="shared" si="115"/>
        <v>0</v>
      </c>
      <c r="HS26" s="2042">
        <f t="shared" si="116"/>
        <v>0</v>
      </c>
      <c r="HT26" s="2042">
        <f t="shared" si="117"/>
        <v>0</v>
      </c>
      <c r="HU26" s="2042">
        <f t="shared" si="118"/>
        <v>0</v>
      </c>
      <c r="HV26" s="2042">
        <f t="shared" si="119"/>
        <v>0</v>
      </c>
      <c r="HW26" s="2042">
        <f t="shared" si="120"/>
        <v>0</v>
      </c>
      <c r="HX26" s="2042">
        <f t="shared" si="121"/>
        <v>0</v>
      </c>
      <c r="HY26" s="2042">
        <f t="shared" si="122"/>
        <v>0</v>
      </c>
      <c r="HZ26" s="2042">
        <f t="shared" si="123"/>
        <v>0</v>
      </c>
      <c r="IA26" s="2042">
        <f t="shared" si="124"/>
        <v>0</v>
      </c>
      <c r="IB26" s="2042">
        <f t="shared" si="125"/>
        <v>0</v>
      </c>
      <c r="IC26" s="2047">
        <f t="shared" si="200"/>
        <v>0</v>
      </c>
      <c r="IE26" s="2044">
        <f t="shared" si="201"/>
        <v>0</v>
      </c>
      <c r="IF26" s="2025">
        <f t="shared" si="126"/>
        <v>0</v>
      </c>
      <c r="IG26" s="2025">
        <f t="shared" si="127"/>
        <v>0</v>
      </c>
      <c r="IH26" s="2025">
        <f t="shared" si="128"/>
        <v>0</v>
      </c>
      <c r="II26" s="2025">
        <f t="shared" si="129"/>
        <v>0</v>
      </c>
      <c r="IJ26" s="2025">
        <f t="shared" si="130"/>
        <v>0</v>
      </c>
      <c r="IK26" s="2025">
        <f t="shared" si="131"/>
        <v>0</v>
      </c>
      <c r="IL26" s="2025">
        <f t="shared" si="132"/>
        <v>0</v>
      </c>
      <c r="IM26" s="2025">
        <f t="shared" si="133"/>
        <v>0</v>
      </c>
      <c r="IN26" s="2025">
        <f t="shared" si="134"/>
        <v>0</v>
      </c>
      <c r="IO26" s="2025">
        <f t="shared" si="135"/>
        <v>0</v>
      </c>
      <c r="IP26" s="2025">
        <f t="shared" si="136"/>
        <v>0</v>
      </c>
      <c r="IQ26" s="2025">
        <f t="shared" si="137"/>
        <v>0</v>
      </c>
      <c r="IS26" s="2044">
        <f t="shared" si="202"/>
        <v>0</v>
      </c>
      <c r="IT26" s="2025">
        <f t="shared" si="138"/>
        <v>0</v>
      </c>
      <c r="IU26" s="2025">
        <f t="shared" si="139"/>
        <v>0</v>
      </c>
      <c r="IV26" s="2025">
        <f t="shared" si="140"/>
        <v>0</v>
      </c>
      <c r="IW26" s="2025">
        <f t="shared" si="141"/>
        <v>0</v>
      </c>
      <c r="IX26" s="2025">
        <f t="shared" si="142"/>
        <v>0</v>
      </c>
      <c r="IY26" s="2025">
        <f t="shared" si="143"/>
        <v>0</v>
      </c>
      <c r="IZ26" s="2025">
        <f t="shared" si="144"/>
        <v>0</v>
      </c>
      <c r="JA26" s="2025">
        <f t="shared" si="145"/>
        <v>0</v>
      </c>
      <c r="JB26" s="2025">
        <f t="shared" si="146"/>
        <v>0</v>
      </c>
      <c r="JC26" s="2025">
        <f t="shared" si="147"/>
        <v>0</v>
      </c>
      <c r="JD26" s="2025">
        <f t="shared" si="148"/>
        <v>0</v>
      </c>
      <c r="JE26" s="2025">
        <f t="shared" si="149"/>
        <v>0</v>
      </c>
    </row>
    <row r="27" spans="1:265" ht="18" customHeight="1">
      <c r="A27" s="1319"/>
      <c r="B27" s="2023">
        <v>23</v>
      </c>
      <c r="C27" s="1105" t="s">
        <v>34</v>
      </c>
      <c r="D27" s="2130"/>
      <c r="E27" s="739"/>
      <c r="F27" s="1544"/>
      <c r="G27" s="1320"/>
      <c r="H27" s="1321">
        <f t="shared" si="0"/>
        <v>0</v>
      </c>
      <c r="I27" s="1321">
        <f t="shared" si="150"/>
        <v>0</v>
      </c>
      <c r="J27" s="1321">
        <f t="shared" si="1"/>
        <v>0</v>
      </c>
      <c r="K27" s="1321">
        <f t="shared" si="2"/>
        <v>0</v>
      </c>
      <c r="L27" s="1322">
        <f>Summen_GL!F94</f>
        <v>0</v>
      </c>
      <c r="M27" s="1323">
        <f t="shared" si="151"/>
        <v>0</v>
      </c>
      <c r="N27" s="2070"/>
      <c r="O27" s="1321">
        <f t="shared" si="205"/>
        <v>0</v>
      </c>
      <c r="P27" s="1321">
        <f t="shared" si="3"/>
        <v>0</v>
      </c>
      <c r="Q27" s="2070"/>
      <c r="R27" s="1470"/>
      <c r="S27" s="1471"/>
      <c r="T27" s="1470"/>
      <c r="U27" s="1471"/>
      <c r="V27" s="1470"/>
      <c r="W27" s="1471"/>
      <c r="X27" s="1470"/>
      <c r="Y27" s="1471"/>
      <c r="Z27" s="1470"/>
      <c r="AA27" s="1471"/>
      <c r="AB27" s="1470"/>
      <c r="AC27" s="1551"/>
      <c r="AD27" s="844"/>
      <c r="AE27" s="1319"/>
      <c r="AF27" s="876"/>
      <c r="AG27" s="844"/>
      <c r="AH27" s="1563"/>
      <c r="AI27" s="2132"/>
      <c r="AJ27" s="1319"/>
      <c r="AK27" s="1593">
        <f t="shared" si="152"/>
        <v>0</v>
      </c>
      <c r="AL27" s="1594">
        <f t="shared" si="153"/>
        <v>0</v>
      </c>
      <c r="AM27" s="1319"/>
      <c r="AN27" s="1319"/>
      <c r="AP27" s="1860">
        <f t="shared" si="154"/>
        <v>0</v>
      </c>
      <c r="AQ27" s="1860">
        <f t="shared" si="155"/>
        <v>0</v>
      </c>
      <c r="AR27" s="1860">
        <f t="shared" si="156"/>
        <v>0</v>
      </c>
      <c r="AS27" s="1860">
        <f t="shared" si="157"/>
        <v>0</v>
      </c>
      <c r="AT27" s="1860">
        <f t="shared" si="158"/>
        <v>0</v>
      </c>
      <c r="AU27" s="1860">
        <f t="shared" si="159"/>
        <v>0</v>
      </c>
      <c r="AV27" s="1860">
        <f t="shared" si="160"/>
        <v>0</v>
      </c>
      <c r="AW27" s="1860">
        <f t="shared" si="161"/>
        <v>0</v>
      </c>
      <c r="AX27" s="1860">
        <f t="shared" si="162"/>
        <v>0</v>
      </c>
      <c r="AY27" s="1860">
        <f t="shared" si="163"/>
        <v>0</v>
      </c>
      <c r="AZ27" s="1860">
        <f t="shared" si="164"/>
        <v>0</v>
      </c>
      <c r="BA27" s="2026">
        <f t="shared" si="165"/>
        <v>0</v>
      </c>
      <c r="BB27" s="2026">
        <f t="shared" si="166"/>
        <v>0</v>
      </c>
      <c r="BC27" s="2026">
        <f t="shared" si="167"/>
        <v>0</v>
      </c>
      <c r="BD27" s="2026">
        <f t="shared" si="168"/>
        <v>0</v>
      </c>
      <c r="BE27" s="2026">
        <f t="shared" si="169"/>
        <v>0</v>
      </c>
      <c r="BF27" s="2026">
        <f t="shared" si="170"/>
        <v>0</v>
      </c>
      <c r="BG27" s="2026">
        <f t="shared" si="171"/>
        <v>0</v>
      </c>
      <c r="BH27" s="2026">
        <f t="shared" si="172"/>
        <v>0</v>
      </c>
      <c r="BI27" s="2026">
        <f t="shared" si="173"/>
        <v>0</v>
      </c>
      <c r="BJ27" s="2026">
        <f t="shared" si="174"/>
        <v>0</v>
      </c>
      <c r="BK27" s="2027"/>
      <c r="BL27" s="2026">
        <f t="shared" si="175"/>
        <v>0</v>
      </c>
      <c r="BM27" s="2026">
        <f t="shared" si="176"/>
        <v>0</v>
      </c>
      <c r="BN27" s="2026">
        <f t="shared" si="4"/>
        <v>0</v>
      </c>
      <c r="BO27" s="2026">
        <f t="shared" si="5"/>
        <v>0</v>
      </c>
      <c r="BP27" s="2026">
        <f t="shared" si="6"/>
        <v>0</v>
      </c>
      <c r="BQ27" s="2026">
        <f t="shared" si="7"/>
        <v>0</v>
      </c>
      <c r="BR27" s="2026">
        <f t="shared" si="8"/>
        <v>0</v>
      </c>
      <c r="BS27" s="2026">
        <f t="shared" si="177"/>
        <v>0</v>
      </c>
      <c r="BT27" s="2026">
        <f t="shared" si="9"/>
        <v>0</v>
      </c>
      <c r="BU27" s="2026">
        <f t="shared" si="10"/>
        <v>0</v>
      </c>
      <c r="BV27" s="2028"/>
      <c r="BW27" s="2029">
        <f t="shared" si="11"/>
        <v>0</v>
      </c>
      <c r="BX27" s="2029">
        <f t="shared" si="178"/>
        <v>0</v>
      </c>
      <c r="BY27" s="2029">
        <f t="shared" si="179"/>
        <v>0</v>
      </c>
      <c r="BZ27" s="2060"/>
      <c r="CA27" s="2030">
        <f t="shared" si="12"/>
        <v>0</v>
      </c>
      <c r="CB27" s="2030">
        <f t="shared" si="13"/>
        <v>0</v>
      </c>
      <c r="CC27" s="2030">
        <f t="shared" si="14"/>
        <v>0</v>
      </c>
      <c r="CD27" s="2031">
        <f t="shared" si="15"/>
        <v>0</v>
      </c>
      <c r="CE27" s="2031">
        <f t="shared" si="16"/>
        <v>0</v>
      </c>
      <c r="CF27" s="2031">
        <f t="shared" si="180"/>
        <v>0</v>
      </c>
      <c r="CG27" s="2030">
        <f t="shared" si="17"/>
        <v>0</v>
      </c>
      <c r="CH27" s="2032">
        <f t="shared" si="18"/>
        <v>0</v>
      </c>
      <c r="CI27" s="2032">
        <f t="shared" si="19"/>
        <v>0</v>
      </c>
      <c r="CJ27" s="2032">
        <f t="shared" si="181"/>
        <v>0</v>
      </c>
      <c r="CK27" s="2030">
        <f t="shared" si="20"/>
        <v>0</v>
      </c>
      <c r="CL27" s="2033">
        <f t="shared" si="21"/>
        <v>0</v>
      </c>
      <c r="CM27" s="2032">
        <f t="shared" si="22"/>
        <v>0</v>
      </c>
      <c r="CN27" s="2033">
        <f t="shared" si="23"/>
        <v>0</v>
      </c>
      <c r="CO27" s="2033">
        <f t="shared" si="182"/>
        <v>0</v>
      </c>
      <c r="CP27" s="2030">
        <f t="shared" si="24"/>
        <v>0</v>
      </c>
      <c r="CQ27" s="2030">
        <f t="shared" si="25"/>
        <v>0</v>
      </c>
      <c r="CR27" s="2030">
        <f t="shared" si="26"/>
        <v>0</v>
      </c>
      <c r="CS27" s="2030">
        <f t="shared" si="27"/>
        <v>0</v>
      </c>
      <c r="CT27" s="2035">
        <f t="shared" si="28"/>
        <v>0</v>
      </c>
      <c r="CU27" s="2036">
        <f t="shared" si="183"/>
        <v>0</v>
      </c>
      <c r="CV27" s="2036">
        <f t="shared" si="184"/>
        <v>0</v>
      </c>
      <c r="CW27" s="2036">
        <f t="shared" si="185"/>
        <v>0</v>
      </c>
      <c r="CY27" s="2068" t="s">
        <v>837</v>
      </c>
      <c r="CZ27" s="2069">
        <v>16</v>
      </c>
      <c r="DA27" s="2066">
        <f t="shared" si="206"/>
        <v>0</v>
      </c>
      <c r="DB27" s="2061">
        <v>6.1</v>
      </c>
      <c r="DC27" s="2066" t="s">
        <v>1157</v>
      </c>
      <c r="DL27" s="10">
        <f t="shared" si="186"/>
        <v>0</v>
      </c>
      <c r="DM27" s="10">
        <f t="shared" si="29"/>
        <v>0</v>
      </c>
      <c r="DN27" s="2027" t="e">
        <f>DL27/Betrieb!$E$23</f>
        <v>#DIV/0!</v>
      </c>
      <c r="DO27" s="2027" t="e">
        <f>DM27/Betrieb!$E$24</f>
        <v>#DIV/0!</v>
      </c>
      <c r="DP27" s="2041">
        <f>(Betrieb!$E$21*Betrieb!$H$21)+(Betrieb!$E$23*Betrieb!$H$23)</f>
        <v>0</v>
      </c>
      <c r="DQ27" s="2025">
        <f>(Betrieb!$E$22*Betrieb!$H$22)+(Betrieb!$E$24*Betrieb!$H$24)</f>
        <v>0</v>
      </c>
      <c r="DR27" s="2041">
        <f t="shared" si="187"/>
        <v>0</v>
      </c>
      <c r="DS27" s="2025">
        <f t="shared" si="188"/>
        <v>0</v>
      </c>
      <c r="DT27" s="2042">
        <f t="shared" si="189"/>
        <v>0</v>
      </c>
      <c r="DU27" s="2043">
        <f t="shared" si="203"/>
        <v>0</v>
      </c>
      <c r="DV27" s="2043">
        <f t="shared" si="190"/>
        <v>0</v>
      </c>
      <c r="DW27" s="2043">
        <f t="shared" si="204"/>
        <v>0</v>
      </c>
      <c r="DZ27" s="2044">
        <f t="shared" si="191"/>
        <v>0</v>
      </c>
      <c r="EA27" s="1874">
        <f t="shared" si="30"/>
        <v>0</v>
      </c>
      <c r="EB27" s="1874">
        <f t="shared" si="31"/>
        <v>0</v>
      </c>
      <c r="EC27" s="1874">
        <f t="shared" si="32"/>
        <v>0</v>
      </c>
      <c r="ED27" s="1874">
        <f t="shared" si="33"/>
        <v>0</v>
      </c>
      <c r="EE27" s="1874">
        <f t="shared" si="34"/>
        <v>0</v>
      </c>
      <c r="EF27" s="1874">
        <f t="shared" si="35"/>
        <v>0</v>
      </c>
      <c r="EH27" s="2044">
        <f t="shared" si="192"/>
        <v>0</v>
      </c>
      <c r="EI27" s="2025">
        <f t="shared" si="36"/>
        <v>0</v>
      </c>
      <c r="EJ27" s="2025">
        <f t="shared" si="37"/>
        <v>0</v>
      </c>
      <c r="EK27" s="2025">
        <f t="shared" si="38"/>
        <v>0</v>
      </c>
      <c r="EL27" s="2025">
        <f t="shared" si="39"/>
        <v>0</v>
      </c>
      <c r="EM27" s="2025">
        <f t="shared" si="40"/>
        <v>0</v>
      </c>
      <c r="EN27" s="2025">
        <f t="shared" si="41"/>
        <v>0</v>
      </c>
      <c r="EP27" s="2045">
        <f t="shared" si="42"/>
        <v>0</v>
      </c>
      <c r="EQ27" s="2042">
        <f t="shared" si="193"/>
        <v>0</v>
      </c>
      <c r="ER27" s="2042">
        <f t="shared" si="43"/>
        <v>0</v>
      </c>
      <c r="ES27" s="2042">
        <f t="shared" si="44"/>
        <v>0</v>
      </c>
      <c r="ET27" s="2042">
        <f t="shared" si="45"/>
        <v>0</v>
      </c>
      <c r="EU27" s="2042">
        <f t="shared" si="46"/>
        <v>0</v>
      </c>
      <c r="EV27" s="2042">
        <f t="shared" si="47"/>
        <v>0</v>
      </c>
      <c r="EW27" s="2042">
        <f t="shared" si="48"/>
        <v>0</v>
      </c>
      <c r="EX27" s="2042">
        <f t="shared" si="49"/>
        <v>0</v>
      </c>
      <c r="EY27" s="2042">
        <f t="shared" si="50"/>
        <v>0</v>
      </c>
      <c r="EZ27" s="2042">
        <f t="shared" si="51"/>
        <v>0</v>
      </c>
      <c r="FA27" s="2042">
        <f t="shared" si="52"/>
        <v>0</v>
      </c>
      <c r="FB27" s="2042">
        <f t="shared" si="53"/>
        <v>0</v>
      </c>
      <c r="FC27" s="2042">
        <f t="shared" si="54"/>
        <v>0</v>
      </c>
      <c r="FD27" s="2046">
        <f t="shared" si="194"/>
        <v>0</v>
      </c>
      <c r="FE27" s="2042">
        <f t="shared" si="55"/>
        <v>0</v>
      </c>
      <c r="FF27" s="2042">
        <f t="shared" si="56"/>
        <v>0</v>
      </c>
      <c r="FG27" s="2042">
        <f t="shared" si="57"/>
        <v>0</v>
      </c>
      <c r="FH27" s="2042">
        <f t="shared" si="58"/>
        <v>0</v>
      </c>
      <c r="FI27" s="2042">
        <f t="shared" si="59"/>
        <v>0</v>
      </c>
      <c r="FJ27" s="2042">
        <f t="shared" si="195"/>
        <v>0</v>
      </c>
      <c r="FK27" s="2042">
        <f t="shared" si="60"/>
        <v>0</v>
      </c>
      <c r="FL27" s="2042">
        <f t="shared" si="61"/>
        <v>0</v>
      </c>
      <c r="FM27" s="2042">
        <f t="shared" si="62"/>
        <v>0</v>
      </c>
      <c r="FN27" s="2042">
        <f t="shared" si="63"/>
        <v>0</v>
      </c>
      <c r="FO27" s="2042">
        <f t="shared" si="64"/>
        <v>0</v>
      </c>
      <c r="FP27" s="2042">
        <f t="shared" si="65"/>
        <v>0</v>
      </c>
      <c r="FQ27" s="2047">
        <f t="shared" si="196"/>
        <v>0</v>
      </c>
      <c r="FR27" s="2042">
        <f t="shared" si="66"/>
        <v>0</v>
      </c>
      <c r="FS27" s="2042">
        <f t="shared" si="67"/>
        <v>0</v>
      </c>
      <c r="FT27" s="2042">
        <f t="shared" si="68"/>
        <v>0</v>
      </c>
      <c r="FU27" s="2042">
        <f t="shared" si="69"/>
        <v>0</v>
      </c>
      <c r="FV27" s="2042">
        <f t="shared" si="70"/>
        <v>0</v>
      </c>
      <c r="FW27" s="2042">
        <f t="shared" si="71"/>
        <v>0</v>
      </c>
      <c r="FX27" s="2042">
        <f t="shared" si="72"/>
        <v>0</v>
      </c>
      <c r="FY27" s="2042">
        <f t="shared" si="73"/>
        <v>0</v>
      </c>
      <c r="FZ27" s="2042">
        <f t="shared" si="74"/>
        <v>0</v>
      </c>
      <c r="GA27" s="2042">
        <f t="shared" si="75"/>
        <v>0</v>
      </c>
      <c r="GB27" s="2042">
        <f t="shared" si="76"/>
        <v>0</v>
      </c>
      <c r="GC27" s="2042">
        <f t="shared" si="77"/>
        <v>0</v>
      </c>
      <c r="GD27" s="2042">
        <f t="shared" si="78"/>
        <v>0</v>
      </c>
      <c r="GE27" s="2042">
        <f t="shared" si="79"/>
        <v>0</v>
      </c>
      <c r="GF27" s="2042">
        <f t="shared" si="80"/>
        <v>0</v>
      </c>
      <c r="GG27" s="2042">
        <f t="shared" si="81"/>
        <v>0</v>
      </c>
      <c r="GH27" s="2042">
        <f t="shared" si="82"/>
        <v>0</v>
      </c>
      <c r="GI27" s="2042">
        <f t="shared" si="83"/>
        <v>0</v>
      </c>
      <c r="GJ27" s="2042">
        <f t="shared" si="84"/>
        <v>0</v>
      </c>
      <c r="GK27" s="2042">
        <f t="shared" si="85"/>
        <v>0</v>
      </c>
      <c r="GL27" s="2042">
        <f t="shared" si="86"/>
        <v>0</v>
      </c>
      <c r="GM27" s="2042">
        <f t="shared" si="87"/>
        <v>0</v>
      </c>
      <c r="GN27" s="2042">
        <f t="shared" si="88"/>
        <v>0</v>
      </c>
      <c r="GO27" s="2042">
        <f t="shared" si="89"/>
        <v>0</v>
      </c>
      <c r="GP27" s="2047">
        <f t="shared" si="197"/>
        <v>0</v>
      </c>
      <c r="GQ27" s="2042">
        <f t="shared" si="90"/>
        <v>0</v>
      </c>
      <c r="GR27" s="2042">
        <f t="shared" si="91"/>
        <v>0</v>
      </c>
      <c r="GS27" s="2042">
        <f t="shared" si="92"/>
        <v>0</v>
      </c>
      <c r="GT27" s="2042">
        <f t="shared" si="93"/>
        <v>0</v>
      </c>
      <c r="GU27" s="2042">
        <f t="shared" si="94"/>
        <v>0</v>
      </c>
      <c r="GV27" s="2042">
        <f t="shared" si="95"/>
        <v>0</v>
      </c>
      <c r="GW27" s="2042">
        <f t="shared" si="96"/>
        <v>0</v>
      </c>
      <c r="GX27" s="2042">
        <f t="shared" si="97"/>
        <v>0</v>
      </c>
      <c r="GY27" s="2042">
        <f t="shared" si="98"/>
        <v>0</v>
      </c>
      <c r="GZ27" s="2042">
        <f t="shared" si="99"/>
        <v>0</v>
      </c>
      <c r="HA27" s="2042">
        <f t="shared" si="100"/>
        <v>0</v>
      </c>
      <c r="HB27" s="2042">
        <f t="shared" si="101"/>
        <v>0</v>
      </c>
      <c r="HC27" s="2047">
        <f t="shared" si="198"/>
        <v>0</v>
      </c>
      <c r="HD27" s="2042">
        <f t="shared" si="102"/>
        <v>0</v>
      </c>
      <c r="HE27" s="2042">
        <f t="shared" si="103"/>
        <v>0</v>
      </c>
      <c r="HF27" s="2042">
        <f t="shared" si="104"/>
        <v>0</v>
      </c>
      <c r="HG27" s="2042">
        <f t="shared" si="105"/>
        <v>0</v>
      </c>
      <c r="HH27" s="2042">
        <f t="shared" si="106"/>
        <v>0</v>
      </c>
      <c r="HI27" s="2042">
        <f t="shared" si="107"/>
        <v>0</v>
      </c>
      <c r="HJ27" s="2042">
        <f t="shared" si="108"/>
        <v>0</v>
      </c>
      <c r="HK27" s="2042">
        <f t="shared" si="109"/>
        <v>0</v>
      </c>
      <c r="HL27" s="2042">
        <f t="shared" si="110"/>
        <v>0</v>
      </c>
      <c r="HM27" s="2042">
        <f t="shared" si="111"/>
        <v>0</v>
      </c>
      <c r="HN27" s="2042">
        <f t="shared" si="112"/>
        <v>0</v>
      </c>
      <c r="HO27" s="2042">
        <f t="shared" si="113"/>
        <v>0</v>
      </c>
      <c r="HP27" s="2047">
        <f t="shared" si="199"/>
        <v>0</v>
      </c>
      <c r="HQ27" s="2042">
        <f t="shared" si="114"/>
        <v>0</v>
      </c>
      <c r="HR27" s="2042">
        <f t="shared" si="115"/>
        <v>0</v>
      </c>
      <c r="HS27" s="2042">
        <f t="shared" si="116"/>
        <v>0</v>
      </c>
      <c r="HT27" s="2042">
        <f t="shared" si="117"/>
        <v>0</v>
      </c>
      <c r="HU27" s="2042">
        <f t="shared" si="118"/>
        <v>0</v>
      </c>
      <c r="HV27" s="2042">
        <f t="shared" si="119"/>
        <v>0</v>
      </c>
      <c r="HW27" s="2042">
        <f t="shared" si="120"/>
        <v>0</v>
      </c>
      <c r="HX27" s="2042">
        <f t="shared" si="121"/>
        <v>0</v>
      </c>
      <c r="HY27" s="2042">
        <f t="shared" si="122"/>
        <v>0</v>
      </c>
      <c r="HZ27" s="2042">
        <f t="shared" si="123"/>
        <v>0</v>
      </c>
      <c r="IA27" s="2042">
        <f t="shared" si="124"/>
        <v>0</v>
      </c>
      <c r="IB27" s="2042">
        <f t="shared" si="125"/>
        <v>0</v>
      </c>
      <c r="IC27" s="2047">
        <f t="shared" si="200"/>
        <v>0</v>
      </c>
      <c r="IE27" s="2044">
        <f t="shared" si="201"/>
        <v>0</v>
      </c>
      <c r="IF27" s="2025">
        <f t="shared" si="126"/>
        <v>0</v>
      </c>
      <c r="IG27" s="2025">
        <f t="shared" si="127"/>
        <v>0</v>
      </c>
      <c r="IH27" s="2025">
        <f t="shared" si="128"/>
        <v>0</v>
      </c>
      <c r="II27" s="2025">
        <f t="shared" si="129"/>
        <v>0</v>
      </c>
      <c r="IJ27" s="2025">
        <f t="shared" si="130"/>
        <v>0</v>
      </c>
      <c r="IK27" s="2025">
        <f t="shared" si="131"/>
        <v>0</v>
      </c>
      <c r="IL27" s="2025">
        <f t="shared" si="132"/>
        <v>0</v>
      </c>
      <c r="IM27" s="2025">
        <f t="shared" si="133"/>
        <v>0</v>
      </c>
      <c r="IN27" s="2025">
        <f t="shared" si="134"/>
        <v>0</v>
      </c>
      <c r="IO27" s="2025">
        <f t="shared" si="135"/>
        <v>0</v>
      </c>
      <c r="IP27" s="2025">
        <f t="shared" si="136"/>
        <v>0</v>
      </c>
      <c r="IQ27" s="2025">
        <f t="shared" si="137"/>
        <v>0</v>
      </c>
      <c r="IS27" s="2044">
        <f t="shared" si="202"/>
        <v>0</v>
      </c>
      <c r="IT27" s="2025">
        <f t="shared" si="138"/>
        <v>0</v>
      </c>
      <c r="IU27" s="2025">
        <f t="shared" si="139"/>
        <v>0</v>
      </c>
      <c r="IV27" s="2025">
        <f t="shared" si="140"/>
        <v>0</v>
      </c>
      <c r="IW27" s="2025">
        <f t="shared" si="141"/>
        <v>0</v>
      </c>
      <c r="IX27" s="2025">
        <f t="shared" si="142"/>
        <v>0</v>
      </c>
      <c r="IY27" s="2025">
        <f t="shared" si="143"/>
        <v>0</v>
      </c>
      <c r="IZ27" s="2025">
        <f t="shared" si="144"/>
        <v>0</v>
      </c>
      <c r="JA27" s="2025">
        <f t="shared" si="145"/>
        <v>0</v>
      </c>
      <c r="JB27" s="2025">
        <f t="shared" si="146"/>
        <v>0</v>
      </c>
      <c r="JC27" s="2025">
        <f t="shared" si="147"/>
        <v>0</v>
      </c>
      <c r="JD27" s="2025">
        <f t="shared" si="148"/>
        <v>0</v>
      </c>
      <c r="JE27" s="2025">
        <f t="shared" si="149"/>
        <v>0</v>
      </c>
    </row>
    <row r="28" spans="1:265" ht="18" customHeight="1">
      <c r="A28" s="1319"/>
      <c r="B28" s="2023">
        <v>24</v>
      </c>
      <c r="C28" s="1105" t="s">
        <v>34</v>
      </c>
      <c r="D28" s="2130"/>
      <c r="E28" s="739"/>
      <c r="F28" s="1544"/>
      <c r="G28" s="1320"/>
      <c r="H28" s="1321">
        <f t="shared" si="0"/>
        <v>0</v>
      </c>
      <c r="I28" s="1321">
        <f t="shared" si="150"/>
        <v>0</v>
      </c>
      <c r="J28" s="1321">
        <f t="shared" si="1"/>
        <v>0</v>
      </c>
      <c r="K28" s="1321">
        <f t="shared" si="2"/>
        <v>0</v>
      </c>
      <c r="L28" s="1322">
        <f>Summen_GL!F95</f>
        <v>0</v>
      </c>
      <c r="M28" s="1323">
        <f t="shared" si="151"/>
        <v>0</v>
      </c>
      <c r="N28" s="2070"/>
      <c r="O28" s="1321">
        <f t="shared" si="205"/>
        <v>0</v>
      </c>
      <c r="P28" s="1321">
        <f t="shared" si="3"/>
        <v>0</v>
      </c>
      <c r="Q28" s="2070"/>
      <c r="R28" s="1470"/>
      <c r="S28" s="1471"/>
      <c r="T28" s="1470"/>
      <c r="U28" s="1471"/>
      <c r="V28" s="1470"/>
      <c r="W28" s="1471"/>
      <c r="X28" s="1470"/>
      <c r="Y28" s="1471"/>
      <c r="Z28" s="1470"/>
      <c r="AA28" s="1471"/>
      <c r="AB28" s="1470"/>
      <c r="AC28" s="1551"/>
      <c r="AD28" s="844"/>
      <c r="AE28" s="1319"/>
      <c r="AF28" s="876"/>
      <c r="AG28" s="844"/>
      <c r="AH28" s="1563"/>
      <c r="AI28" s="2132"/>
      <c r="AJ28" s="1319"/>
      <c r="AK28" s="1593">
        <f t="shared" si="152"/>
        <v>0</v>
      </c>
      <c r="AL28" s="1594">
        <f t="shared" si="153"/>
        <v>0</v>
      </c>
      <c r="AM28" s="1319"/>
      <c r="AN28" s="1319"/>
      <c r="AP28" s="1860">
        <f t="shared" si="154"/>
        <v>0</v>
      </c>
      <c r="AQ28" s="1860">
        <f t="shared" si="155"/>
        <v>0</v>
      </c>
      <c r="AR28" s="1860">
        <f t="shared" si="156"/>
        <v>0</v>
      </c>
      <c r="AS28" s="1860">
        <f t="shared" si="157"/>
        <v>0</v>
      </c>
      <c r="AT28" s="1860">
        <f t="shared" si="158"/>
        <v>0</v>
      </c>
      <c r="AU28" s="1860">
        <f t="shared" si="159"/>
        <v>0</v>
      </c>
      <c r="AV28" s="1860">
        <f t="shared" si="160"/>
        <v>0</v>
      </c>
      <c r="AW28" s="1860">
        <f t="shared" si="161"/>
        <v>0</v>
      </c>
      <c r="AX28" s="1860">
        <f t="shared" si="162"/>
        <v>0</v>
      </c>
      <c r="AY28" s="1860">
        <f t="shared" si="163"/>
        <v>0</v>
      </c>
      <c r="AZ28" s="1860">
        <f t="shared" si="164"/>
        <v>0</v>
      </c>
      <c r="BA28" s="2026">
        <f t="shared" si="165"/>
        <v>0</v>
      </c>
      <c r="BB28" s="2026">
        <f t="shared" si="166"/>
        <v>0</v>
      </c>
      <c r="BC28" s="2026">
        <f t="shared" si="167"/>
        <v>0</v>
      </c>
      <c r="BD28" s="2026">
        <f t="shared" si="168"/>
        <v>0</v>
      </c>
      <c r="BE28" s="2026">
        <f t="shared" si="169"/>
        <v>0</v>
      </c>
      <c r="BF28" s="2026">
        <f t="shared" si="170"/>
        <v>0</v>
      </c>
      <c r="BG28" s="2026">
        <f t="shared" si="171"/>
        <v>0</v>
      </c>
      <c r="BH28" s="2026">
        <f t="shared" si="172"/>
        <v>0</v>
      </c>
      <c r="BI28" s="2026">
        <f t="shared" si="173"/>
        <v>0</v>
      </c>
      <c r="BJ28" s="2026">
        <f t="shared" si="174"/>
        <v>0</v>
      </c>
      <c r="BK28" s="2027"/>
      <c r="BL28" s="2026">
        <f t="shared" si="175"/>
        <v>0</v>
      </c>
      <c r="BM28" s="2026">
        <f t="shared" si="176"/>
        <v>0</v>
      </c>
      <c r="BN28" s="2026">
        <f t="shared" si="4"/>
        <v>0</v>
      </c>
      <c r="BO28" s="2026">
        <f t="shared" si="5"/>
        <v>0</v>
      </c>
      <c r="BP28" s="2026">
        <f t="shared" si="6"/>
        <v>0</v>
      </c>
      <c r="BQ28" s="2026">
        <f t="shared" si="7"/>
        <v>0</v>
      </c>
      <c r="BR28" s="2026">
        <f t="shared" si="8"/>
        <v>0</v>
      </c>
      <c r="BS28" s="2026">
        <f t="shared" si="177"/>
        <v>0</v>
      </c>
      <c r="BT28" s="2026">
        <f t="shared" si="9"/>
        <v>0</v>
      </c>
      <c r="BU28" s="2026">
        <f t="shared" si="10"/>
        <v>0</v>
      </c>
      <c r="BV28" s="2028"/>
      <c r="BW28" s="2029">
        <f t="shared" si="11"/>
        <v>0</v>
      </c>
      <c r="BX28" s="2029">
        <f t="shared" si="178"/>
        <v>0</v>
      </c>
      <c r="BY28" s="2029">
        <f t="shared" si="179"/>
        <v>0</v>
      </c>
      <c r="BZ28" s="2060"/>
      <c r="CA28" s="2030">
        <f t="shared" si="12"/>
        <v>0</v>
      </c>
      <c r="CB28" s="2030">
        <f t="shared" si="13"/>
        <v>0</v>
      </c>
      <c r="CC28" s="2030">
        <f t="shared" si="14"/>
        <v>0</v>
      </c>
      <c r="CD28" s="2031">
        <f t="shared" si="15"/>
        <v>0</v>
      </c>
      <c r="CE28" s="2031">
        <f t="shared" si="16"/>
        <v>0</v>
      </c>
      <c r="CF28" s="2031">
        <f t="shared" si="180"/>
        <v>0</v>
      </c>
      <c r="CG28" s="2030">
        <f t="shared" si="17"/>
        <v>0</v>
      </c>
      <c r="CH28" s="2032">
        <f t="shared" si="18"/>
        <v>0</v>
      </c>
      <c r="CI28" s="2032">
        <f t="shared" si="19"/>
        <v>0</v>
      </c>
      <c r="CJ28" s="2032">
        <f t="shared" si="181"/>
        <v>0</v>
      </c>
      <c r="CK28" s="2030">
        <f t="shared" si="20"/>
        <v>0</v>
      </c>
      <c r="CL28" s="2033">
        <f t="shared" si="21"/>
        <v>0</v>
      </c>
      <c r="CM28" s="2032">
        <f t="shared" si="22"/>
        <v>0</v>
      </c>
      <c r="CN28" s="2033">
        <f t="shared" si="23"/>
        <v>0</v>
      </c>
      <c r="CO28" s="2033">
        <f t="shared" si="182"/>
        <v>0</v>
      </c>
      <c r="CP28" s="2030">
        <f t="shared" si="24"/>
        <v>0</v>
      </c>
      <c r="CQ28" s="2030">
        <f t="shared" si="25"/>
        <v>0</v>
      </c>
      <c r="CR28" s="2030">
        <f t="shared" si="26"/>
        <v>0</v>
      </c>
      <c r="CS28" s="2030">
        <f t="shared" si="27"/>
        <v>0</v>
      </c>
      <c r="CT28" s="2035">
        <f t="shared" si="28"/>
        <v>0</v>
      </c>
      <c r="CU28" s="2036">
        <f t="shared" si="183"/>
        <v>0</v>
      </c>
      <c r="CV28" s="2036">
        <f t="shared" si="184"/>
        <v>0</v>
      </c>
      <c r="CW28" s="2036">
        <f t="shared" si="185"/>
        <v>0</v>
      </c>
      <c r="CY28" s="2064" t="s">
        <v>836</v>
      </c>
      <c r="CZ28" s="2065">
        <v>17</v>
      </c>
      <c r="DA28" s="2066">
        <f t="shared" si="206"/>
        <v>0</v>
      </c>
      <c r="DB28" s="2066">
        <v>6.3</v>
      </c>
      <c r="DC28" s="2067" t="s">
        <v>1157</v>
      </c>
      <c r="DL28" s="10">
        <f t="shared" si="186"/>
        <v>0</v>
      </c>
      <c r="DM28" s="10">
        <f t="shared" si="29"/>
        <v>0</v>
      </c>
      <c r="DN28" s="2027" t="e">
        <f>DL28/Betrieb!$E$23</f>
        <v>#DIV/0!</v>
      </c>
      <c r="DO28" s="2027" t="e">
        <f>DM28/Betrieb!$E$24</f>
        <v>#DIV/0!</v>
      </c>
      <c r="DP28" s="2041">
        <f>(Betrieb!$E$21*Betrieb!$H$21)+(Betrieb!$E$23*Betrieb!$H$23)</f>
        <v>0</v>
      </c>
      <c r="DQ28" s="2025">
        <f>(Betrieb!$E$22*Betrieb!$H$22)+(Betrieb!$E$24*Betrieb!$H$24)</f>
        <v>0</v>
      </c>
      <c r="DR28" s="2041">
        <f t="shared" si="187"/>
        <v>0</v>
      </c>
      <c r="DS28" s="2025">
        <f t="shared" si="188"/>
        <v>0</v>
      </c>
      <c r="DT28" s="2042">
        <f t="shared" si="189"/>
        <v>0</v>
      </c>
      <c r="DU28" s="2043">
        <f t="shared" si="203"/>
        <v>0</v>
      </c>
      <c r="DV28" s="2043">
        <f t="shared" si="190"/>
        <v>0</v>
      </c>
      <c r="DW28" s="2043">
        <f t="shared" si="204"/>
        <v>0</v>
      </c>
      <c r="DZ28" s="2044">
        <f t="shared" si="191"/>
        <v>0</v>
      </c>
      <c r="EA28" s="1874">
        <f t="shared" si="30"/>
        <v>0</v>
      </c>
      <c r="EB28" s="1874">
        <f t="shared" si="31"/>
        <v>0</v>
      </c>
      <c r="EC28" s="1874">
        <f t="shared" si="32"/>
        <v>0</v>
      </c>
      <c r="ED28" s="1874">
        <f t="shared" si="33"/>
        <v>0</v>
      </c>
      <c r="EE28" s="1874">
        <f t="shared" si="34"/>
        <v>0</v>
      </c>
      <c r="EF28" s="1874">
        <f t="shared" si="35"/>
        <v>0</v>
      </c>
      <c r="EH28" s="2044">
        <f t="shared" si="192"/>
        <v>0</v>
      </c>
      <c r="EI28" s="2025">
        <f t="shared" si="36"/>
        <v>0</v>
      </c>
      <c r="EJ28" s="2025">
        <f t="shared" si="37"/>
        <v>0</v>
      </c>
      <c r="EK28" s="2025">
        <f t="shared" si="38"/>
        <v>0</v>
      </c>
      <c r="EL28" s="2025">
        <f t="shared" si="39"/>
        <v>0</v>
      </c>
      <c r="EM28" s="2025">
        <f t="shared" si="40"/>
        <v>0</v>
      </c>
      <c r="EN28" s="2025">
        <f t="shared" si="41"/>
        <v>0</v>
      </c>
      <c r="EP28" s="2045">
        <f t="shared" si="42"/>
        <v>0</v>
      </c>
      <c r="EQ28" s="2042">
        <f t="shared" si="193"/>
        <v>0</v>
      </c>
      <c r="ER28" s="2042">
        <f t="shared" si="43"/>
        <v>0</v>
      </c>
      <c r="ES28" s="2042">
        <f t="shared" si="44"/>
        <v>0</v>
      </c>
      <c r="ET28" s="2042">
        <f t="shared" si="45"/>
        <v>0</v>
      </c>
      <c r="EU28" s="2042">
        <f t="shared" si="46"/>
        <v>0</v>
      </c>
      <c r="EV28" s="2042">
        <f t="shared" si="47"/>
        <v>0</v>
      </c>
      <c r="EW28" s="2042">
        <f t="shared" si="48"/>
        <v>0</v>
      </c>
      <c r="EX28" s="2042">
        <f t="shared" si="49"/>
        <v>0</v>
      </c>
      <c r="EY28" s="2042">
        <f t="shared" si="50"/>
        <v>0</v>
      </c>
      <c r="EZ28" s="2042">
        <f t="shared" si="51"/>
        <v>0</v>
      </c>
      <c r="FA28" s="2042">
        <f t="shared" si="52"/>
        <v>0</v>
      </c>
      <c r="FB28" s="2042">
        <f t="shared" si="53"/>
        <v>0</v>
      </c>
      <c r="FC28" s="2042">
        <f t="shared" si="54"/>
        <v>0</v>
      </c>
      <c r="FD28" s="2046">
        <f t="shared" si="194"/>
        <v>0</v>
      </c>
      <c r="FE28" s="2042">
        <f t="shared" si="55"/>
        <v>0</v>
      </c>
      <c r="FF28" s="2042">
        <f t="shared" si="56"/>
        <v>0</v>
      </c>
      <c r="FG28" s="2042">
        <f t="shared" si="57"/>
        <v>0</v>
      </c>
      <c r="FH28" s="2042">
        <f t="shared" si="58"/>
        <v>0</v>
      </c>
      <c r="FI28" s="2042">
        <f t="shared" si="59"/>
        <v>0</v>
      </c>
      <c r="FJ28" s="2042">
        <f t="shared" si="195"/>
        <v>0</v>
      </c>
      <c r="FK28" s="2042">
        <f t="shared" si="60"/>
        <v>0</v>
      </c>
      <c r="FL28" s="2042">
        <f t="shared" si="61"/>
        <v>0</v>
      </c>
      <c r="FM28" s="2042">
        <f t="shared" si="62"/>
        <v>0</v>
      </c>
      <c r="FN28" s="2042">
        <f t="shared" si="63"/>
        <v>0</v>
      </c>
      <c r="FO28" s="2042">
        <f t="shared" si="64"/>
        <v>0</v>
      </c>
      <c r="FP28" s="2042">
        <f t="shared" si="65"/>
        <v>0</v>
      </c>
      <c r="FQ28" s="2047">
        <f t="shared" si="196"/>
        <v>0</v>
      </c>
      <c r="FR28" s="2042">
        <f t="shared" si="66"/>
        <v>0</v>
      </c>
      <c r="FS28" s="2042">
        <f t="shared" si="67"/>
        <v>0</v>
      </c>
      <c r="FT28" s="2042">
        <f t="shared" si="68"/>
        <v>0</v>
      </c>
      <c r="FU28" s="2042">
        <f t="shared" si="69"/>
        <v>0</v>
      </c>
      <c r="FV28" s="2042">
        <f t="shared" si="70"/>
        <v>0</v>
      </c>
      <c r="FW28" s="2042">
        <f t="shared" si="71"/>
        <v>0</v>
      </c>
      <c r="FX28" s="2042">
        <f t="shared" si="72"/>
        <v>0</v>
      </c>
      <c r="FY28" s="2042">
        <f t="shared" si="73"/>
        <v>0</v>
      </c>
      <c r="FZ28" s="2042">
        <f t="shared" si="74"/>
        <v>0</v>
      </c>
      <c r="GA28" s="2042">
        <f t="shared" si="75"/>
        <v>0</v>
      </c>
      <c r="GB28" s="2042">
        <f t="shared" si="76"/>
        <v>0</v>
      </c>
      <c r="GC28" s="2042">
        <f t="shared" si="77"/>
        <v>0</v>
      </c>
      <c r="GD28" s="2042">
        <f t="shared" si="78"/>
        <v>0</v>
      </c>
      <c r="GE28" s="2042">
        <f t="shared" si="79"/>
        <v>0</v>
      </c>
      <c r="GF28" s="2042">
        <f t="shared" si="80"/>
        <v>0</v>
      </c>
      <c r="GG28" s="2042">
        <f t="shared" si="81"/>
        <v>0</v>
      </c>
      <c r="GH28" s="2042">
        <f t="shared" si="82"/>
        <v>0</v>
      </c>
      <c r="GI28" s="2042">
        <f t="shared" si="83"/>
        <v>0</v>
      </c>
      <c r="GJ28" s="2042">
        <f t="shared" si="84"/>
        <v>0</v>
      </c>
      <c r="GK28" s="2042">
        <f t="shared" si="85"/>
        <v>0</v>
      </c>
      <c r="GL28" s="2042">
        <f t="shared" si="86"/>
        <v>0</v>
      </c>
      <c r="GM28" s="2042">
        <f t="shared" si="87"/>
        <v>0</v>
      </c>
      <c r="GN28" s="2042">
        <f t="shared" si="88"/>
        <v>0</v>
      </c>
      <c r="GO28" s="2042">
        <f t="shared" si="89"/>
        <v>0</v>
      </c>
      <c r="GP28" s="2047">
        <f t="shared" si="197"/>
        <v>0</v>
      </c>
      <c r="GQ28" s="2042">
        <f t="shared" si="90"/>
        <v>0</v>
      </c>
      <c r="GR28" s="2042">
        <f t="shared" si="91"/>
        <v>0</v>
      </c>
      <c r="GS28" s="2042">
        <f t="shared" si="92"/>
        <v>0</v>
      </c>
      <c r="GT28" s="2042">
        <f t="shared" si="93"/>
        <v>0</v>
      </c>
      <c r="GU28" s="2042">
        <f t="shared" si="94"/>
        <v>0</v>
      </c>
      <c r="GV28" s="2042">
        <f t="shared" si="95"/>
        <v>0</v>
      </c>
      <c r="GW28" s="2042">
        <f t="shared" si="96"/>
        <v>0</v>
      </c>
      <c r="GX28" s="2042">
        <f t="shared" si="97"/>
        <v>0</v>
      </c>
      <c r="GY28" s="2042">
        <f t="shared" si="98"/>
        <v>0</v>
      </c>
      <c r="GZ28" s="2042">
        <f t="shared" si="99"/>
        <v>0</v>
      </c>
      <c r="HA28" s="2042">
        <f t="shared" si="100"/>
        <v>0</v>
      </c>
      <c r="HB28" s="2042">
        <f t="shared" si="101"/>
        <v>0</v>
      </c>
      <c r="HC28" s="2047">
        <f t="shared" si="198"/>
        <v>0</v>
      </c>
      <c r="HD28" s="2042">
        <f t="shared" si="102"/>
        <v>0</v>
      </c>
      <c r="HE28" s="2042">
        <f t="shared" si="103"/>
        <v>0</v>
      </c>
      <c r="HF28" s="2042">
        <f t="shared" si="104"/>
        <v>0</v>
      </c>
      <c r="HG28" s="2042">
        <f t="shared" si="105"/>
        <v>0</v>
      </c>
      <c r="HH28" s="2042">
        <f t="shared" si="106"/>
        <v>0</v>
      </c>
      <c r="HI28" s="2042">
        <f t="shared" si="107"/>
        <v>0</v>
      </c>
      <c r="HJ28" s="2042">
        <f t="shared" si="108"/>
        <v>0</v>
      </c>
      <c r="HK28" s="2042">
        <f t="shared" si="109"/>
        <v>0</v>
      </c>
      <c r="HL28" s="2042">
        <f t="shared" si="110"/>
        <v>0</v>
      </c>
      <c r="HM28" s="2042">
        <f t="shared" si="111"/>
        <v>0</v>
      </c>
      <c r="HN28" s="2042">
        <f t="shared" si="112"/>
        <v>0</v>
      </c>
      <c r="HO28" s="2042">
        <f t="shared" si="113"/>
        <v>0</v>
      </c>
      <c r="HP28" s="2047">
        <f t="shared" si="199"/>
        <v>0</v>
      </c>
      <c r="HQ28" s="2042">
        <f t="shared" si="114"/>
        <v>0</v>
      </c>
      <c r="HR28" s="2042">
        <f t="shared" si="115"/>
        <v>0</v>
      </c>
      <c r="HS28" s="2042">
        <f t="shared" si="116"/>
        <v>0</v>
      </c>
      <c r="HT28" s="2042">
        <f t="shared" si="117"/>
        <v>0</v>
      </c>
      <c r="HU28" s="2042">
        <f t="shared" si="118"/>
        <v>0</v>
      </c>
      <c r="HV28" s="2042">
        <f t="shared" si="119"/>
        <v>0</v>
      </c>
      <c r="HW28" s="2042">
        <f t="shared" si="120"/>
        <v>0</v>
      </c>
      <c r="HX28" s="2042">
        <f t="shared" si="121"/>
        <v>0</v>
      </c>
      <c r="HY28" s="2042">
        <f t="shared" si="122"/>
        <v>0</v>
      </c>
      <c r="HZ28" s="2042">
        <f t="shared" si="123"/>
        <v>0</v>
      </c>
      <c r="IA28" s="2042">
        <f t="shared" si="124"/>
        <v>0</v>
      </c>
      <c r="IB28" s="2042">
        <f t="shared" si="125"/>
        <v>0</v>
      </c>
      <c r="IC28" s="2047">
        <f t="shared" si="200"/>
        <v>0</v>
      </c>
      <c r="IE28" s="2044">
        <f t="shared" si="201"/>
        <v>0</v>
      </c>
      <c r="IF28" s="2025">
        <f t="shared" si="126"/>
        <v>0</v>
      </c>
      <c r="IG28" s="2025">
        <f t="shared" si="127"/>
        <v>0</v>
      </c>
      <c r="IH28" s="2025">
        <f t="shared" si="128"/>
        <v>0</v>
      </c>
      <c r="II28" s="2025">
        <f t="shared" si="129"/>
        <v>0</v>
      </c>
      <c r="IJ28" s="2025">
        <f t="shared" si="130"/>
        <v>0</v>
      </c>
      <c r="IK28" s="2025">
        <f t="shared" si="131"/>
        <v>0</v>
      </c>
      <c r="IL28" s="2025">
        <f t="shared" si="132"/>
        <v>0</v>
      </c>
      <c r="IM28" s="2025">
        <f t="shared" si="133"/>
        <v>0</v>
      </c>
      <c r="IN28" s="2025">
        <f t="shared" si="134"/>
        <v>0</v>
      </c>
      <c r="IO28" s="2025">
        <f t="shared" si="135"/>
        <v>0</v>
      </c>
      <c r="IP28" s="2025">
        <f t="shared" si="136"/>
        <v>0</v>
      </c>
      <c r="IQ28" s="2025">
        <f t="shared" si="137"/>
        <v>0</v>
      </c>
      <c r="IS28" s="2044">
        <f t="shared" si="202"/>
        <v>0</v>
      </c>
      <c r="IT28" s="2025">
        <f t="shared" si="138"/>
        <v>0</v>
      </c>
      <c r="IU28" s="2025">
        <f t="shared" si="139"/>
        <v>0</v>
      </c>
      <c r="IV28" s="2025">
        <f t="shared" si="140"/>
        <v>0</v>
      </c>
      <c r="IW28" s="2025">
        <f t="shared" si="141"/>
        <v>0</v>
      </c>
      <c r="IX28" s="2025">
        <f t="shared" si="142"/>
        <v>0</v>
      </c>
      <c r="IY28" s="2025">
        <f t="shared" si="143"/>
        <v>0</v>
      </c>
      <c r="IZ28" s="2025">
        <f t="shared" si="144"/>
        <v>0</v>
      </c>
      <c r="JA28" s="2025">
        <f t="shared" si="145"/>
        <v>0</v>
      </c>
      <c r="JB28" s="2025">
        <f t="shared" si="146"/>
        <v>0</v>
      </c>
      <c r="JC28" s="2025">
        <f t="shared" si="147"/>
        <v>0</v>
      </c>
      <c r="JD28" s="2025">
        <f t="shared" si="148"/>
        <v>0</v>
      </c>
      <c r="JE28" s="2025">
        <f t="shared" si="149"/>
        <v>0</v>
      </c>
    </row>
    <row r="29" spans="1:265" ht="18" customHeight="1">
      <c r="A29" s="1319"/>
      <c r="B29" s="2023">
        <v>25</v>
      </c>
      <c r="C29" s="1105" t="s">
        <v>34</v>
      </c>
      <c r="D29" s="2130"/>
      <c r="E29" s="739"/>
      <c r="F29" s="1544"/>
      <c r="G29" s="1320"/>
      <c r="H29" s="1321">
        <f t="shared" si="0"/>
        <v>0</v>
      </c>
      <c r="I29" s="1321">
        <f t="shared" si="150"/>
        <v>0</v>
      </c>
      <c r="J29" s="1321">
        <f t="shared" si="1"/>
        <v>0</v>
      </c>
      <c r="K29" s="1321">
        <f t="shared" si="2"/>
        <v>0</v>
      </c>
      <c r="L29" s="1322">
        <f>Summen_GL!F96</f>
        <v>0</v>
      </c>
      <c r="M29" s="1323">
        <f t="shared" si="151"/>
        <v>0</v>
      </c>
      <c r="N29" s="2070"/>
      <c r="O29" s="1321">
        <f t="shared" si="205"/>
        <v>0</v>
      </c>
      <c r="P29" s="1321">
        <f t="shared" si="3"/>
        <v>0</v>
      </c>
      <c r="Q29" s="2070"/>
      <c r="R29" s="1470"/>
      <c r="S29" s="1471"/>
      <c r="T29" s="1470"/>
      <c r="U29" s="1471"/>
      <c r="V29" s="1470"/>
      <c r="W29" s="1471"/>
      <c r="X29" s="1470"/>
      <c r="Y29" s="1471"/>
      <c r="Z29" s="1470"/>
      <c r="AA29" s="1471"/>
      <c r="AB29" s="1470"/>
      <c r="AC29" s="1551"/>
      <c r="AD29" s="844"/>
      <c r="AE29" s="1319"/>
      <c r="AF29" s="876"/>
      <c r="AG29" s="844"/>
      <c r="AH29" s="1563"/>
      <c r="AI29" s="2132"/>
      <c r="AJ29" s="1319"/>
      <c r="AK29" s="1593">
        <f t="shared" si="152"/>
        <v>0</v>
      </c>
      <c r="AL29" s="1594">
        <f t="shared" si="153"/>
        <v>0</v>
      </c>
      <c r="AM29" s="1319"/>
      <c r="AN29" s="1319"/>
      <c r="AP29" s="1860">
        <f t="shared" si="154"/>
        <v>0</v>
      </c>
      <c r="AQ29" s="1860">
        <f t="shared" si="155"/>
        <v>0</v>
      </c>
      <c r="AR29" s="1860">
        <f t="shared" si="156"/>
        <v>0</v>
      </c>
      <c r="AS29" s="1860">
        <f t="shared" si="157"/>
        <v>0</v>
      </c>
      <c r="AT29" s="1860">
        <f t="shared" si="158"/>
        <v>0</v>
      </c>
      <c r="AU29" s="1860">
        <f t="shared" si="159"/>
        <v>0</v>
      </c>
      <c r="AV29" s="1860">
        <f t="shared" si="160"/>
        <v>0</v>
      </c>
      <c r="AW29" s="1860">
        <f t="shared" si="161"/>
        <v>0</v>
      </c>
      <c r="AX29" s="1860">
        <f t="shared" si="162"/>
        <v>0</v>
      </c>
      <c r="AY29" s="1860">
        <f t="shared" si="163"/>
        <v>0</v>
      </c>
      <c r="AZ29" s="1860">
        <f t="shared" si="164"/>
        <v>0</v>
      </c>
      <c r="BA29" s="2026">
        <f t="shared" si="165"/>
        <v>0</v>
      </c>
      <c r="BB29" s="2026">
        <f t="shared" si="166"/>
        <v>0</v>
      </c>
      <c r="BC29" s="2026">
        <f t="shared" si="167"/>
        <v>0</v>
      </c>
      <c r="BD29" s="2026">
        <f t="shared" si="168"/>
        <v>0</v>
      </c>
      <c r="BE29" s="2026">
        <f t="shared" si="169"/>
        <v>0</v>
      </c>
      <c r="BF29" s="2026">
        <f t="shared" si="170"/>
        <v>0</v>
      </c>
      <c r="BG29" s="2026">
        <f t="shared" si="171"/>
        <v>0</v>
      </c>
      <c r="BH29" s="2026">
        <f t="shared" si="172"/>
        <v>0</v>
      </c>
      <c r="BI29" s="2026">
        <f t="shared" si="173"/>
        <v>0</v>
      </c>
      <c r="BJ29" s="2026">
        <f t="shared" si="174"/>
        <v>0</v>
      </c>
      <c r="BK29" s="2027"/>
      <c r="BL29" s="2026">
        <f t="shared" si="175"/>
        <v>0</v>
      </c>
      <c r="BM29" s="2026">
        <f t="shared" si="176"/>
        <v>0</v>
      </c>
      <c r="BN29" s="2026">
        <f t="shared" si="4"/>
        <v>0</v>
      </c>
      <c r="BO29" s="2026">
        <f t="shared" si="5"/>
        <v>0</v>
      </c>
      <c r="BP29" s="2026">
        <f t="shared" si="6"/>
        <v>0</v>
      </c>
      <c r="BQ29" s="2026">
        <f t="shared" si="7"/>
        <v>0</v>
      </c>
      <c r="BR29" s="2026">
        <f t="shared" si="8"/>
        <v>0</v>
      </c>
      <c r="BS29" s="2026">
        <f t="shared" si="177"/>
        <v>0</v>
      </c>
      <c r="BT29" s="2026">
        <f t="shared" si="9"/>
        <v>0</v>
      </c>
      <c r="BU29" s="2026">
        <f t="shared" si="10"/>
        <v>0</v>
      </c>
      <c r="BV29" s="2028"/>
      <c r="BW29" s="2029">
        <f t="shared" si="11"/>
        <v>0</v>
      </c>
      <c r="BX29" s="2029">
        <f t="shared" si="178"/>
        <v>0</v>
      </c>
      <c r="BY29" s="2029">
        <f t="shared" si="179"/>
        <v>0</v>
      </c>
      <c r="BZ29" s="2060"/>
      <c r="CA29" s="2030">
        <f t="shared" si="12"/>
        <v>0</v>
      </c>
      <c r="CB29" s="2030">
        <f t="shared" si="13"/>
        <v>0</v>
      </c>
      <c r="CC29" s="2030">
        <f t="shared" si="14"/>
        <v>0</v>
      </c>
      <c r="CD29" s="2031">
        <f t="shared" si="15"/>
        <v>0</v>
      </c>
      <c r="CE29" s="2031">
        <f t="shared" si="16"/>
        <v>0</v>
      </c>
      <c r="CF29" s="2031">
        <f t="shared" si="180"/>
        <v>0</v>
      </c>
      <c r="CG29" s="2030">
        <f t="shared" si="17"/>
        <v>0</v>
      </c>
      <c r="CH29" s="2032">
        <f t="shared" si="18"/>
        <v>0</v>
      </c>
      <c r="CI29" s="2032">
        <f t="shared" si="19"/>
        <v>0</v>
      </c>
      <c r="CJ29" s="2032">
        <f t="shared" si="181"/>
        <v>0</v>
      </c>
      <c r="CK29" s="2030">
        <f t="shared" si="20"/>
        <v>0</v>
      </c>
      <c r="CL29" s="2033">
        <f t="shared" si="21"/>
        <v>0</v>
      </c>
      <c r="CM29" s="2032">
        <f t="shared" si="22"/>
        <v>0</v>
      </c>
      <c r="CN29" s="2033">
        <f t="shared" si="23"/>
        <v>0</v>
      </c>
      <c r="CO29" s="2033">
        <f t="shared" si="182"/>
        <v>0</v>
      </c>
      <c r="CP29" s="2030">
        <f t="shared" si="24"/>
        <v>0</v>
      </c>
      <c r="CQ29" s="2030">
        <f t="shared" si="25"/>
        <v>0</v>
      </c>
      <c r="CR29" s="2030">
        <f t="shared" si="26"/>
        <v>0</v>
      </c>
      <c r="CS29" s="2030">
        <f t="shared" si="27"/>
        <v>0</v>
      </c>
      <c r="CT29" s="2035">
        <f t="shared" si="28"/>
        <v>0</v>
      </c>
      <c r="CU29" s="2036">
        <f t="shared" si="183"/>
        <v>0</v>
      </c>
      <c r="CV29" s="2036">
        <f t="shared" si="184"/>
        <v>0</v>
      </c>
      <c r="CW29" s="2036">
        <f t="shared" si="185"/>
        <v>0</v>
      </c>
      <c r="CY29" s="2068" t="s">
        <v>842</v>
      </c>
      <c r="CZ29" s="2069">
        <v>18</v>
      </c>
      <c r="DA29" s="2066">
        <f t="shared" si="206"/>
        <v>0</v>
      </c>
      <c r="DB29" s="2061">
        <v>6.5</v>
      </c>
      <c r="DC29" s="2066" t="s">
        <v>1157</v>
      </c>
      <c r="DL29" s="10">
        <f t="shared" si="186"/>
        <v>0</v>
      </c>
      <c r="DM29" s="10">
        <f t="shared" si="29"/>
        <v>0</v>
      </c>
      <c r="DN29" s="2027" t="e">
        <f>DL29/Betrieb!$E$23</f>
        <v>#DIV/0!</v>
      </c>
      <c r="DO29" s="2027" t="e">
        <f>DM29/Betrieb!$E$24</f>
        <v>#DIV/0!</v>
      </c>
      <c r="DP29" s="2041">
        <f>(Betrieb!$E$21*Betrieb!$H$21)+(Betrieb!$E$23*Betrieb!$H$23)</f>
        <v>0</v>
      </c>
      <c r="DQ29" s="2025">
        <f>(Betrieb!$E$22*Betrieb!$H$22)+(Betrieb!$E$24*Betrieb!$H$24)</f>
        <v>0</v>
      </c>
      <c r="DR29" s="2041">
        <f t="shared" si="187"/>
        <v>0</v>
      </c>
      <c r="DS29" s="2025">
        <f t="shared" si="188"/>
        <v>0</v>
      </c>
      <c r="DT29" s="2042">
        <f t="shared" si="189"/>
        <v>0</v>
      </c>
      <c r="DU29" s="2043">
        <f t="shared" si="203"/>
        <v>0</v>
      </c>
      <c r="DV29" s="2043">
        <f t="shared" si="190"/>
        <v>0</v>
      </c>
      <c r="DW29" s="2043">
        <f t="shared" si="204"/>
        <v>0</v>
      </c>
      <c r="DZ29" s="2044">
        <f t="shared" si="191"/>
        <v>0</v>
      </c>
      <c r="EA29" s="1874">
        <f t="shared" si="30"/>
        <v>0</v>
      </c>
      <c r="EB29" s="1874">
        <f t="shared" si="31"/>
        <v>0</v>
      </c>
      <c r="EC29" s="1874">
        <f t="shared" si="32"/>
        <v>0</v>
      </c>
      <c r="ED29" s="1874">
        <f t="shared" si="33"/>
        <v>0</v>
      </c>
      <c r="EE29" s="1874">
        <f t="shared" si="34"/>
        <v>0</v>
      </c>
      <c r="EF29" s="1874">
        <f t="shared" si="35"/>
        <v>0</v>
      </c>
      <c r="EH29" s="2044">
        <f t="shared" si="192"/>
        <v>0</v>
      </c>
      <c r="EI29" s="2025">
        <f t="shared" si="36"/>
        <v>0</v>
      </c>
      <c r="EJ29" s="2025">
        <f t="shared" si="37"/>
        <v>0</v>
      </c>
      <c r="EK29" s="2025">
        <f t="shared" si="38"/>
        <v>0</v>
      </c>
      <c r="EL29" s="2025">
        <f t="shared" si="39"/>
        <v>0</v>
      </c>
      <c r="EM29" s="2025">
        <f t="shared" si="40"/>
        <v>0</v>
      </c>
      <c r="EN29" s="2025">
        <f t="shared" si="41"/>
        <v>0</v>
      </c>
      <c r="EP29" s="2045">
        <f t="shared" si="42"/>
        <v>0</v>
      </c>
      <c r="EQ29" s="2042">
        <f t="shared" si="193"/>
        <v>0</v>
      </c>
      <c r="ER29" s="2042">
        <f t="shared" si="43"/>
        <v>0</v>
      </c>
      <c r="ES29" s="2042">
        <f t="shared" si="44"/>
        <v>0</v>
      </c>
      <c r="ET29" s="2042">
        <f t="shared" si="45"/>
        <v>0</v>
      </c>
      <c r="EU29" s="2042">
        <f t="shared" si="46"/>
        <v>0</v>
      </c>
      <c r="EV29" s="2042">
        <f t="shared" si="47"/>
        <v>0</v>
      </c>
      <c r="EW29" s="2042">
        <f t="shared" si="48"/>
        <v>0</v>
      </c>
      <c r="EX29" s="2042">
        <f t="shared" si="49"/>
        <v>0</v>
      </c>
      <c r="EY29" s="2042">
        <f t="shared" si="50"/>
        <v>0</v>
      </c>
      <c r="EZ29" s="2042">
        <f t="shared" si="51"/>
        <v>0</v>
      </c>
      <c r="FA29" s="2042">
        <f t="shared" si="52"/>
        <v>0</v>
      </c>
      <c r="FB29" s="2042">
        <f t="shared" si="53"/>
        <v>0</v>
      </c>
      <c r="FC29" s="2042">
        <f t="shared" si="54"/>
        <v>0</v>
      </c>
      <c r="FD29" s="2046">
        <f t="shared" si="194"/>
        <v>0</v>
      </c>
      <c r="FE29" s="2042">
        <f t="shared" si="55"/>
        <v>0</v>
      </c>
      <c r="FF29" s="2042">
        <f t="shared" si="56"/>
        <v>0</v>
      </c>
      <c r="FG29" s="2042">
        <f t="shared" si="57"/>
        <v>0</v>
      </c>
      <c r="FH29" s="2042">
        <f t="shared" si="58"/>
        <v>0</v>
      </c>
      <c r="FI29" s="2042">
        <f t="shared" si="59"/>
        <v>0</v>
      </c>
      <c r="FJ29" s="2042">
        <f t="shared" si="195"/>
        <v>0</v>
      </c>
      <c r="FK29" s="2042">
        <f t="shared" si="60"/>
        <v>0</v>
      </c>
      <c r="FL29" s="2042">
        <f t="shared" si="61"/>
        <v>0</v>
      </c>
      <c r="FM29" s="2042">
        <f t="shared" si="62"/>
        <v>0</v>
      </c>
      <c r="FN29" s="2042">
        <f t="shared" si="63"/>
        <v>0</v>
      </c>
      <c r="FO29" s="2042">
        <f t="shared" si="64"/>
        <v>0</v>
      </c>
      <c r="FP29" s="2042">
        <f t="shared" si="65"/>
        <v>0</v>
      </c>
      <c r="FQ29" s="2047">
        <f t="shared" si="196"/>
        <v>0</v>
      </c>
      <c r="FR29" s="2042">
        <f t="shared" si="66"/>
        <v>0</v>
      </c>
      <c r="FS29" s="2042">
        <f t="shared" si="67"/>
        <v>0</v>
      </c>
      <c r="FT29" s="2042">
        <f t="shared" si="68"/>
        <v>0</v>
      </c>
      <c r="FU29" s="2042">
        <f t="shared" si="69"/>
        <v>0</v>
      </c>
      <c r="FV29" s="2042">
        <f t="shared" si="70"/>
        <v>0</v>
      </c>
      <c r="FW29" s="2042">
        <f t="shared" si="71"/>
        <v>0</v>
      </c>
      <c r="FX29" s="2042">
        <f t="shared" si="72"/>
        <v>0</v>
      </c>
      <c r="FY29" s="2042">
        <f t="shared" si="73"/>
        <v>0</v>
      </c>
      <c r="FZ29" s="2042">
        <f t="shared" si="74"/>
        <v>0</v>
      </c>
      <c r="GA29" s="2042">
        <f t="shared" si="75"/>
        <v>0</v>
      </c>
      <c r="GB29" s="2042">
        <f t="shared" si="76"/>
        <v>0</v>
      </c>
      <c r="GC29" s="2042">
        <f t="shared" si="77"/>
        <v>0</v>
      </c>
      <c r="GD29" s="2042">
        <f t="shared" si="78"/>
        <v>0</v>
      </c>
      <c r="GE29" s="2042">
        <f t="shared" si="79"/>
        <v>0</v>
      </c>
      <c r="GF29" s="2042">
        <f t="shared" si="80"/>
        <v>0</v>
      </c>
      <c r="GG29" s="2042">
        <f t="shared" si="81"/>
        <v>0</v>
      </c>
      <c r="GH29" s="2042">
        <f t="shared" si="82"/>
        <v>0</v>
      </c>
      <c r="GI29" s="2042">
        <f t="shared" si="83"/>
        <v>0</v>
      </c>
      <c r="GJ29" s="2042">
        <f t="shared" si="84"/>
        <v>0</v>
      </c>
      <c r="GK29" s="2042">
        <f t="shared" si="85"/>
        <v>0</v>
      </c>
      <c r="GL29" s="2042">
        <f t="shared" si="86"/>
        <v>0</v>
      </c>
      <c r="GM29" s="2042">
        <f t="shared" si="87"/>
        <v>0</v>
      </c>
      <c r="GN29" s="2042">
        <f t="shared" si="88"/>
        <v>0</v>
      </c>
      <c r="GO29" s="2042">
        <f t="shared" si="89"/>
        <v>0</v>
      </c>
      <c r="GP29" s="2047">
        <f t="shared" si="197"/>
        <v>0</v>
      </c>
      <c r="GQ29" s="2042">
        <f t="shared" si="90"/>
        <v>0</v>
      </c>
      <c r="GR29" s="2042">
        <f t="shared" si="91"/>
        <v>0</v>
      </c>
      <c r="GS29" s="2042">
        <f t="shared" si="92"/>
        <v>0</v>
      </c>
      <c r="GT29" s="2042">
        <f t="shared" si="93"/>
        <v>0</v>
      </c>
      <c r="GU29" s="2042">
        <f t="shared" si="94"/>
        <v>0</v>
      </c>
      <c r="GV29" s="2042">
        <f t="shared" si="95"/>
        <v>0</v>
      </c>
      <c r="GW29" s="2042">
        <f t="shared" si="96"/>
        <v>0</v>
      </c>
      <c r="GX29" s="2042">
        <f t="shared" si="97"/>
        <v>0</v>
      </c>
      <c r="GY29" s="2042">
        <f t="shared" si="98"/>
        <v>0</v>
      </c>
      <c r="GZ29" s="2042">
        <f t="shared" si="99"/>
        <v>0</v>
      </c>
      <c r="HA29" s="2042">
        <f t="shared" si="100"/>
        <v>0</v>
      </c>
      <c r="HB29" s="2042">
        <f t="shared" si="101"/>
        <v>0</v>
      </c>
      <c r="HC29" s="2047">
        <f t="shared" si="198"/>
        <v>0</v>
      </c>
      <c r="HD29" s="2042">
        <f t="shared" si="102"/>
        <v>0</v>
      </c>
      <c r="HE29" s="2042">
        <f t="shared" si="103"/>
        <v>0</v>
      </c>
      <c r="HF29" s="2042">
        <f t="shared" si="104"/>
        <v>0</v>
      </c>
      <c r="HG29" s="2042">
        <f t="shared" si="105"/>
        <v>0</v>
      </c>
      <c r="HH29" s="2042">
        <f t="shared" si="106"/>
        <v>0</v>
      </c>
      <c r="HI29" s="2042">
        <f t="shared" si="107"/>
        <v>0</v>
      </c>
      <c r="HJ29" s="2042">
        <f t="shared" si="108"/>
        <v>0</v>
      </c>
      <c r="HK29" s="2042">
        <f t="shared" si="109"/>
        <v>0</v>
      </c>
      <c r="HL29" s="2042">
        <f t="shared" si="110"/>
        <v>0</v>
      </c>
      <c r="HM29" s="2042">
        <f t="shared" si="111"/>
        <v>0</v>
      </c>
      <c r="HN29" s="2042">
        <f t="shared" si="112"/>
        <v>0</v>
      </c>
      <c r="HO29" s="2042">
        <f t="shared" si="113"/>
        <v>0</v>
      </c>
      <c r="HP29" s="2047">
        <f t="shared" si="199"/>
        <v>0</v>
      </c>
      <c r="HQ29" s="2042">
        <f t="shared" si="114"/>
        <v>0</v>
      </c>
      <c r="HR29" s="2042">
        <f t="shared" si="115"/>
        <v>0</v>
      </c>
      <c r="HS29" s="2042">
        <f t="shared" si="116"/>
        <v>0</v>
      </c>
      <c r="HT29" s="2042">
        <f t="shared" si="117"/>
        <v>0</v>
      </c>
      <c r="HU29" s="2042">
        <f t="shared" si="118"/>
        <v>0</v>
      </c>
      <c r="HV29" s="2042">
        <f t="shared" si="119"/>
        <v>0</v>
      </c>
      <c r="HW29" s="2042">
        <f t="shared" si="120"/>
        <v>0</v>
      </c>
      <c r="HX29" s="2042">
        <f t="shared" si="121"/>
        <v>0</v>
      </c>
      <c r="HY29" s="2042">
        <f t="shared" si="122"/>
        <v>0</v>
      </c>
      <c r="HZ29" s="2042">
        <f t="shared" si="123"/>
        <v>0</v>
      </c>
      <c r="IA29" s="2042">
        <f t="shared" si="124"/>
        <v>0</v>
      </c>
      <c r="IB29" s="2042">
        <f t="shared" si="125"/>
        <v>0</v>
      </c>
      <c r="IC29" s="2047">
        <f t="shared" si="200"/>
        <v>0</v>
      </c>
      <c r="IE29" s="2044">
        <f t="shared" si="201"/>
        <v>0</v>
      </c>
      <c r="IF29" s="2025">
        <f t="shared" si="126"/>
        <v>0</v>
      </c>
      <c r="IG29" s="2025">
        <f t="shared" si="127"/>
        <v>0</v>
      </c>
      <c r="IH29" s="2025">
        <f t="shared" si="128"/>
        <v>0</v>
      </c>
      <c r="II29" s="2025">
        <f t="shared" si="129"/>
        <v>0</v>
      </c>
      <c r="IJ29" s="2025">
        <f t="shared" si="130"/>
        <v>0</v>
      </c>
      <c r="IK29" s="2025">
        <f t="shared" si="131"/>
        <v>0</v>
      </c>
      <c r="IL29" s="2025">
        <f t="shared" si="132"/>
        <v>0</v>
      </c>
      <c r="IM29" s="2025">
        <f t="shared" si="133"/>
        <v>0</v>
      </c>
      <c r="IN29" s="2025">
        <f t="shared" si="134"/>
        <v>0</v>
      </c>
      <c r="IO29" s="2025">
        <f t="shared" si="135"/>
        <v>0</v>
      </c>
      <c r="IP29" s="2025">
        <f t="shared" si="136"/>
        <v>0</v>
      </c>
      <c r="IQ29" s="2025">
        <f t="shared" si="137"/>
        <v>0</v>
      </c>
      <c r="IS29" s="2044">
        <f t="shared" si="202"/>
        <v>0</v>
      </c>
      <c r="IT29" s="2025">
        <f t="shared" si="138"/>
        <v>0</v>
      </c>
      <c r="IU29" s="2025">
        <f t="shared" si="139"/>
        <v>0</v>
      </c>
      <c r="IV29" s="2025">
        <f t="shared" si="140"/>
        <v>0</v>
      </c>
      <c r="IW29" s="2025">
        <f t="shared" si="141"/>
        <v>0</v>
      </c>
      <c r="IX29" s="2025">
        <f t="shared" si="142"/>
        <v>0</v>
      </c>
      <c r="IY29" s="2025">
        <f t="shared" si="143"/>
        <v>0</v>
      </c>
      <c r="IZ29" s="2025">
        <f t="shared" si="144"/>
        <v>0</v>
      </c>
      <c r="JA29" s="2025">
        <f t="shared" si="145"/>
        <v>0</v>
      </c>
      <c r="JB29" s="2025">
        <f t="shared" si="146"/>
        <v>0</v>
      </c>
      <c r="JC29" s="2025">
        <f t="shared" si="147"/>
        <v>0</v>
      </c>
      <c r="JD29" s="2025">
        <f t="shared" si="148"/>
        <v>0</v>
      </c>
      <c r="JE29" s="2025">
        <f t="shared" si="149"/>
        <v>0</v>
      </c>
    </row>
    <row r="30" spans="1:265" ht="18" customHeight="1">
      <c r="A30" s="1319"/>
      <c r="B30" s="2023">
        <v>26</v>
      </c>
      <c r="C30" s="1105" t="s">
        <v>34</v>
      </c>
      <c r="D30" s="2130"/>
      <c r="E30" s="739"/>
      <c r="F30" s="1544"/>
      <c r="G30" s="1320"/>
      <c r="H30" s="1321">
        <f t="shared" si="0"/>
        <v>0</v>
      </c>
      <c r="I30" s="1321">
        <f t="shared" si="150"/>
        <v>0</v>
      </c>
      <c r="J30" s="1321">
        <f t="shared" si="1"/>
        <v>0</v>
      </c>
      <c r="K30" s="1321">
        <f t="shared" si="2"/>
        <v>0</v>
      </c>
      <c r="L30" s="1322">
        <f>Summen_GL!F97</f>
        <v>0</v>
      </c>
      <c r="M30" s="1323">
        <f t="shared" si="151"/>
        <v>0</v>
      </c>
      <c r="N30" s="2070"/>
      <c r="O30" s="1321">
        <f t="shared" si="205"/>
        <v>0</v>
      </c>
      <c r="P30" s="1321">
        <f t="shared" si="3"/>
        <v>0</v>
      </c>
      <c r="Q30" s="2070"/>
      <c r="R30" s="1470"/>
      <c r="S30" s="1471"/>
      <c r="T30" s="1470"/>
      <c r="U30" s="1471"/>
      <c r="V30" s="1470"/>
      <c r="W30" s="1471"/>
      <c r="X30" s="1470"/>
      <c r="Y30" s="1471"/>
      <c r="Z30" s="1470"/>
      <c r="AA30" s="1471"/>
      <c r="AB30" s="1470"/>
      <c r="AC30" s="1551"/>
      <c r="AD30" s="844"/>
      <c r="AE30" s="1319"/>
      <c r="AF30" s="876"/>
      <c r="AG30" s="844"/>
      <c r="AH30" s="1563"/>
      <c r="AI30" s="2132"/>
      <c r="AJ30" s="1319"/>
      <c r="AK30" s="1593">
        <f t="shared" si="152"/>
        <v>0</v>
      </c>
      <c r="AL30" s="1594">
        <f t="shared" si="153"/>
        <v>0</v>
      </c>
      <c r="AM30" s="1319"/>
      <c r="AN30" s="1319"/>
      <c r="AP30" s="1860">
        <f t="shared" si="154"/>
        <v>0</v>
      </c>
      <c r="AQ30" s="1860">
        <f t="shared" si="155"/>
        <v>0</v>
      </c>
      <c r="AR30" s="1860">
        <f t="shared" si="156"/>
        <v>0</v>
      </c>
      <c r="AS30" s="1860">
        <f t="shared" si="157"/>
        <v>0</v>
      </c>
      <c r="AT30" s="1860">
        <f t="shared" si="158"/>
        <v>0</v>
      </c>
      <c r="AU30" s="1860">
        <f t="shared" si="159"/>
        <v>0</v>
      </c>
      <c r="AV30" s="1860">
        <f t="shared" si="160"/>
        <v>0</v>
      </c>
      <c r="AW30" s="1860">
        <f t="shared" si="161"/>
        <v>0</v>
      </c>
      <c r="AX30" s="1860">
        <f t="shared" si="162"/>
        <v>0</v>
      </c>
      <c r="AY30" s="1860">
        <f t="shared" si="163"/>
        <v>0</v>
      </c>
      <c r="AZ30" s="1860">
        <f t="shared" si="164"/>
        <v>0</v>
      </c>
      <c r="BA30" s="2026">
        <f t="shared" si="165"/>
        <v>0</v>
      </c>
      <c r="BB30" s="2026">
        <f t="shared" si="166"/>
        <v>0</v>
      </c>
      <c r="BC30" s="2026">
        <f t="shared" si="167"/>
        <v>0</v>
      </c>
      <c r="BD30" s="2026">
        <f t="shared" si="168"/>
        <v>0</v>
      </c>
      <c r="BE30" s="2026">
        <f t="shared" si="169"/>
        <v>0</v>
      </c>
      <c r="BF30" s="2026">
        <f t="shared" si="170"/>
        <v>0</v>
      </c>
      <c r="BG30" s="2026">
        <f t="shared" si="171"/>
        <v>0</v>
      </c>
      <c r="BH30" s="2026">
        <f t="shared" si="172"/>
        <v>0</v>
      </c>
      <c r="BI30" s="2026">
        <f t="shared" si="173"/>
        <v>0</v>
      </c>
      <c r="BJ30" s="2026">
        <f t="shared" si="174"/>
        <v>0</v>
      </c>
      <c r="BK30" s="2027"/>
      <c r="BL30" s="2026">
        <f t="shared" si="175"/>
        <v>0</v>
      </c>
      <c r="BM30" s="2026">
        <f t="shared" si="176"/>
        <v>0</v>
      </c>
      <c r="BN30" s="2026">
        <f t="shared" si="4"/>
        <v>0</v>
      </c>
      <c r="BO30" s="2026">
        <f t="shared" si="5"/>
        <v>0</v>
      </c>
      <c r="BP30" s="2026">
        <f t="shared" si="6"/>
        <v>0</v>
      </c>
      <c r="BQ30" s="2026">
        <f t="shared" si="7"/>
        <v>0</v>
      </c>
      <c r="BR30" s="2026">
        <f t="shared" si="8"/>
        <v>0</v>
      </c>
      <c r="BS30" s="2026">
        <f t="shared" si="177"/>
        <v>0</v>
      </c>
      <c r="BT30" s="2026">
        <f t="shared" si="9"/>
        <v>0</v>
      </c>
      <c r="BU30" s="2026">
        <f t="shared" si="10"/>
        <v>0</v>
      </c>
      <c r="BV30" s="2028"/>
      <c r="BW30" s="2029">
        <f t="shared" si="11"/>
        <v>0</v>
      </c>
      <c r="BX30" s="2029">
        <f t="shared" si="178"/>
        <v>0</v>
      </c>
      <c r="BY30" s="2029">
        <f t="shared" si="179"/>
        <v>0</v>
      </c>
      <c r="BZ30" s="2060"/>
      <c r="CA30" s="2030">
        <f t="shared" si="12"/>
        <v>0</v>
      </c>
      <c r="CB30" s="2030">
        <f t="shared" si="13"/>
        <v>0</v>
      </c>
      <c r="CC30" s="2030">
        <f t="shared" si="14"/>
        <v>0</v>
      </c>
      <c r="CD30" s="2031">
        <f t="shared" si="15"/>
        <v>0</v>
      </c>
      <c r="CE30" s="2031">
        <f t="shared" si="16"/>
        <v>0</v>
      </c>
      <c r="CF30" s="2031">
        <f t="shared" si="180"/>
        <v>0</v>
      </c>
      <c r="CG30" s="2030">
        <f t="shared" si="17"/>
        <v>0</v>
      </c>
      <c r="CH30" s="2032">
        <f t="shared" si="18"/>
        <v>0</v>
      </c>
      <c r="CI30" s="2032">
        <f t="shared" si="19"/>
        <v>0</v>
      </c>
      <c r="CJ30" s="2032">
        <f t="shared" si="181"/>
        <v>0</v>
      </c>
      <c r="CK30" s="2030">
        <f t="shared" si="20"/>
        <v>0</v>
      </c>
      <c r="CL30" s="2033">
        <f t="shared" si="21"/>
        <v>0</v>
      </c>
      <c r="CM30" s="2032">
        <f t="shared" si="22"/>
        <v>0</v>
      </c>
      <c r="CN30" s="2033">
        <f t="shared" si="23"/>
        <v>0</v>
      </c>
      <c r="CO30" s="2033">
        <f t="shared" si="182"/>
        <v>0</v>
      </c>
      <c r="CP30" s="2030">
        <f t="shared" si="24"/>
        <v>0</v>
      </c>
      <c r="CQ30" s="2030">
        <f t="shared" si="25"/>
        <v>0</v>
      </c>
      <c r="CR30" s="2030">
        <f t="shared" si="26"/>
        <v>0</v>
      </c>
      <c r="CS30" s="2030">
        <f t="shared" si="27"/>
        <v>0</v>
      </c>
      <c r="CT30" s="2035">
        <f t="shared" si="28"/>
        <v>0</v>
      </c>
      <c r="CU30" s="2036">
        <f t="shared" si="183"/>
        <v>0</v>
      </c>
      <c r="CV30" s="2036">
        <f t="shared" si="184"/>
        <v>0</v>
      </c>
      <c r="CW30" s="2036">
        <f t="shared" si="185"/>
        <v>0</v>
      </c>
      <c r="CY30" s="10"/>
      <c r="CZ30" s="10"/>
      <c r="DA30" s="10"/>
      <c r="DB30" s="10"/>
      <c r="DC30" s="2067" t="s">
        <v>1159</v>
      </c>
      <c r="DL30" s="10">
        <f t="shared" si="186"/>
        <v>0</v>
      </c>
      <c r="DM30" s="10">
        <f t="shared" si="29"/>
        <v>0</v>
      </c>
      <c r="DN30" s="2027" t="e">
        <f>DL30/Betrieb!$E$23</f>
        <v>#DIV/0!</v>
      </c>
      <c r="DO30" s="2027" t="e">
        <f>DM30/Betrieb!$E$24</f>
        <v>#DIV/0!</v>
      </c>
      <c r="DP30" s="2041">
        <f>(Betrieb!$E$21*Betrieb!$H$21)+(Betrieb!$E$23*Betrieb!$H$23)</f>
        <v>0</v>
      </c>
      <c r="DQ30" s="2025">
        <f>(Betrieb!$E$22*Betrieb!$H$22)+(Betrieb!$E$24*Betrieb!$H$24)</f>
        <v>0</v>
      </c>
      <c r="DR30" s="2041">
        <f t="shared" si="187"/>
        <v>0</v>
      </c>
      <c r="DS30" s="2025">
        <f t="shared" si="188"/>
        <v>0</v>
      </c>
      <c r="DT30" s="2042">
        <f t="shared" si="189"/>
        <v>0</v>
      </c>
      <c r="DU30" s="2043">
        <f t="shared" si="203"/>
        <v>0</v>
      </c>
      <c r="DV30" s="2043">
        <f t="shared" si="190"/>
        <v>0</v>
      </c>
      <c r="DW30" s="2043">
        <f t="shared" si="204"/>
        <v>0</v>
      </c>
      <c r="DZ30" s="2044">
        <f t="shared" si="191"/>
        <v>0</v>
      </c>
      <c r="EA30" s="1874">
        <f t="shared" si="30"/>
        <v>0</v>
      </c>
      <c r="EB30" s="1874">
        <f t="shared" si="31"/>
        <v>0</v>
      </c>
      <c r="EC30" s="1874">
        <f t="shared" si="32"/>
        <v>0</v>
      </c>
      <c r="ED30" s="1874">
        <f t="shared" si="33"/>
        <v>0</v>
      </c>
      <c r="EE30" s="1874">
        <f t="shared" si="34"/>
        <v>0</v>
      </c>
      <c r="EF30" s="1874">
        <f t="shared" si="35"/>
        <v>0</v>
      </c>
      <c r="EH30" s="2044">
        <f t="shared" si="192"/>
        <v>0</v>
      </c>
      <c r="EI30" s="2025">
        <f t="shared" si="36"/>
        <v>0</v>
      </c>
      <c r="EJ30" s="2025">
        <f t="shared" si="37"/>
        <v>0</v>
      </c>
      <c r="EK30" s="2025">
        <f t="shared" si="38"/>
        <v>0</v>
      </c>
      <c r="EL30" s="2025">
        <f t="shared" si="39"/>
        <v>0</v>
      </c>
      <c r="EM30" s="2025">
        <f t="shared" si="40"/>
        <v>0</v>
      </c>
      <c r="EN30" s="2025">
        <f t="shared" si="41"/>
        <v>0</v>
      </c>
      <c r="EP30" s="2045">
        <f t="shared" si="42"/>
        <v>0</v>
      </c>
      <c r="EQ30" s="2042">
        <f t="shared" si="193"/>
        <v>0</v>
      </c>
      <c r="ER30" s="2042">
        <f t="shared" si="43"/>
        <v>0</v>
      </c>
      <c r="ES30" s="2042">
        <f t="shared" si="44"/>
        <v>0</v>
      </c>
      <c r="ET30" s="2042">
        <f t="shared" si="45"/>
        <v>0</v>
      </c>
      <c r="EU30" s="2042">
        <f t="shared" si="46"/>
        <v>0</v>
      </c>
      <c r="EV30" s="2042">
        <f t="shared" si="47"/>
        <v>0</v>
      </c>
      <c r="EW30" s="2042">
        <f t="shared" si="48"/>
        <v>0</v>
      </c>
      <c r="EX30" s="2042">
        <f t="shared" si="49"/>
        <v>0</v>
      </c>
      <c r="EY30" s="2042">
        <f t="shared" si="50"/>
        <v>0</v>
      </c>
      <c r="EZ30" s="2042">
        <f t="shared" si="51"/>
        <v>0</v>
      </c>
      <c r="FA30" s="2042">
        <f t="shared" si="52"/>
        <v>0</v>
      </c>
      <c r="FB30" s="2042">
        <f t="shared" si="53"/>
        <v>0</v>
      </c>
      <c r="FC30" s="2042">
        <f t="shared" si="54"/>
        <v>0</v>
      </c>
      <c r="FD30" s="2046">
        <f t="shared" si="194"/>
        <v>0</v>
      </c>
      <c r="FE30" s="2042">
        <f t="shared" si="55"/>
        <v>0</v>
      </c>
      <c r="FF30" s="2042">
        <f t="shared" si="56"/>
        <v>0</v>
      </c>
      <c r="FG30" s="2042">
        <f t="shared" si="57"/>
        <v>0</v>
      </c>
      <c r="FH30" s="2042">
        <f t="shared" si="58"/>
        <v>0</v>
      </c>
      <c r="FI30" s="2042">
        <f t="shared" si="59"/>
        <v>0</v>
      </c>
      <c r="FJ30" s="2042">
        <f t="shared" si="195"/>
        <v>0</v>
      </c>
      <c r="FK30" s="2042">
        <f t="shared" si="60"/>
        <v>0</v>
      </c>
      <c r="FL30" s="2042">
        <f t="shared" si="61"/>
        <v>0</v>
      </c>
      <c r="FM30" s="2042">
        <f t="shared" si="62"/>
        <v>0</v>
      </c>
      <c r="FN30" s="2042">
        <f t="shared" si="63"/>
        <v>0</v>
      </c>
      <c r="FO30" s="2042">
        <f t="shared" si="64"/>
        <v>0</v>
      </c>
      <c r="FP30" s="2042">
        <f t="shared" si="65"/>
        <v>0</v>
      </c>
      <c r="FQ30" s="2047">
        <f t="shared" si="196"/>
        <v>0</v>
      </c>
      <c r="FR30" s="2042">
        <f t="shared" si="66"/>
        <v>0</v>
      </c>
      <c r="FS30" s="2042">
        <f t="shared" si="67"/>
        <v>0</v>
      </c>
      <c r="FT30" s="2042">
        <f t="shared" si="68"/>
        <v>0</v>
      </c>
      <c r="FU30" s="2042">
        <f t="shared" si="69"/>
        <v>0</v>
      </c>
      <c r="FV30" s="2042">
        <f t="shared" si="70"/>
        <v>0</v>
      </c>
      <c r="FW30" s="2042">
        <f t="shared" si="71"/>
        <v>0</v>
      </c>
      <c r="FX30" s="2042">
        <f t="shared" si="72"/>
        <v>0</v>
      </c>
      <c r="FY30" s="2042">
        <f t="shared" si="73"/>
        <v>0</v>
      </c>
      <c r="FZ30" s="2042">
        <f t="shared" si="74"/>
        <v>0</v>
      </c>
      <c r="GA30" s="2042">
        <f t="shared" si="75"/>
        <v>0</v>
      </c>
      <c r="GB30" s="2042">
        <f t="shared" si="76"/>
        <v>0</v>
      </c>
      <c r="GC30" s="2042">
        <f t="shared" si="77"/>
        <v>0</v>
      </c>
      <c r="GD30" s="2042">
        <f t="shared" si="78"/>
        <v>0</v>
      </c>
      <c r="GE30" s="2042">
        <f t="shared" si="79"/>
        <v>0</v>
      </c>
      <c r="GF30" s="2042">
        <f t="shared" si="80"/>
        <v>0</v>
      </c>
      <c r="GG30" s="2042">
        <f t="shared" si="81"/>
        <v>0</v>
      </c>
      <c r="GH30" s="2042">
        <f t="shared" si="82"/>
        <v>0</v>
      </c>
      <c r="GI30" s="2042">
        <f t="shared" si="83"/>
        <v>0</v>
      </c>
      <c r="GJ30" s="2042">
        <f t="shared" si="84"/>
        <v>0</v>
      </c>
      <c r="GK30" s="2042">
        <f t="shared" si="85"/>
        <v>0</v>
      </c>
      <c r="GL30" s="2042">
        <f t="shared" si="86"/>
        <v>0</v>
      </c>
      <c r="GM30" s="2042">
        <f t="shared" si="87"/>
        <v>0</v>
      </c>
      <c r="GN30" s="2042">
        <f t="shared" si="88"/>
        <v>0</v>
      </c>
      <c r="GO30" s="2042">
        <f t="shared" si="89"/>
        <v>0</v>
      </c>
      <c r="GP30" s="2047">
        <f t="shared" si="197"/>
        <v>0</v>
      </c>
      <c r="GQ30" s="2042">
        <f t="shared" si="90"/>
        <v>0</v>
      </c>
      <c r="GR30" s="2042">
        <f t="shared" si="91"/>
        <v>0</v>
      </c>
      <c r="GS30" s="2042">
        <f t="shared" si="92"/>
        <v>0</v>
      </c>
      <c r="GT30" s="2042">
        <f t="shared" si="93"/>
        <v>0</v>
      </c>
      <c r="GU30" s="2042">
        <f t="shared" si="94"/>
        <v>0</v>
      </c>
      <c r="GV30" s="2042">
        <f t="shared" si="95"/>
        <v>0</v>
      </c>
      <c r="GW30" s="2042">
        <f t="shared" si="96"/>
        <v>0</v>
      </c>
      <c r="GX30" s="2042">
        <f t="shared" si="97"/>
        <v>0</v>
      </c>
      <c r="GY30" s="2042">
        <f t="shared" si="98"/>
        <v>0</v>
      </c>
      <c r="GZ30" s="2042">
        <f t="shared" si="99"/>
        <v>0</v>
      </c>
      <c r="HA30" s="2042">
        <f t="shared" si="100"/>
        <v>0</v>
      </c>
      <c r="HB30" s="2042">
        <f t="shared" si="101"/>
        <v>0</v>
      </c>
      <c r="HC30" s="2047">
        <f t="shared" si="198"/>
        <v>0</v>
      </c>
      <c r="HD30" s="2042">
        <f t="shared" si="102"/>
        <v>0</v>
      </c>
      <c r="HE30" s="2042">
        <f t="shared" si="103"/>
        <v>0</v>
      </c>
      <c r="HF30" s="2042">
        <f t="shared" si="104"/>
        <v>0</v>
      </c>
      <c r="HG30" s="2042">
        <f t="shared" si="105"/>
        <v>0</v>
      </c>
      <c r="HH30" s="2042">
        <f t="shared" si="106"/>
        <v>0</v>
      </c>
      <c r="HI30" s="2042">
        <f t="shared" si="107"/>
        <v>0</v>
      </c>
      <c r="HJ30" s="2042">
        <f t="shared" si="108"/>
        <v>0</v>
      </c>
      <c r="HK30" s="2042">
        <f t="shared" si="109"/>
        <v>0</v>
      </c>
      <c r="HL30" s="2042">
        <f t="shared" si="110"/>
        <v>0</v>
      </c>
      <c r="HM30" s="2042">
        <f t="shared" si="111"/>
        <v>0</v>
      </c>
      <c r="HN30" s="2042">
        <f t="shared" si="112"/>
        <v>0</v>
      </c>
      <c r="HO30" s="2042">
        <f t="shared" si="113"/>
        <v>0</v>
      </c>
      <c r="HP30" s="2047">
        <f t="shared" si="199"/>
        <v>0</v>
      </c>
      <c r="HQ30" s="2042">
        <f t="shared" si="114"/>
        <v>0</v>
      </c>
      <c r="HR30" s="2042">
        <f t="shared" si="115"/>
        <v>0</v>
      </c>
      <c r="HS30" s="2042">
        <f t="shared" si="116"/>
        <v>0</v>
      </c>
      <c r="HT30" s="2042">
        <f t="shared" si="117"/>
        <v>0</v>
      </c>
      <c r="HU30" s="2042">
        <f t="shared" si="118"/>
        <v>0</v>
      </c>
      <c r="HV30" s="2042">
        <f t="shared" si="119"/>
        <v>0</v>
      </c>
      <c r="HW30" s="2042">
        <f t="shared" si="120"/>
        <v>0</v>
      </c>
      <c r="HX30" s="2042">
        <f t="shared" si="121"/>
        <v>0</v>
      </c>
      <c r="HY30" s="2042">
        <f t="shared" si="122"/>
        <v>0</v>
      </c>
      <c r="HZ30" s="2042">
        <f t="shared" si="123"/>
        <v>0</v>
      </c>
      <c r="IA30" s="2042">
        <f t="shared" si="124"/>
        <v>0</v>
      </c>
      <c r="IB30" s="2042">
        <f t="shared" si="125"/>
        <v>0</v>
      </c>
      <c r="IC30" s="2047">
        <f t="shared" si="200"/>
        <v>0</v>
      </c>
      <c r="IE30" s="2044">
        <f t="shared" si="201"/>
        <v>0</v>
      </c>
      <c r="IF30" s="2025">
        <f t="shared" si="126"/>
        <v>0</v>
      </c>
      <c r="IG30" s="2025">
        <f t="shared" si="127"/>
        <v>0</v>
      </c>
      <c r="IH30" s="2025">
        <f t="shared" si="128"/>
        <v>0</v>
      </c>
      <c r="II30" s="2025">
        <f t="shared" si="129"/>
        <v>0</v>
      </c>
      <c r="IJ30" s="2025">
        <f t="shared" si="130"/>
        <v>0</v>
      </c>
      <c r="IK30" s="2025">
        <f t="shared" si="131"/>
        <v>0</v>
      </c>
      <c r="IL30" s="2025">
        <f t="shared" si="132"/>
        <v>0</v>
      </c>
      <c r="IM30" s="2025">
        <f t="shared" si="133"/>
        <v>0</v>
      </c>
      <c r="IN30" s="2025">
        <f t="shared" si="134"/>
        <v>0</v>
      </c>
      <c r="IO30" s="2025">
        <f t="shared" si="135"/>
        <v>0</v>
      </c>
      <c r="IP30" s="2025">
        <f t="shared" si="136"/>
        <v>0</v>
      </c>
      <c r="IQ30" s="2025">
        <f t="shared" si="137"/>
        <v>0</v>
      </c>
      <c r="IS30" s="2044">
        <f t="shared" si="202"/>
        <v>0</v>
      </c>
      <c r="IT30" s="2025">
        <f t="shared" si="138"/>
        <v>0</v>
      </c>
      <c r="IU30" s="2025">
        <f t="shared" si="139"/>
        <v>0</v>
      </c>
      <c r="IV30" s="2025">
        <f t="shared" si="140"/>
        <v>0</v>
      </c>
      <c r="IW30" s="2025">
        <f t="shared" si="141"/>
        <v>0</v>
      </c>
      <c r="IX30" s="2025">
        <f t="shared" si="142"/>
        <v>0</v>
      </c>
      <c r="IY30" s="2025">
        <f t="shared" si="143"/>
        <v>0</v>
      </c>
      <c r="IZ30" s="2025">
        <f t="shared" si="144"/>
        <v>0</v>
      </c>
      <c r="JA30" s="2025">
        <f t="shared" si="145"/>
        <v>0</v>
      </c>
      <c r="JB30" s="2025">
        <f t="shared" si="146"/>
        <v>0</v>
      </c>
      <c r="JC30" s="2025">
        <f t="shared" si="147"/>
        <v>0</v>
      </c>
      <c r="JD30" s="2025">
        <f t="shared" si="148"/>
        <v>0</v>
      </c>
      <c r="JE30" s="2025">
        <f t="shared" si="149"/>
        <v>0</v>
      </c>
    </row>
    <row r="31" spans="1:265" ht="18" customHeight="1">
      <c r="A31" s="1319"/>
      <c r="B31" s="2023">
        <v>27</v>
      </c>
      <c r="C31" s="1105" t="s">
        <v>34</v>
      </c>
      <c r="D31" s="2130"/>
      <c r="E31" s="739"/>
      <c r="F31" s="1544"/>
      <c r="G31" s="1320"/>
      <c r="H31" s="1321">
        <f t="shared" si="0"/>
        <v>0</v>
      </c>
      <c r="I31" s="1321">
        <f t="shared" si="150"/>
        <v>0</v>
      </c>
      <c r="J31" s="1321">
        <f t="shared" si="1"/>
        <v>0</v>
      </c>
      <c r="K31" s="1321">
        <f t="shared" si="2"/>
        <v>0</v>
      </c>
      <c r="L31" s="1322">
        <f>Summen_GL!F98</f>
        <v>0</v>
      </c>
      <c r="M31" s="1323">
        <f t="shared" si="151"/>
        <v>0</v>
      </c>
      <c r="N31" s="2070"/>
      <c r="O31" s="1321">
        <f t="shared" si="205"/>
        <v>0</v>
      </c>
      <c r="P31" s="1321">
        <f t="shared" si="3"/>
        <v>0</v>
      </c>
      <c r="Q31" s="2070"/>
      <c r="R31" s="1470"/>
      <c r="S31" s="1471"/>
      <c r="T31" s="1470"/>
      <c r="U31" s="1471"/>
      <c r="V31" s="1470"/>
      <c r="W31" s="1471"/>
      <c r="X31" s="1470"/>
      <c r="Y31" s="1471"/>
      <c r="Z31" s="1470"/>
      <c r="AA31" s="1471"/>
      <c r="AB31" s="1470"/>
      <c r="AC31" s="1551"/>
      <c r="AD31" s="844"/>
      <c r="AE31" s="1319"/>
      <c r="AF31" s="876"/>
      <c r="AG31" s="844"/>
      <c r="AH31" s="1563"/>
      <c r="AI31" s="2132"/>
      <c r="AJ31" s="1319"/>
      <c r="AK31" s="1593">
        <f t="shared" si="152"/>
        <v>0</v>
      </c>
      <c r="AL31" s="1594">
        <f t="shared" si="153"/>
        <v>0</v>
      </c>
      <c r="AM31" s="1319"/>
      <c r="AN31" s="1319"/>
      <c r="AP31" s="1860">
        <f t="shared" si="154"/>
        <v>0</v>
      </c>
      <c r="AQ31" s="1860">
        <f t="shared" si="155"/>
        <v>0</v>
      </c>
      <c r="AR31" s="1860">
        <f t="shared" si="156"/>
        <v>0</v>
      </c>
      <c r="AS31" s="1860">
        <f t="shared" si="157"/>
        <v>0</v>
      </c>
      <c r="AT31" s="1860">
        <f t="shared" si="158"/>
        <v>0</v>
      </c>
      <c r="AU31" s="1860">
        <f t="shared" si="159"/>
        <v>0</v>
      </c>
      <c r="AV31" s="1860">
        <f t="shared" si="160"/>
        <v>0</v>
      </c>
      <c r="AW31" s="1860">
        <f t="shared" si="161"/>
        <v>0</v>
      </c>
      <c r="AX31" s="1860">
        <f t="shared" si="162"/>
        <v>0</v>
      </c>
      <c r="AY31" s="1860">
        <f t="shared" si="163"/>
        <v>0</v>
      </c>
      <c r="AZ31" s="1860">
        <f t="shared" si="164"/>
        <v>0</v>
      </c>
      <c r="BA31" s="2026">
        <f t="shared" si="165"/>
        <v>0</v>
      </c>
      <c r="BB31" s="2026">
        <f t="shared" si="166"/>
        <v>0</v>
      </c>
      <c r="BC31" s="2026">
        <f t="shared" si="167"/>
        <v>0</v>
      </c>
      <c r="BD31" s="2026">
        <f t="shared" si="168"/>
        <v>0</v>
      </c>
      <c r="BE31" s="2026">
        <f t="shared" si="169"/>
        <v>0</v>
      </c>
      <c r="BF31" s="2026">
        <f t="shared" si="170"/>
        <v>0</v>
      </c>
      <c r="BG31" s="2026">
        <f t="shared" si="171"/>
        <v>0</v>
      </c>
      <c r="BH31" s="2026">
        <f t="shared" si="172"/>
        <v>0</v>
      </c>
      <c r="BI31" s="2026">
        <f t="shared" si="173"/>
        <v>0</v>
      </c>
      <c r="BJ31" s="2026">
        <f t="shared" si="174"/>
        <v>0</v>
      </c>
      <c r="BK31" s="2027"/>
      <c r="BL31" s="2026">
        <f t="shared" si="175"/>
        <v>0</v>
      </c>
      <c r="BM31" s="2026">
        <f t="shared" si="176"/>
        <v>0</v>
      </c>
      <c r="BN31" s="2026">
        <f t="shared" si="4"/>
        <v>0</v>
      </c>
      <c r="BO31" s="2026">
        <f t="shared" si="5"/>
        <v>0</v>
      </c>
      <c r="BP31" s="2026">
        <f t="shared" si="6"/>
        <v>0</v>
      </c>
      <c r="BQ31" s="2026">
        <f t="shared" si="7"/>
        <v>0</v>
      </c>
      <c r="BR31" s="2026">
        <f t="shared" si="8"/>
        <v>0</v>
      </c>
      <c r="BS31" s="2026">
        <f t="shared" si="177"/>
        <v>0</v>
      </c>
      <c r="BT31" s="2026">
        <f t="shared" si="9"/>
        <v>0</v>
      </c>
      <c r="BU31" s="2026">
        <f t="shared" si="10"/>
        <v>0</v>
      </c>
      <c r="BV31" s="2028"/>
      <c r="BW31" s="2029">
        <f t="shared" si="11"/>
        <v>0</v>
      </c>
      <c r="BX31" s="2029">
        <f t="shared" si="178"/>
        <v>0</v>
      </c>
      <c r="BY31" s="2029">
        <f t="shared" si="179"/>
        <v>0</v>
      </c>
      <c r="BZ31" s="2060"/>
      <c r="CA31" s="2030">
        <f t="shared" si="12"/>
        <v>0</v>
      </c>
      <c r="CB31" s="2030">
        <f t="shared" si="13"/>
        <v>0</v>
      </c>
      <c r="CC31" s="2030">
        <f t="shared" si="14"/>
        <v>0</v>
      </c>
      <c r="CD31" s="2031">
        <f t="shared" si="15"/>
        <v>0</v>
      </c>
      <c r="CE31" s="2031">
        <f t="shared" si="16"/>
        <v>0</v>
      </c>
      <c r="CF31" s="2031">
        <f t="shared" si="180"/>
        <v>0</v>
      </c>
      <c r="CG31" s="2030">
        <f t="shared" si="17"/>
        <v>0</v>
      </c>
      <c r="CH31" s="2032">
        <f t="shared" si="18"/>
        <v>0</v>
      </c>
      <c r="CI31" s="2032">
        <f t="shared" si="19"/>
        <v>0</v>
      </c>
      <c r="CJ31" s="2032">
        <f t="shared" si="181"/>
        <v>0</v>
      </c>
      <c r="CK31" s="2030">
        <f t="shared" si="20"/>
        <v>0</v>
      </c>
      <c r="CL31" s="2033">
        <f t="shared" si="21"/>
        <v>0</v>
      </c>
      <c r="CM31" s="2032">
        <f t="shared" si="22"/>
        <v>0</v>
      </c>
      <c r="CN31" s="2033">
        <f t="shared" si="23"/>
        <v>0</v>
      </c>
      <c r="CO31" s="2033">
        <f t="shared" si="182"/>
        <v>0</v>
      </c>
      <c r="CP31" s="2030">
        <f t="shared" si="24"/>
        <v>0</v>
      </c>
      <c r="CQ31" s="2030">
        <f t="shared" si="25"/>
        <v>0</v>
      </c>
      <c r="CR31" s="2030">
        <f t="shared" si="26"/>
        <v>0</v>
      </c>
      <c r="CS31" s="2030">
        <f t="shared" si="27"/>
        <v>0</v>
      </c>
      <c r="CT31" s="2035">
        <f t="shared" si="28"/>
        <v>0</v>
      </c>
      <c r="CU31" s="2036">
        <f t="shared" si="183"/>
        <v>0</v>
      </c>
      <c r="CV31" s="2036">
        <f t="shared" si="184"/>
        <v>0</v>
      </c>
      <c r="CW31" s="2036">
        <f t="shared" si="185"/>
        <v>0</v>
      </c>
      <c r="CY31" s="2071" t="s">
        <v>1160</v>
      </c>
      <c r="CZ31" s="2072">
        <v>0.16</v>
      </c>
      <c r="DA31" s="10"/>
      <c r="DB31" s="10"/>
      <c r="DC31" s="10"/>
      <c r="DL31" s="10">
        <f t="shared" si="186"/>
        <v>0</v>
      </c>
      <c r="DM31" s="10">
        <f t="shared" si="29"/>
        <v>0</v>
      </c>
      <c r="DN31" s="2027" t="e">
        <f>DL31/Betrieb!$E$23</f>
        <v>#DIV/0!</v>
      </c>
      <c r="DO31" s="2027" t="e">
        <f>DM31/Betrieb!$E$24</f>
        <v>#DIV/0!</v>
      </c>
      <c r="DP31" s="2041">
        <f>(Betrieb!$E$21*Betrieb!$H$21)+(Betrieb!$E$23*Betrieb!$H$23)</f>
        <v>0</v>
      </c>
      <c r="DQ31" s="2025">
        <f>(Betrieb!$E$22*Betrieb!$H$22)+(Betrieb!$E$24*Betrieb!$H$24)</f>
        <v>0</v>
      </c>
      <c r="DR31" s="2041">
        <f t="shared" si="187"/>
        <v>0</v>
      </c>
      <c r="DS31" s="2025">
        <f t="shared" si="188"/>
        <v>0</v>
      </c>
      <c r="DT31" s="2042">
        <f t="shared" si="189"/>
        <v>0</v>
      </c>
      <c r="DU31" s="2043">
        <f t="shared" si="203"/>
        <v>0</v>
      </c>
      <c r="DV31" s="2043">
        <f t="shared" si="190"/>
        <v>0</v>
      </c>
      <c r="DW31" s="2043">
        <f t="shared" si="204"/>
        <v>0</v>
      </c>
      <c r="DZ31" s="2044">
        <f t="shared" si="191"/>
        <v>0</v>
      </c>
      <c r="EA31" s="1874">
        <f t="shared" si="30"/>
        <v>0</v>
      </c>
      <c r="EB31" s="1874">
        <f t="shared" si="31"/>
        <v>0</v>
      </c>
      <c r="EC31" s="1874">
        <f t="shared" si="32"/>
        <v>0</v>
      </c>
      <c r="ED31" s="1874">
        <f t="shared" si="33"/>
        <v>0</v>
      </c>
      <c r="EE31" s="1874">
        <f t="shared" si="34"/>
        <v>0</v>
      </c>
      <c r="EF31" s="1874">
        <f t="shared" si="35"/>
        <v>0</v>
      </c>
      <c r="EH31" s="2044">
        <f t="shared" si="192"/>
        <v>0</v>
      </c>
      <c r="EI31" s="2025">
        <f t="shared" si="36"/>
        <v>0</v>
      </c>
      <c r="EJ31" s="2025">
        <f t="shared" si="37"/>
        <v>0</v>
      </c>
      <c r="EK31" s="2025">
        <f t="shared" si="38"/>
        <v>0</v>
      </c>
      <c r="EL31" s="2025">
        <f t="shared" si="39"/>
        <v>0</v>
      </c>
      <c r="EM31" s="2025">
        <f t="shared" si="40"/>
        <v>0</v>
      </c>
      <c r="EN31" s="2025">
        <f t="shared" si="41"/>
        <v>0</v>
      </c>
      <c r="EP31" s="2045">
        <f t="shared" si="42"/>
        <v>0</v>
      </c>
      <c r="EQ31" s="2042">
        <f t="shared" si="193"/>
        <v>0</v>
      </c>
      <c r="ER31" s="2042">
        <f t="shared" si="43"/>
        <v>0</v>
      </c>
      <c r="ES31" s="2042">
        <f t="shared" si="44"/>
        <v>0</v>
      </c>
      <c r="ET31" s="2042">
        <f t="shared" si="45"/>
        <v>0</v>
      </c>
      <c r="EU31" s="2042">
        <f t="shared" si="46"/>
        <v>0</v>
      </c>
      <c r="EV31" s="2042">
        <f t="shared" si="47"/>
        <v>0</v>
      </c>
      <c r="EW31" s="2042">
        <f t="shared" si="48"/>
        <v>0</v>
      </c>
      <c r="EX31" s="2042">
        <f t="shared" si="49"/>
        <v>0</v>
      </c>
      <c r="EY31" s="2042">
        <f t="shared" si="50"/>
        <v>0</v>
      </c>
      <c r="EZ31" s="2042">
        <f t="shared" si="51"/>
        <v>0</v>
      </c>
      <c r="FA31" s="2042">
        <f t="shared" si="52"/>
        <v>0</v>
      </c>
      <c r="FB31" s="2042">
        <f t="shared" si="53"/>
        <v>0</v>
      </c>
      <c r="FC31" s="2042">
        <f t="shared" si="54"/>
        <v>0</v>
      </c>
      <c r="FD31" s="2046">
        <f t="shared" si="194"/>
        <v>0</v>
      </c>
      <c r="FE31" s="2042">
        <f t="shared" si="55"/>
        <v>0</v>
      </c>
      <c r="FF31" s="2042">
        <f t="shared" si="56"/>
        <v>0</v>
      </c>
      <c r="FG31" s="2042">
        <f t="shared" si="57"/>
        <v>0</v>
      </c>
      <c r="FH31" s="2042">
        <f t="shared" si="58"/>
        <v>0</v>
      </c>
      <c r="FI31" s="2042">
        <f t="shared" si="59"/>
        <v>0</v>
      </c>
      <c r="FJ31" s="2042">
        <f t="shared" si="195"/>
        <v>0</v>
      </c>
      <c r="FK31" s="2042">
        <f t="shared" si="60"/>
        <v>0</v>
      </c>
      <c r="FL31" s="2042">
        <f t="shared" si="61"/>
        <v>0</v>
      </c>
      <c r="FM31" s="2042">
        <f t="shared" si="62"/>
        <v>0</v>
      </c>
      <c r="FN31" s="2042">
        <f t="shared" si="63"/>
        <v>0</v>
      </c>
      <c r="FO31" s="2042">
        <f t="shared" si="64"/>
        <v>0</v>
      </c>
      <c r="FP31" s="2042">
        <f t="shared" si="65"/>
        <v>0</v>
      </c>
      <c r="FQ31" s="2047">
        <f t="shared" si="196"/>
        <v>0</v>
      </c>
      <c r="FR31" s="2042">
        <f t="shared" si="66"/>
        <v>0</v>
      </c>
      <c r="FS31" s="2042">
        <f t="shared" si="67"/>
        <v>0</v>
      </c>
      <c r="FT31" s="2042">
        <f t="shared" si="68"/>
        <v>0</v>
      </c>
      <c r="FU31" s="2042">
        <f t="shared" si="69"/>
        <v>0</v>
      </c>
      <c r="FV31" s="2042">
        <f t="shared" si="70"/>
        <v>0</v>
      </c>
      <c r="FW31" s="2042">
        <f t="shared" si="71"/>
        <v>0</v>
      </c>
      <c r="FX31" s="2042">
        <f t="shared" si="72"/>
        <v>0</v>
      </c>
      <c r="FY31" s="2042">
        <f t="shared" si="73"/>
        <v>0</v>
      </c>
      <c r="FZ31" s="2042">
        <f t="shared" si="74"/>
        <v>0</v>
      </c>
      <c r="GA31" s="2042">
        <f t="shared" si="75"/>
        <v>0</v>
      </c>
      <c r="GB31" s="2042">
        <f t="shared" si="76"/>
        <v>0</v>
      </c>
      <c r="GC31" s="2042">
        <f t="shared" si="77"/>
        <v>0</v>
      </c>
      <c r="GD31" s="2042">
        <f t="shared" si="78"/>
        <v>0</v>
      </c>
      <c r="GE31" s="2042">
        <f t="shared" si="79"/>
        <v>0</v>
      </c>
      <c r="GF31" s="2042">
        <f t="shared" si="80"/>
        <v>0</v>
      </c>
      <c r="GG31" s="2042">
        <f t="shared" si="81"/>
        <v>0</v>
      </c>
      <c r="GH31" s="2042">
        <f t="shared" si="82"/>
        <v>0</v>
      </c>
      <c r="GI31" s="2042">
        <f t="shared" si="83"/>
        <v>0</v>
      </c>
      <c r="GJ31" s="2042">
        <f t="shared" si="84"/>
        <v>0</v>
      </c>
      <c r="GK31" s="2042">
        <f t="shared" si="85"/>
        <v>0</v>
      </c>
      <c r="GL31" s="2042">
        <f t="shared" si="86"/>
        <v>0</v>
      </c>
      <c r="GM31" s="2042">
        <f t="shared" si="87"/>
        <v>0</v>
      </c>
      <c r="GN31" s="2042">
        <f t="shared" si="88"/>
        <v>0</v>
      </c>
      <c r="GO31" s="2042">
        <f t="shared" si="89"/>
        <v>0</v>
      </c>
      <c r="GP31" s="2047">
        <f t="shared" si="197"/>
        <v>0</v>
      </c>
      <c r="GQ31" s="2042">
        <f t="shared" si="90"/>
        <v>0</v>
      </c>
      <c r="GR31" s="2042">
        <f t="shared" si="91"/>
        <v>0</v>
      </c>
      <c r="GS31" s="2042">
        <f t="shared" si="92"/>
        <v>0</v>
      </c>
      <c r="GT31" s="2042">
        <f t="shared" si="93"/>
        <v>0</v>
      </c>
      <c r="GU31" s="2042">
        <f t="shared" si="94"/>
        <v>0</v>
      </c>
      <c r="GV31" s="2042">
        <f t="shared" si="95"/>
        <v>0</v>
      </c>
      <c r="GW31" s="2042">
        <f t="shared" si="96"/>
        <v>0</v>
      </c>
      <c r="GX31" s="2042">
        <f t="shared" si="97"/>
        <v>0</v>
      </c>
      <c r="GY31" s="2042">
        <f t="shared" si="98"/>
        <v>0</v>
      </c>
      <c r="GZ31" s="2042">
        <f t="shared" si="99"/>
        <v>0</v>
      </c>
      <c r="HA31" s="2042">
        <f t="shared" si="100"/>
        <v>0</v>
      </c>
      <c r="HB31" s="2042">
        <f t="shared" si="101"/>
        <v>0</v>
      </c>
      <c r="HC31" s="2047">
        <f t="shared" si="198"/>
        <v>0</v>
      </c>
      <c r="HD31" s="2042">
        <f t="shared" si="102"/>
        <v>0</v>
      </c>
      <c r="HE31" s="2042">
        <f t="shared" si="103"/>
        <v>0</v>
      </c>
      <c r="HF31" s="2042">
        <f t="shared" si="104"/>
        <v>0</v>
      </c>
      <c r="HG31" s="2042">
        <f t="shared" si="105"/>
        <v>0</v>
      </c>
      <c r="HH31" s="2042">
        <f t="shared" si="106"/>
        <v>0</v>
      </c>
      <c r="HI31" s="2042">
        <f t="shared" si="107"/>
        <v>0</v>
      </c>
      <c r="HJ31" s="2042">
        <f t="shared" si="108"/>
        <v>0</v>
      </c>
      <c r="HK31" s="2042">
        <f t="shared" si="109"/>
        <v>0</v>
      </c>
      <c r="HL31" s="2042">
        <f t="shared" si="110"/>
        <v>0</v>
      </c>
      <c r="HM31" s="2042">
        <f t="shared" si="111"/>
        <v>0</v>
      </c>
      <c r="HN31" s="2042">
        <f t="shared" si="112"/>
        <v>0</v>
      </c>
      <c r="HO31" s="2042">
        <f t="shared" si="113"/>
        <v>0</v>
      </c>
      <c r="HP31" s="2047">
        <f t="shared" si="199"/>
        <v>0</v>
      </c>
      <c r="HQ31" s="2042">
        <f t="shared" si="114"/>
        <v>0</v>
      </c>
      <c r="HR31" s="2042">
        <f t="shared" si="115"/>
        <v>0</v>
      </c>
      <c r="HS31" s="2042">
        <f t="shared" si="116"/>
        <v>0</v>
      </c>
      <c r="HT31" s="2042">
        <f t="shared" si="117"/>
        <v>0</v>
      </c>
      <c r="HU31" s="2042">
        <f t="shared" si="118"/>
        <v>0</v>
      </c>
      <c r="HV31" s="2042">
        <f t="shared" si="119"/>
        <v>0</v>
      </c>
      <c r="HW31" s="2042">
        <f t="shared" si="120"/>
        <v>0</v>
      </c>
      <c r="HX31" s="2042">
        <f t="shared" si="121"/>
        <v>0</v>
      </c>
      <c r="HY31" s="2042">
        <f t="shared" si="122"/>
        <v>0</v>
      </c>
      <c r="HZ31" s="2042">
        <f t="shared" si="123"/>
        <v>0</v>
      </c>
      <c r="IA31" s="2042">
        <f t="shared" si="124"/>
        <v>0</v>
      </c>
      <c r="IB31" s="2042">
        <f t="shared" si="125"/>
        <v>0</v>
      </c>
      <c r="IC31" s="2047">
        <f t="shared" si="200"/>
        <v>0</v>
      </c>
      <c r="IE31" s="2044">
        <f t="shared" si="201"/>
        <v>0</v>
      </c>
      <c r="IF31" s="2025">
        <f t="shared" si="126"/>
        <v>0</v>
      </c>
      <c r="IG31" s="2025">
        <f t="shared" si="127"/>
        <v>0</v>
      </c>
      <c r="IH31" s="2025">
        <f t="shared" si="128"/>
        <v>0</v>
      </c>
      <c r="II31" s="2025">
        <f t="shared" si="129"/>
        <v>0</v>
      </c>
      <c r="IJ31" s="2025">
        <f t="shared" si="130"/>
        <v>0</v>
      </c>
      <c r="IK31" s="2025">
        <f t="shared" si="131"/>
        <v>0</v>
      </c>
      <c r="IL31" s="2025">
        <f t="shared" si="132"/>
        <v>0</v>
      </c>
      <c r="IM31" s="2025">
        <f t="shared" si="133"/>
        <v>0</v>
      </c>
      <c r="IN31" s="2025">
        <f t="shared" si="134"/>
        <v>0</v>
      </c>
      <c r="IO31" s="2025">
        <f t="shared" si="135"/>
        <v>0</v>
      </c>
      <c r="IP31" s="2025">
        <f t="shared" si="136"/>
        <v>0</v>
      </c>
      <c r="IQ31" s="2025">
        <f t="shared" si="137"/>
        <v>0</v>
      </c>
      <c r="IS31" s="2044">
        <f t="shared" si="202"/>
        <v>0</v>
      </c>
      <c r="IT31" s="2025">
        <f t="shared" si="138"/>
        <v>0</v>
      </c>
      <c r="IU31" s="2025">
        <f t="shared" si="139"/>
        <v>0</v>
      </c>
      <c r="IV31" s="2025">
        <f t="shared" si="140"/>
        <v>0</v>
      </c>
      <c r="IW31" s="2025">
        <f t="shared" si="141"/>
        <v>0</v>
      </c>
      <c r="IX31" s="2025">
        <f t="shared" si="142"/>
        <v>0</v>
      </c>
      <c r="IY31" s="2025">
        <f t="shared" si="143"/>
        <v>0</v>
      </c>
      <c r="IZ31" s="2025">
        <f t="shared" si="144"/>
        <v>0</v>
      </c>
      <c r="JA31" s="2025">
        <f t="shared" si="145"/>
        <v>0</v>
      </c>
      <c r="JB31" s="2025">
        <f t="shared" si="146"/>
        <v>0</v>
      </c>
      <c r="JC31" s="2025">
        <f t="shared" si="147"/>
        <v>0</v>
      </c>
      <c r="JD31" s="2025">
        <f t="shared" si="148"/>
        <v>0</v>
      </c>
      <c r="JE31" s="2025">
        <f t="shared" si="149"/>
        <v>0</v>
      </c>
    </row>
    <row r="32" spans="1:265" ht="18" customHeight="1">
      <c r="A32" s="1319"/>
      <c r="B32" s="2023">
        <v>28</v>
      </c>
      <c r="C32" s="1105" t="s">
        <v>34</v>
      </c>
      <c r="D32" s="2130"/>
      <c r="E32" s="739"/>
      <c r="F32" s="1544"/>
      <c r="G32" s="1320"/>
      <c r="H32" s="1321">
        <f t="shared" si="0"/>
        <v>0</v>
      </c>
      <c r="I32" s="1321">
        <f t="shared" si="150"/>
        <v>0</v>
      </c>
      <c r="J32" s="1321">
        <f t="shared" si="1"/>
        <v>0</v>
      </c>
      <c r="K32" s="1321">
        <f t="shared" si="2"/>
        <v>0</v>
      </c>
      <c r="L32" s="1322">
        <f>Summen_GL!F99</f>
        <v>0</v>
      </c>
      <c r="M32" s="1323">
        <f t="shared" si="151"/>
        <v>0</v>
      </c>
      <c r="N32" s="2070"/>
      <c r="O32" s="1321">
        <f t="shared" si="205"/>
        <v>0</v>
      </c>
      <c r="P32" s="1321">
        <f t="shared" si="3"/>
        <v>0</v>
      </c>
      <c r="Q32" s="2070"/>
      <c r="R32" s="1470"/>
      <c r="S32" s="1471"/>
      <c r="T32" s="1470"/>
      <c r="U32" s="1471"/>
      <c r="V32" s="1470"/>
      <c r="W32" s="1471"/>
      <c r="X32" s="1470"/>
      <c r="Y32" s="1471"/>
      <c r="Z32" s="1470"/>
      <c r="AA32" s="1471"/>
      <c r="AB32" s="1470"/>
      <c r="AC32" s="1551"/>
      <c r="AD32" s="844"/>
      <c r="AE32" s="1319"/>
      <c r="AF32" s="876"/>
      <c r="AG32" s="844"/>
      <c r="AH32" s="1563"/>
      <c r="AI32" s="2132"/>
      <c r="AJ32" s="1319"/>
      <c r="AK32" s="1593">
        <f t="shared" si="152"/>
        <v>0</v>
      </c>
      <c r="AL32" s="1594">
        <f t="shared" si="153"/>
        <v>0</v>
      </c>
      <c r="AM32" s="1319"/>
      <c r="AN32" s="1319"/>
      <c r="AP32" s="1860">
        <f t="shared" si="154"/>
        <v>0</v>
      </c>
      <c r="AQ32" s="1860">
        <f t="shared" si="155"/>
        <v>0</v>
      </c>
      <c r="AR32" s="1860">
        <f t="shared" si="156"/>
        <v>0</v>
      </c>
      <c r="AS32" s="1860">
        <f t="shared" si="157"/>
        <v>0</v>
      </c>
      <c r="AT32" s="1860">
        <f t="shared" si="158"/>
        <v>0</v>
      </c>
      <c r="AU32" s="1860">
        <f t="shared" si="159"/>
        <v>0</v>
      </c>
      <c r="AV32" s="1860">
        <f t="shared" si="160"/>
        <v>0</v>
      </c>
      <c r="AW32" s="1860">
        <f t="shared" si="161"/>
        <v>0</v>
      </c>
      <c r="AX32" s="1860">
        <f t="shared" si="162"/>
        <v>0</v>
      </c>
      <c r="AY32" s="1860">
        <f t="shared" si="163"/>
        <v>0</v>
      </c>
      <c r="AZ32" s="1860">
        <f t="shared" si="164"/>
        <v>0</v>
      </c>
      <c r="BA32" s="2026">
        <f t="shared" si="165"/>
        <v>0</v>
      </c>
      <c r="BB32" s="2026">
        <f t="shared" si="166"/>
        <v>0</v>
      </c>
      <c r="BC32" s="2026">
        <f t="shared" si="167"/>
        <v>0</v>
      </c>
      <c r="BD32" s="2026">
        <f t="shared" si="168"/>
        <v>0</v>
      </c>
      <c r="BE32" s="2026">
        <f t="shared" si="169"/>
        <v>0</v>
      </c>
      <c r="BF32" s="2026">
        <f t="shared" si="170"/>
        <v>0</v>
      </c>
      <c r="BG32" s="2026">
        <f t="shared" si="171"/>
        <v>0</v>
      </c>
      <c r="BH32" s="2026">
        <f t="shared" si="172"/>
        <v>0</v>
      </c>
      <c r="BI32" s="2026">
        <f t="shared" si="173"/>
        <v>0</v>
      </c>
      <c r="BJ32" s="2026">
        <f t="shared" si="174"/>
        <v>0</v>
      </c>
      <c r="BK32" s="2027"/>
      <c r="BL32" s="2026">
        <f t="shared" si="175"/>
        <v>0</v>
      </c>
      <c r="BM32" s="2026">
        <f t="shared" si="176"/>
        <v>0</v>
      </c>
      <c r="BN32" s="2026">
        <f t="shared" si="4"/>
        <v>0</v>
      </c>
      <c r="BO32" s="2026">
        <f t="shared" si="5"/>
        <v>0</v>
      </c>
      <c r="BP32" s="2026">
        <f t="shared" si="6"/>
        <v>0</v>
      </c>
      <c r="BQ32" s="2026">
        <f t="shared" si="7"/>
        <v>0</v>
      </c>
      <c r="BR32" s="2026">
        <f t="shared" si="8"/>
        <v>0</v>
      </c>
      <c r="BS32" s="2026">
        <f t="shared" si="177"/>
        <v>0</v>
      </c>
      <c r="BT32" s="2026">
        <f t="shared" si="9"/>
        <v>0</v>
      </c>
      <c r="BU32" s="2026">
        <f t="shared" si="10"/>
        <v>0</v>
      </c>
      <c r="BV32" s="2028"/>
      <c r="BW32" s="2029">
        <f t="shared" si="11"/>
        <v>0</v>
      </c>
      <c r="BX32" s="2029">
        <f t="shared" si="178"/>
        <v>0</v>
      </c>
      <c r="BY32" s="2029">
        <f t="shared" si="179"/>
        <v>0</v>
      </c>
      <c r="BZ32" s="2060"/>
      <c r="CA32" s="2030">
        <f t="shared" si="12"/>
        <v>0</v>
      </c>
      <c r="CB32" s="2030">
        <f t="shared" si="13"/>
        <v>0</v>
      </c>
      <c r="CC32" s="2030">
        <f t="shared" si="14"/>
        <v>0</v>
      </c>
      <c r="CD32" s="2031">
        <f t="shared" si="15"/>
        <v>0</v>
      </c>
      <c r="CE32" s="2031">
        <f t="shared" si="16"/>
        <v>0</v>
      </c>
      <c r="CF32" s="2031">
        <f t="shared" si="180"/>
        <v>0</v>
      </c>
      <c r="CG32" s="2030">
        <f t="shared" si="17"/>
        <v>0</v>
      </c>
      <c r="CH32" s="2032">
        <f t="shared" si="18"/>
        <v>0</v>
      </c>
      <c r="CI32" s="2032">
        <f t="shared" si="19"/>
        <v>0</v>
      </c>
      <c r="CJ32" s="2032">
        <f t="shared" si="181"/>
        <v>0</v>
      </c>
      <c r="CK32" s="2030">
        <f t="shared" si="20"/>
        <v>0</v>
      </c>
      <c r="CL32" s="2033">
        <f t="shared" si="21"/>
        <v>0</v>
      </c>
      <c r="CM32" s="2032">
        <f t="shared" si="22"/>
        <v>0</v>
      </c>
      <c r="CN32" s="2033">
        <f t="shared" si="23"/>
        <v>0</v>
      </c>
      <c r="CO32" s="2033">
        <f t="shared" si="182"/>
        <v>0</v>
      </c>
      <c r="CP32" s="2030">
        <f t="shared" si="24"/>
        <v>0</v>
      </c>
      <c r="CQ32" s="2030">
        <f t="shared" si="25"/>
        <v>0</v>
      </c>
      <c r="CR32" s="2030">
        <f t="shared" si="26"/>
        <v>0</v>
      </c>
      <c r="CS32" s="2030">
        <f t="shared" si="27"/>
        <v>0</v>
      </c>
      <c r="CT32" s="2035">
        <f t="shared" si="28"/>
        <v>0</v>
      </c>
      <c r="CU32" s="2036">
        <f t="shared" si="183"/>
        <v>0</v>
      </c>
      <c r="CV32" s="2036">
        <f t="shared" si="184"/>
        <v>0</v>
      </c>
      <c r="CW32" s="2036">
        <f t="shared" si="185"/>
        <v>0</v>
      </c>
      <c r="DC32" s="10"/>
      <c r="DL32" s="10">
        <f t="shared" si="186"/>
        <v>0</v>
      </c>
      <c r="DM32" s="10">
        <f t="shared" si="29"/>
        <v>0</v>
      </c>
      <c r="DN32" s="2027" t="e">
        <f>DL32/Betrieb!$E$23</f>
        <v>#DIV/0!</v>
      </c>
      <c r="DO32" s="2027" t="e">
        <f>DM32/Betrieb!$E$24</f>
        <v>#DIV/0!</v>
      </c>
      <c r="DP32" s="2041">
        <f>(Betrieb!$E$21*Betrieb!$H$21)+(Betrieb!$E$23*Betrieb!$H$23)</f>
        <v>0</v>
      </c>
      <c r="DQ32" s="2025">
        <f>(Betrieb!$E$22*Betrieb!$H$22)+(Betrieb!$E$24*Betrieb!$H$24)</f>
        <v>0</v>
      </c>
      <c r="DR32" s="2041">
        <f t="shared" si="187"/>
        <v>0</v>
      </c>
      <c r="DS32" s="2025">
        <f t="shared" si="188"/>
        <v>0</v>
      </c>
      <c r="DT32" s="2042">
        <f t="shared" si="189"/>
        <v>0</v>
      </c>
      <c r="DU32" s="2043">
        <f t="shared" si="203"/>
        <v>0</v>
      </c>
      <c r="DV32" s="2043">
        <f t="shared" si="190"/>
        <v>0</v>
      </c>
      <c r="DW32" s="2043">
        <f t="shared" si="204"/>
        <v>0</v>
      </c>
      <c r="DZ32" s="2044">
        <f t="shared" si="191"/>
        <v>0</v>
      </c>
      <c r="EA32" s="1874">
        <f t="shared" si="30"/>
        <v>0</v>
      </c>
      <c r="EB32" s="1874">
        <f t="shared" si="31"/>
        <v>0</v>
      </c>
      <c r="EC32" s="1874">
        <f t="shared" si="32"/>
        <v>0</v>
      </c>
      <c r="ED32" s="1874">
        <f t="shared" si="33"/>
        <v>0</v>
      </c>
      <c r="EE32" s="1874">
        <f t="shared" si="34"/>
        <v>0</v>
      </c>
      <c r="EF32" s="1874">
        <f t="shared" si="35"/>
        <v>0</v>
      </c>
      <c r="EH32" s="2044">
        <f t="shared" si="192"/>
        <v>0</v>
      </c>
      <c r="EI32" s="2025">
        <f t="shared" si="36"/>
        <v>0</v>
      </c>
      <c r="EJ32" s="2025">
        <f t="shared" si="37"/>
        <v>0</v>
      </c>
      <c r="EK32" s="2025">
        <f t="shared" si="38"/>
        <v>0</v>
      </c>
      <c r="EL32" s="2025">
        <f t="shared" si="39"/>
        <v>0</v>
      </c>
      <c r="EM32" s="2025">
        <f t="shared" si="40"/>
        <v>0</v>
      </c>
      <c r="EN32" s="2025">
        <f t="shared" si="41"/>
        <v>0</v>
      </c>
      <c r="EP32" s="2045">
        <f t="shared" si="42"/>
        <v>0</v>
      </c>
      <c r="EQ32" s="2042">
        <f t="shared" si="193"/>
        <v>0</v>
      </c>
      <c r="ER32" s="2042">
        <f t="shared" si="43"/>
        <v>0</v>
      </c>
      <c r="ES32" s="2042">
        <f t="shared" si="44"/>
        <v>0</v>
      </c>
      <c r="ET32" s="2042">
        <f t="shared" si="45"/>
        <v>0</v>
      </c>
      <c r="EU32" s="2042">
        <f t="shared" si="46"/>
        <v>0</v>
      </c>
      <c r="EV32" s="2042">
        <f t="shared" si="47"/>
        <v>0</v>
      </c>
      <c r="EW32" s="2042">
        <f t="shared" si="48"/>
        <v>0</v>
      </c>
      <c r="EX32" s="2042">
        <f t="shared" si="49"/>
        <v>0</v>
      </c>
      <c r="EY32" s="2042">
        <f t="shared" si="50"/>
        <v>0</v>
      </c>
      <c r="EZ32" s="2042">
        <f t="shared" si="51"/>
        <v>0</v>
      </c>
      <c r="FA32" s="2042">
        <f t="shared" si="52"/>
        <v>0</v>
      </c>
      <c r="FB32" s="2042">
        <f t="shared" si="53"/>
        <v>0</v>
      </c>
      <c r="FC32" s="2042">
        <f t="shared" si="54"/>
        <v>0</v>
      </c>
      <c r="FD32" s="2046">
        <f t="shared" si="194"/>
        <v>0</v>
      </c>
      <c r="FE32" s="2042">
        <f t="shared" si="55"/>
        <v>0</v>
      </c>
      <c r="FF32" s="2042">
        <f t="shared" si="56"/>
        <v>0</v>
      </c>
      <c r="FG32" s="2042">
        <f t="shared" si="57"/>
        <v>0</v>
      </c>
      <c r="FH32" s="2042">
        <f t="shared" si="58"/>
        <v>0</v>
      </c>
      <c r="FI32" s="2042">
        <f t="shared" si="59"/>
        <v>0</v>
      </c>
      <c r="FJ32" s="2042">
        <f t="shared" si="195"/>
        <v>0</v>
      </c>
      <c r="FK32" s="2042">
        <f t="shared" si="60"/>
        <v>0</v>
      </c>
      <c r="FL32" s="2042">
        <f t="shared" si="61"/>
        <v>0</v>
      </c>
      <c r="FM32" s="2042">
        <f t="shared" si="62"/>
        <v>0</v>
      </c>
      <c r="FN32" s="2042">
        <f t="shared" si="63"/>
        <v>0</v>
      </c>
      <c r="FO32" s="2042">
        <f t="shared" si="64"/>
        <v>0</v>
      </c>
      <c r="FP32" s="2042">
        <f t="shared" si="65"/>
        <v>0</v>
      </c>
      <c r="FQ32" s="2047">
        <f t="shared" si="196"/>
        <v>0</v>
      </c>
      <c r="FR32" s="2042">
        <f t="shared" si="66"/>
        <v>0</v>
      </c>
      <c r="FS32" s="2042">
        <f t="shared" si="67"/>
        <v>0</v>
      </c>
      <c r="FT32" s="2042">
        <f t="shared" si="68"/>
        <v>0</v>
      </c>
      <c r="FU32" s="2042">
        <f t="shared" si="69"/>
        <v>0</v>
      </c>
      <c r="FV32" s="2042">
        <f t="shared" si="70"/>
        <v>0</v>
      </c>
      <c r="FW32" s="2042">
        <f t="shared" si="71"/>
        <v>0</v>
      </c>
      <c r="FX32" s="2042">
        <f t="shared" si="72"/>
        <v>0</v>
      </c>
      <c r="FY32" s="2042">
        <f t="shared" si="73"/>
        <v>0</v>
      </c>
      <c r="FZ32" s="2042">
        <f t="shared" si="74"/>
        <v>0</v>
      </c>
      <c r="GA32" s="2042">
        <f t="shared" si="75"/>
        <v>0</v>
      </c>
      <c r="GB32" s="2042">
        <f t="shared" si="76"/>
        <v>0</v>
      </c>
      <c r="GC32" s="2042">
        <f t="shared" si="77"/>
        <v>0</v>
      </c>
      <c r="GD32" s="2042">
        <f t="shared" si="78"/>
        <v>0</v>
      </c>
      <c r="GE32" s="2042">
        <f t="shared" si="79"/>
        <v>0</v>
      </c>
      <c r="GF32" s="2042">
        <f t="shared" si="80"/>
        <v>0</v>
      </c>
      <c r="GG32" s="2042">
        <f t="shared" si="81"/>
        <v>0</v>
      </c>
      <c r="GH32" s="2042">
        <f t="shared" si="82"/>
        <v>0</v>
      </c>
      <c r="GI32" s="2042">
        <f t="shared" si="83"/>
        <v>0</v>
      </c>
      <c r="GJ32" s="2042">
        <f t="shared" si="84"/>
        <v>0</v>
      </c>
      <c r="GK32" s="2042">
        <f t="shared" si="85"/>
        <v>0</v>
      </c>
      <c r="GL32" s="2042">
        <f t="shared" si="86"/>
        <v>0</v>
      </c>
      <c r="GM32" s="2042">
        <f t="shared" si="87"/>
        <v>0</v>
      </c>
      <c r="GN32" s="2042">
        <f t="shared" si="88"/>
        <v>0</v>
      </c>
      <c r="GO32" s="2042">
        <f t="shared" si="89"/>
        <v>0</v>
      </c>
      <c r="GP32" s="2047">
        <f t="shared" si="197"/>
        <v>0</v>
      </c>
      <c r="GQ32" s="2042">
        <f t="shared" si="90"/>
        <v>0</v>
      </c>
      <c r="GR32" s="2042">
        <f t="shared" si="91"/>
        <v>0</v>
      </c>
      <c r="GS32" s="2042">
        <f t="shared" si="92"/>
        <v>0</v>
      </c>
      <c r="GT32" s="2042">
        <f t="shared" si="93"/>
        <v>0</v>
      </c>
      <c r="GU32" s="2042">
        <f t="shared" si="94"/>
        <v>0</v>
      </c>
      <c r="GV32" s="2042">
        <f t="shared" si="95"/>
        <v>0</v>
      </c>
      <c r="GW32" s="2042">
        <f t="shared" si="96"/>
        <v>0</v>
      </c>
      <c r="GX32" s="2042">
        <f t="shared" si="97"/>
        <v>0</v>
      </c>
      <c r="GY32" s="2042">
        <f t="shared" si="98"/>
        <v>0</v>
      </c>
      <c r="GZ32" s="2042">
        <f t="shared" si="99"/>
        <v>0</v>
      </c>
      <c r="HA32" s="2042">
        <f t="shared" si="100"/>
        <v>0</v>
      </c>
      <c r="HB32" s="2042">
        <f t="shared" si="101"/>
        <v>0</v>
      </c>
      <c r="HC32" s="2047">
        <f t="shared" si="198"/>
        <v>0</v>
      </c>
      <c r="HD32" s="2042">
        <f t="shared" si="102"/>
        <v>0</v>
      </c>
      <c r="HE32" s="2042">
        <f t="shared" si="103"/>
        <v>0</v>
      </c>
      <c r="HF32" s="2042">
        <f t="shared" si="104"/>
        <v>0</v>
      </c>
      <c r="HG32" s="2042">
        <f t="shared" si="105"/>
        <v>0</v>
      </c>
      <c r="HH32" s="2042">
        <f t="shared" si="106"/>
        <v>0</v>
      </c>
      <c r="HI32" s="2042">
        <f t="shared" si="107"/>
        <v>0</v>
      </c>
      <c r="HJ32" s="2042">
        <f t="shared" si="108"/>
        <v>0</v>
      </c>
      <c r="HK32" s="2042">
        <f t="shared" si="109"/>
        <v>0</v>
      </c>
      <c r="HL32" s="2042">
        <f t="shared" si="110"/>
        <v>0</v>
      </c>
      <c r="HM32" s="2042">
        <f t="shared" si="111"/>
        <v>0</v>
      </c>
      <c r="HN32" s="2042">
        <f t="shared" si="112"/>
        <v>0</v>
      </c>
      <c r="HO32" s="2042">
        <f t="shared" si="113"/>
        <v>0</v>
      </c>
      <c r="HP32" s="2047">
        <f t="shared" si="199"/>
        <v>0</v>
      </c>
      <c r="HQ32" s="2042">
        <f t="shared" si="114"/>
        <v>0</v>
      </c>
      <c r="HR32" s="2042">
        <f t="shared" si="115"/>
        <v>0</v>
      </c>
      <c r="HS32" s="2042">
        <f t="shared" si="116"/>
        <v>0</v>
      </c>
      <c r="HT32" s="2042">
        <f t="shared" si="117"/>
        <v>0</v>
      </c>
      <c r="HU32" s="2042">
        <f t="shared" si="118"/>
        <v>0</v>
      </c>
      <c r="HV32" s="2042">
        <f t="shared" si="119"/>
        <v>0</v>
      </c>
      <c r="HW32" s="2042">
        <f t="shared" si="120"/>
        <v>0</v>
      </c>
      <c r="HX32" s="2042">
        <f t="shared" si="121"/>
        <v>0</v>
      </c>
      <c r="HY32" s="2042">
        <f t="shared" si="122"/>
        <v>0</v>
      </c>
      <c r="HZ32" s="2042">
        <f t="shared" si="123"/>
        <v>0</v>
      </c>
      <c r="IA32" s="2042">
        <f t="shared" si="124"/>
        <v>0</v>
      </c>
      <c r="IB32" s="2042">
        <f t="shared" si="125"/>
        <v>0</v>
      </c>
      <c r="IC32" s="2047">
        <f t="shared" si="200"/>
        <v>0</v>
      </c>
      <c r="IE32" s="2044">
        <f t="shared" si="201"/>
        <v>0</v>
      </c>
      <c r="IF32" s="2025">
        <f t="shared" si="126"/>
        <v>0</v>
      </c>
      <c r="IG32" s="2025">
        <f t="shared" si="127"/>
        <v>0</v>
      </c>
      <c r="IH32" s="2025">
        <f t="shared" si="128"/>
        <v>0</v>
      </c>
      <c r="II32" s="2025">
        <f t="shared" si="129"/>
        <v>0</v>
      </c>
      <c r="IJ32" s="2025">
        <f t="shared" si="130"/>
        <v>0</v>
      </c>
      <c r="IK32" s="2025">
        <f t="shared" si="131"/>
        <v>0</v>
      </c>
      <c r="IL32" s="2025">
        <f t="shared" si="132"/>
        <v>0</v>
      </c>
      <c r="IM32" s="2025">
        <f t="shared" si="133"/>
        <v>0</v>
      </c>
      <c r="IN32" s="2025">
        <f t="shared" si="134"/>
        <v>0</v>
      </c>
      <c r="IO32" s="2025">
        <f t="shared" si="135"/>
        <v>0</v>
      </c>
      <c r="IP32" s="2025">
        <f t="shared" si="136"/>
        <v>0</v>
      </c>
      <c r="IQ32" s="2025">
        <f t="shared" si="137"/>
        <v>0</v>
      </c>
      <c r="IS32" s="2044">
        <f t="shared" si="202"/>
        <v>0</v>
      </c>
      <c r="IT32" s="2025">
        <f t="shared" si="138"/>
        <v>0</v>
      </c>
      <c r="IU32" s="2025">
        <f t="shared" si="139"/>
        <v>0</v>
      </c>
      <c r="IV32" s="2025">
        <f t="shared" si="140"/>
        <v>0</v>
      </c>
      <c r="IW32" s="2025">
        <f t="shared" si="141"/>
        <v>0</v>
      </c>
      <c r="IX32" s="2025">
        <f t="shared" si="142"/>
        <v>0</v>
      </c>
      <c r="IY32" s="2025">
        <f t="shared" si="143"/>
        <v>0</v>
      </c>
      <c r="IZ32" s="2025">
        <f t="shared" si="144"/>
        <v>0</v>
      </c>
      <c r="JA32" s="2025">
        <f t="shared" si="145"/>
        <v>0</v>
      </c>
      <c r="JB32" s="2025">
        <f t="shared" si="146"/>
        <v>0</v>
      </c>
      <c r="JC32" s="2025">
        <f t="shared" si="147"/>
        <v>0</v>
      </c>
      <c r="JD32" s="2025">
        <f t="shared" si="148"/>
        <v>0</v>
      </c>
      <c r="JE32" s="2025">
        <f t="shared" si="149"/>
        <v>0</v>
      </c>
    </row>
    <row r="33" spans="1:265" ht="18" customHeight="1">
      <c r="A33" s="1319"/>
      <c r="B33" s="2023">
        <v>29</v>
      </c>
      <c r="C33" s="1105" t="s">
        <v>34</v>
      </c>
      <c r="D33" s="2130"/>
      <c r="E33" s="739"/>
      <c r="F33" s="1544"/>
      <c r="G33" s="1320"/>
      <c r="H33" s="1321">
        <f t="shared" si="0"/>
        <v>0</v>
      </c>
      <c r="I33" s="1321">
        <f t="shared" si="150"/>
        <v>0</v>
      </c>
      <c r="J33" s="1321">
        <f t="shared" si="1"/>
        <v>0</v>
      </c>
      <c r="K33" s="1321">
        <f t="shared" si="2"/>
        <v>0</v>
      </c>
      <c r="L33" s="1322">
        <f>Summen_GL!F100</f>
        <v>0</v>
      </c>
      <c r="M33" s="1323">
        <f t="shared" si="151"/>
        <v>0</v>
      </c>
      <c r="N33" s="2070"/>
      <c r="O33" s="1321">
        <f t="shared" si="205"/>
        <v>0</v>
      </c>
      <c r="P33" s="1321">
        <f t="shared" si="3"/>
        <v>0</v>
      </c>
      <c r="Q33" s="2070"/>
      <c r="R33" s="1470"/>
      <c r="S33" s="1471"/>
      <c r="T33" s="1470"/>
      <c r="U33" s="1471"/>
      <c r="V33" s="1470"/>
      <c r="W33" s="1471"/>
      <c r="X33" s="1470"/>
      <c r="Y33" s="1471"/>
      <c r="Z33" s="1470"/>
      <c r="AA33" s="1471"/>
      <c r="AB33" s="1470"/>
      <c r="AC33" s="1551"/>
      <c r="AD33" s="844"/>
      <c r="AE33" s="1319"/>
      <c r="AF33" s="876"/>
      <c r="AG33" s="844"/>
      <c r="AH33" s="1563"/>
      <c r="AI33" s="2132"/>
      <c r="AJ33" s="1319"/>
      <c r="AK33" s="1593">
        <f t="shared" si="152"/>
        <v>0</v>
      </c>
      <c r="AL33" s="1594">
        <f t="shared" si="153"/>
        <v>0</v>
      </c>
      <c r="AM33" s="1319"/>
      <c r="AN33" s="1319"/>
      <c r="AP33" s="1860">
        <f t="shared" si="154"/>
        <v>0</v>
      </c>
      <c r="AQ33" s="1860">
        <f t="shared" si="155"/>
        <v>0</v>
      </c>
      <c r="AR33" s="1860">
        <f t="shared" si="156"/>
        <v>0</v>
      </c>
      <c r="AS33" s="1860">
        <f t="shared" si="157"/>
        <v>0</v>
      </c>
      <c r="AT33" s="1860">
        <f t="shared" si="158"/>
        <v>0</v>
      </c>
      <c r="AU33" s="1860">
        <f t="shared" si="159"/>
        <v>0</v>
      </c>
      <c r="AV33" s="1860">
        <f t="shared" si="160"/>
        <v>0</v>
      </c>
      <c r="AW33" s="1860">
        <f t="shared" si="161"/>
        <v>0</v>
      </c>
      <c r="AX33" s="1860">
        <f t="shared" si="162"/>
        <v>0</v>
      </c>
      <c r="AY33" s="1860">
        <f t="shared" si="163"/>
        <v>0</v>
      </c>
      <c r="AZ33" s="1860">
        <f t="shared" si="164"/>
        <v>0</v>
      </c>
      <c r="BA33" s="2026">
        <f t="shared" si="165"/>
        <v>0</v>
      </c>
      <c r="BB33" s="2026">
        <f t="shared" si="166"/>
        <v>0</v>
      </c>
      <c r="BC33" s="2026">
        <f t="shared" si="167"/>
        <v>0</v>
      </c>
      <c r="BD33" s="2026">
        <f t="shared" si="168"/>
        <v>0</v>
      </c>
      <c r="BE33" s="2026">
        <f t="shared" si="169"/>
        <v>0</v>
      </c>
      <c r="BF33" s="2026">
        <f t="shared" si="170"/>
        <v>0</v>
      </c>
      <c r="BG33" s="2026">
        <f t="shared" si="171"/>
        <v>0</v>
      </c>
      <c r="BH33" s="2026">
        <f t="shared" si="172"/>
        <v>0</v>
      </c>
      <c r="BI33" s="2026">
        <f t="shared" si="173"/>
        <v>0</v>
      </c>
      <c r="BJ33" s="2026">
        <f t="shared" si="174"/>
        <v>0</v>
      </c>
      <c r="BK33" s="2027"/>
      <c r="BL33" s="2026">
        <f t="shared" si="175"/>
        <v>0</v>
      </c>
      <c r="BM33" s="2026">
        <f t="shared" si="176"/>
        <v>0</v>
      </c>
      <c r="BN33" s="2026">
        <f t="shared" si="4"/>
        <v>0</v>
      </c>
      <c r="BO33" s="2026">
        <f t="shared" si="5"/>
        <v>0</v>
      </c>
      <c r="BP33" s="2026">
        <f t="shared" si="6"/>
        <v>0</v>
      </c>
      <c r="BQ33" s="2026">
        <f t="shared" si="7"/>
        <v>0</v>
      </c>
      <c r="BR33" s="2026">
        <f t="shared" si="8"/>
        <v>0</v>
      </c>
      <c r="BS33" s="2026">
        <f t="shared" si="177"/>
        <v>0</v>
      </c>
      <c r="BT33" s="2026">
        <f t="shared" si="9"/>
        <v>0</v>
      </c>
      <c r="BU33" s="2026">
        <f t="shared" si="10"/>
        <v>0</v>
      </c>
      <c r="BV33" s="2028"/>
      <c r="BW33" s="2029">
        <f t="shared" si="11"/>
        <v>0</v>
      </c>
      <c r="BX33" s="2029">
        <f t="shared" si="178"/>
        <v>0</v>
      </c>
      <c r="BY33" s="2029">
        <f t="shared" si="179"/>
        <v>0</v>
      </c>
      <c r="BZ33" s="2060"/>
      <c r="CA33" s="2030">
        <f t="shared" si="12"/>
        <v>0</v>
      </c>
      <c r="CB33" s="2030">
        <f t="shared" si="13"/>
        <v>0</v>
      </c>
      <c r="CC33" s="2030">
        <f t="shared" si="14"/>
        <v>0</v>
      </c>
      <c r="CD33" s="2031">
        <f t="shared" si="15"/>
        <v>0</v>
      </c>
      <c r="CE33" s="2031">
        <f t="shared" si="16"/>
        <v>0</v>
      </c>
      <c r="CF33" s="2031">
        <f t="shared" si="180"/>
        <v>0</v>
      </c>
      <c r="CG33" s="2030">
        <f t="shared" si="17"/>
        <v>0</v>
      </c>
      <c r="CH33" s="2032">
        <f t="shared" si="18"/>
        <v>0</v>
      </c>
      <c r="CI33" s="2032">
        <f t="shared" si="19"/>
        <v>0</v>
      </c>
      <c r="CJ33" s="2032">
        <f t="shared" si="181"/>
        <v>0</v>
      </c>
      <c r="CK33" s="2030">
        <f t="shared" si="20"/>
        <v>0</v>
      </c>
      <c r="CL33" s="2033">
        <f t="shared" si="21"/>
        <v>0</v>
      </c>
      <c r="CM33" s="2032">
        <f t="shared" si="22"/>
        <v>0</v>
      </c>
      <c r="CN33" s="2033">
        <f t="shared" si="23"/>
        <v>0</v>
      </c>
      <c r="CO33" s="2033">
        <f t="shared" si="182"/>
        <v>0</v>
      </c>
      <c r="CP33" s="2030">
        <f t="shared" si="24"/>
        <v>0</v>
      </c>
      <c r="CQ33" s="2030">
        <f t="shared" si="25"/>
        <v>0</v>
      </c>
      <c r="CR33" s="2030">
        <f t="shared" si="26"/>
        <v>0</v>
      </c>
      <c r="CS33" s="2030">
        <f t="shared" si="27"/>
        <v>0</v>
      </c>
      <c r="CT33" s="2035">
        <f t="shared" si="28"/>
        <v>0</v>
      </c>
      <c r="CU33" s="2036">
        <f t="shared" si="183"/>
        <v>0</v>
      </c>
      <c r="CV33" s="2036">
        <f t="shared" si="184"/>
        <v>0</v>
      </c>
      <c r="CW33" s="2036">
        <f t="shared" si="185"/>
        <v>0</v>
      </c>
      <c r="DL33" s="10">
        <f t="shared" si="186"/>
        <v>0</v>
      </c>
      <c r="DM33" s="10">
        <f t="shared" si="29"/>
        <v>0</v>
      </c>
      <c r="DN33" s="2027" t="e">
        <f>DL33/Betrieb!$E$23</f>
        <v>#DIV/0!</v>
      </c>
      <c r="DO33" s="2027" t="e">
        <f>DM33/Betrieb!$E$24</f>
        <v>#DIV/0!</v>
      </c>
      <c r="DP33" s="2041">
        <f>(Betrieb!$E$21*Betrieb!$H$21)+(Betrieb!$E$23*Betrieb!$H$23)</f>
        <v>0</v>
      </c>
      <c r="DQ33" s="2025">
        <f>(Betrieb!$E$22*Betrieb!$H$22)+(Betrieb!$E$24*Betrieb!$H$24)</f>
        <v>0</v>
      </c>
      <c r="DR33" s="2041">
        <f t="shared" si="187"/>
        <v>0</v>
      </c>
      <c r="DS33" s="2025">
        <f t="shared" si="188"/>
        <v>0</v>
      </c>
      <c r="DT33" s="2042">
        <f t="shared" si="189"/>
        <v>0</v>
      </c>
      <c r="DU33" s="2043">
        <f t="shared" si="203"/>
        <v>0</v>
      </c>
      <c r="DV33" s="2043">
        <f t="shared" si="190"/>
        <v>0</v>
      </c>
      <c r="DW33" s="2043">
        <f t="shared" si="204"/>
        <v>0</v>
      </c>
      <c r="DZ33" s="2044">
        <f t="shared" si="191"/>
        <v>0</v>
      </c>
      <c r="EA33" s="1874">
        <f t="shared" si="30"/>
        <v>0</v>
      </c>
      <c r="EB33" s="1874">
        <f t="shared" si="31"/>
        <v>0</v>
      </c>
      <c r="EC33" s="1874">
        <f t="shared" si="32"/>
        <v>0</v>
      </c>
      <c r="ED33" s="1874">
        <f t="shared" si="33"/>
        <v>0</v>
      </c>
      <c r="EE33" s="1874">
        <f t="shared" si="34"/>
        <v>0</v>
      </c>
      <c r="EF33" s="1874">
        <f t="shared" si="35"/>
        <v>0</v>
      </c>
      <c r="EH33" s="2044">
        <f t="shared" si="192"/>
        <v>0</v>
      </c>
      <c r="EI33" s="2025">
        <f t="shared" si="36"/>
        <v>0</v>
      </c>
      <c r="EJ33" s="2025">
        <f t="shared" si="37"/>
        <v>0</v>
      </c>
      <c r="EK33" s="2025">
        <f t="shared" si="38"/>
        <v>0</v>
      </c>
      <c r="EL33" s="2025">
        <f t="shared" si="39"/>
        <v>0</v>
      </c>
      <c r="EM33" s="2025">
        <f t="shared" si="40"/>
        <v>0</v>
      </c>
      <c r="EN33" s="2025">
        <f t="shared" si="41"/>
        <v>0</v>
      </c>
      <c r="EP33" s="2045">
        <f t="shared" si="42"/>
        <v>0</v>
      </c>
      <c r="EQ33" s="2042">
        <f t="shared" si="193"/>
        <v>0</v>
      </c>
      <c r="ER33" s="2042">
        <f t="shared" si="43"/>
        <v>0</v>
      </c>
      <c r="ES33" s="2042">
        <f t="shared" si="44"/>
        <v>0</v>
      </c>
      <c r="ET33" s="2042">
        <f t="shared" si="45"/>
        <v>0</v>
      </c>
      <c r="EU33" s="2042">
        <f t="shared" si="46"/>
        <v>0</v>
      </c>
      <c r="EV33" s="2042">
        <f t="shared" si="47"/>
        <v>0</v>
      </c>
      <c r="EW33" s="2042">
        <f t="shared" si="48"/>
        <v>0</v>
      </c>
      <c r="EX33" s="2042">
        <f t="shared" si="49"/>
        <v>0</v>
      </c>
      <c r="EY33" s="2042">
        <f t="shared" si="50"/>
        <v>0</v>
      </c>
      <c r="EZ33" s="2042">
        <f t="shared" si="51"/>
        <v>0</v>
      </c>
      <c r="FA33" s="2042">
        <f t="shared" si="52"/>
        <v>0</v>
      </c>
      <c r="FB33" s="2042">
        <f t="shared" si="53"/>
        <v>0</v>
      </c>
      <c r="FC33" s="2042">
        <f t="shared" si="54"/>
        <v>0</v>
      </c>
      <c r="FD33" s="2046">
        <f t="shared" si="194"/>
        <v>0</v>
      </c>
      <c r="FE33" s="2042">
        <f t="shared" si="55"/>
        <v>0</v>
      </c>
      <c r="FF33" s="2042">
        <f t="shared" si="56"/>
        <v>0</v>
      </c>
      <c r="FG33" s="2042">
        <f t="shared" si="57"/>
        <v>0</v>
      </c>
      <c r="FH33" s="2042">
        <f t="shared" si="58"/>
        <v>0</v>
      </c>
      <c r="FI33" s="2042">
        <f t="shared" si="59"/>
        <v>0</v>
      </c>
      <c r="FJ33" s="2042">
        <f t="shared" si="195"/>
        <v>0</v>
      </c>
      <c r="FK33" s="2042">
        <f t="shared" si="60"/>
        <v>0</v>
      </c>
      <c r="FL33" s="2042">
        <f t="shared" si="61"/>
        <v>0</v>
      </c>
      <c r="FM33" s="2042">
        <f t="shared" si="62"/>
        <v>0</v>
      </c>
      <c r="FN33" s="2042">
        <f t="shared" si="63"/>
        <v>0</v>
      </c>
      <c r="FO33" s="2042">
        <f t="shared" si="64"/>
        <v>0</v>
      </c>
      <c r="FP33" s="2042">
        <f t="shared" si="65"/>
        <v>0</v>
      </c>
      <c r="FQ33" s="2047">
        <f t="shared" si="196"/>
        <v>0</v>
      </c>
      <c r="FR33" s="2042">
        <f t="shared" si="66"/>
        <v>0</v>
      </c>
      <c r="FS33" s="2042">
        <f t="shared" si="67"/>
        <v>0</v>
      </c>
      <c r="FT33" s="2042">
        <f t="shared" si="68"/>
        <v>0</v>
      </c>
      <c r="FU33" s="2042">
        <f t="shared" si="69"/>
        <v>0</v>
      </c>
      <c r="FV33" s="2042">
        <f t="shared" si="70"/>
        <v>0</v>
      </c>
      <c r="FW33" s="2042">
        <f t="shared" si="71"/>
        <v>0</v>
      </c>
      <c r="FX33" s="2042">
        <f t="shared" si="72"/>
        <v>0</v>
      </c>
      <c r="FY33" s="2042">
        <f t="shared" si="73"/>
        <v>0</v>
      </c>
      <c r="FZ33" s="2042">
        <f t="shared" si="74"/>
        <v>0</v>
      </c>
      <c r="GA33" s="2042">
        <f t="shared" si="75"/>
        <v>0</v>
      </c>
      <c r="GB33" s="2042">
        <f t="shared" si="76"/>
        <v>0</v>
      </c>
      <c r="GC33" s="2042">
        <f t="shared" si="77"/>
        <v>0</v>
      </c>
      <c r="GD33" s="2042">
        <f t="shared" si="78"/>
        <v>0</v>
      </c>
      <c r="GE33" s="2042">
        <f t="shared" si="79"/>
        <v>0</v>
      </c>
      <c r="GF33" s="2042">
        <f t="shared" si="80"/>
        <v>0</v>
      </c>
      <c r="GG33" s="2042">
        <f t="shared" si="81"/>
        <v>0</v>
      </c>
      <c r="GH33" s="2042">
        <f t="shared" si="82"/>
        <v>0</v>
      </c>
      <c r="GI33" s="2042">
        <f t="shared" si="83"/>
        <v>0</v>
      </c>
      <c r="GJ33" s="2042">
        <f t="shared" si="84"/>
        <v>0</v>
      </c>
      <c r="GK33" s="2042">
        <f t="shared" si="85"/>
        <v>0</v>
      </c>
      <c r="GL33" s="2042">
        <f t="shared" si="86"/>
        <v>0</v>
      </c>
      <c r="GM33" s="2042">
        <f t="shared" si="87"/>
        <v>0</v>
      </c>
      <c r="GN33" s="2042">
        <f t="shared" si="88"/>
        <v>0</v>
      </c>
      <c r="GO33" s="2042">
        <f t="shared" si="89"/>
        <v>0</v>
      </c>
      <c r="GP33" s="2047">
        <f t="shared" si="197"/>
        <v>0</v>
      </c>
      <c r="GQ33" s="2042">
        <f t="shared" si="90"/>
        <v>0</v>
      </c>
      <c r="GR33" s="2042">
        <f t="shared" si="91"/>
        <v>0</v>
      </c>
      <c r="GS33" s="2042">
        <f t="shared" si="92"/>
        <v>0</v>
      </c>
      <c r="GT33" s="2042">
        <f t="shared" si="93"/>
        <v>0</v>
      </c>
      <c r="GU33" s="2042">
        <f t="shared" si="94"/>
        <v>0</v>
      </c>
      <c r="GV33" s="2042">
        <f t="shared" si="95"/>
        <v>0</v>
      </c>
      <c r="GW33" s="2042">
        <f t="shared" si="96"/>
        <v>0</v>
      </c>
      <c r="GX33" s="2042">
        <f t="shared" si="97"/>
        <v>0</v>
      </c>
      <c r="GY33" s="2042">
        <f t="shared" si="98"/>
        <v>0</v>
      </c>
      <c r="GZ33" s="2042">
        <f t="shared" si="99"/>
        <v>0</v>
      </c>
      <c r="HA33" s="2042">
        <f t="shared" si="100"/>
        <v>0</v>
      </c>
      <c r="HB33" s="2042">
        <f t="shared" si="101"/>
        <v>0</v>
      </c>
      <c r="HC33" s="2047">
        <f t="shared" si="198"/>
        <v>0</v>
      </c>
      <c r="HD33" s="2042">
        <f t="shared" si="102"/>
        <v>0</v>
      </c>
      <c r="HE33" s="2042">
        <f t="shared" si="103"/>
        <v>0</v>
      </c>
      <c r="HF33" s="2042">
        <f t="shared" si="104"/>
        <v>0</v>
      </c>
      <c r="HG33" s="2042">
        <f t="shared" si="105"/>
        <v>0</v>
      </c>
      <c r="HH33" s="2042">
        <f t="shared" si="106"/>
        <v>0</v>
      </c>
      <c r="HI33" s="2042">
        <f t="shared" si="107"/>
        <v>0</v>
      </c>
      <c r="HJ33" s="2042">
        <f t="shared" si="108"/>
        <v>0</v>
      </c>
      <c r="HK33" s="2042">
        <f t="shared" si="109"/>
        <v>0</v>
      </c>
      <c r="HL33" s="2042">
        <f t="shared" si="110"/>
        <v>0</v>
      </c>
      <c r="HM33" s="2042">
        <f t="shared" si="111"/>
        <v>0</v>
      </c>
      <c r="HN33" s="2042">
        <f t="shared" si="112"/>
        <v>0</v>
      </c>
      <c r="HO33" s="2042">
        <f t="shared" si="113"/>
        <v>0</v>
      </c>
      <c r="HP33" s="2047">
        <f t="shared" si="199"/>
        <v>0</v>
      </c>
      <c r="HQ33" s="2042">
        <f t="shared" si="114"/>
        <v>0</v>
      </c>
      <c r="HR33" s="2042">
        <f t="shared" si="115"/>
        <v>0</v>
      </c>
      <c r="HS33" s="2042">
        <f t="shared" si="116"/>
        <v>0</v>
      </c>
      <c r="HT33" s="2042">
        <f t="shared" si="117"/>
        <v>0</v>
      </c>
      <c r="HU33" s="2042">
        <f t="shared" si="118"/>
        <v>0</v>
      </c>
      <c r="HV33" s="2042">
        <f t="shared" si="119"/>
        <v>0</v>
      </c>
      <c r="HW33" s="2042">
        <f t="shared" si="120"/>
        <v>0</v>
      </c>
      <c r="HX33" s="2042">
        <f t="shared" si="121"/>
        <v>0</v>
      </c>
      <c r="HY33" s="2042">
        <f t="shared" si="122"/>
        <v>0</v>
      </c>
      <c r="HZ33" s="2042">
        <f t="shared" si="123"/>
        <v>0</v>
      </c>
      <c r="IA33" s="2042">
        <f t="shared" si="124"/>
        <v>0</v>
      </c>
      <c r="IB33" s="2042">
        <f t="shared" si="125"/>
        <v>0</v>
      </c>
      <c r="IC33" s="2047">
        <f t="shared" si="200"/>
        <v>0</v>
      </c>
      <c r="IE33" s="2044">
        <f t="shared" si="201"/>
        <v>0</v>
      </c>
      <c r="IF33" s="2025">
        <f t="shared" si="126"/>
        <v>0</v>
      </c>
      <c r="IG33" s="2025">
        <f t="shared" si="127"/>
        <v>0</v>
      </c>
      <c r="IH33" s="2025">
        <f t="shared" si="128"/>
        <v>0</v>
      </c>
      <c r="II33" s="2025">
        <f t="shared" si="129"/>
        <v>0</v>
      </c>
      <c r="IJ33" s="2025">
        <f t="shared" si="130"/>
        <v>0</v>
      </c>
      <c r="IK33" s="2025">
        <f t="shared" si="131"/>
        <v>0</v>
      </c>
      <c r="IL33" s="2025">
        <f t="shared" si="132"/>
        <v>0</v>
      </c>
      <c r="IM33" s="2025">
        <f t="shared" si="133"/>
        <v>0</v>
      </c>
      <c r="IN33" s="2025">
        <f t="shared" si="134"/>
        <v>0</v>
      </c>
      <c r="IO33" s="2025">
        <f t="shared" si="135"/>
        <v>0</v>
      </c>
      <c r="IP33" s="2025">
        <f t="shared" si="136"/>
        <v>0</v>
      </c>
      <c r="IQ33" s="2025">
        <f t="shared" si="137"/>
        <v>0</v>
      </c>
      <c r="IS33" s="2044">
        <f t="shared" si="202"/>
        <v>0</v>
      </c>
      <c r="IT33" s="2025">
        <f t="shared" si="138"/>
        <v>0</v>
      </c>
      <c r="IU33" s="2025">
        <f t="shared" si="139"/>
        <v>0</v>
      </c>
      <c r="IV33" s="2025">
        <f t="shared" si="140"/>
        <v>0</v>
      </c>
      <c r="IW33" s="2025">
        <f t="shared" si="141"/>
        <v>0</v>
      </c>
      <c r="IX33" s="2025">
        <f t="shared" si="142"/>
        <v>0</v>
      </c>
      <c r="IY33" s="2025">
        <f t="shared" si="143"/>
        <v>0</v>
      </c>
      <c r="IZ33" s="2025">
        <f t="shared" si="144"/>
        <v>0</v>
      </c>
      <c r="JA33" s="2025">
        <f t="shared" si="145"/>
        <v>0</v>
      </c>
      <c r="JB33" s="2025">
        <f t="shared" si="146"/>
        <v>0</v>
      </c>
      <c r="JC33" s="2025">
        <f t="shared" si="147"/>
        <v>0</v>
      </c>
      <c r="JD33" s="2025">
        <f t="shared" si="148"/>
        <v>0</v>
      </c>
      <c r="JE33" s="2025">
        <f t="shared" si="149"/>
        <v>0</v>
      </c>
    </row>
    <row r="34" spans="1:265" ht="18" customHeight="1">
      <c r="A34" s="1319"/>
      <c r="B34" s="2073">
        <v>30</v>
      </c>
      <c r="C34" s="1552" t="s">
        <v>34</v>
      </c>
      <c r="D34" s="2131"/>
      <c r="E34" s="739"/>
      <c r="F34" s="2258"/>
      <c r="G34" s="1553"/>
      <c r="H34" s="1554">
        <f t="shared" si="0"/>
        <v>0</v>
      </c>
      <c r="I34" s="1554">
        <f t="shared" si="150"/>
        <v>0</v>
      </c>
      <c r="J34" s="1554">
        <f t="shared" si="1"/>
        <v>0</v>
      </c>
      <c r="K34" s="1554">
        <f t="shared" si="2"/>
        <v>0</v>
      </c>
      <c r="L34" s="1555">
        <f>Summen_GL!F101</f>
        <v>0</v>
      </c>
      <c r="M34" s="1323">
        <f t="shared" si="151"/>
        <v>0</v>
      </c>
      <c r="N34" s="2074"/>
      <c r="O34" s="1554">
        <f t="shared" si="205"/>
        <v>0</v>
      </c>
      <c r="P34" s="1554">
        <f t="shared" si="3"/>
        <v>0</v>
      </c>
      <c r="Q34" s="2074"/>
      <c r="R34" s="1556"/>
      <c r="S34" s="1557"/>
      <c r="T34" s="1556"/>
      <c r="U34" s="1557"/>
      <c r="V34" s="1556"/>
      <c r="W34" s="1557"/>
      <c r="X34" s="1556"/>
      <c r="Y34" s="1557"/>
      <c r="Z34" s="1556"/>
      <c r="AA34" s="1557"/>
      <c r="AB34" s="1556"/>
      <c r="AC34" s="1558"/>
      <c r="AD34" s="844"/>
      <c r="AE34" s="1319"/>
      <c r="AF34" s="876"/>
      <c r="AG34" s="844"/>
      <c r="AH34" s="1585"/>
      <c r="AI34" s="2133"/>
      <c r="AJ34" s="1319"/>
      <c r="AK34" s="1595">
        <f t="shared" si="152"/>
        <v>0</v>
      </c>
      <c r="AL34" s="1596">
        <f t="shared" si="153"/>
        <v>0</v>
      </c>
      <c r="AM34" s="1319"/>
      <c r="AN34" s="1319"/>
      <c r="AP34" s="1860">
        <f t="shared" si="154"/>
        <v>0</v>
      </c>
      <c r="AQ34" s="1860">
        <f t="shared" si="155"/>
        <v>0</v>
      </c>
      <c r="AR34" s="1860">
        <f t="shared" si="156"/>
        <v>0</v>
      </c>
      <c r="AS34" s="1860">
        <f t="shared" si="157"/>
        <v>0</v>
      </c>
      <c r="AT34" s="1860">
        <f t="shared" si="158"/>
        <v>0</v>
      </c>
      <c r="AU34" s="1860">
        <f t="shared" si="159"/>
        <v>0</v>
      </c>
      <c r="AV34" s="1860">
        <f t="shared" si="160"/>
        <v>0</v>
      </c>
      <c r="AW34" s="1860">
        <f t="shared" si="161"/>
        <v>0</v>
      </c>
      <c r="AX34" s="1860">
        <f t="shared" si="162"/>
        <v>0</v>
      </c>
      <c r="AY34" s="1860">
        <f t="shared" si="163"/>
        <v>0</v>
      </c>
      <c r="AZ34" s="1860">
        <f t="shared" si="164"/>
        <v>0</v>
      </c>
      <c r="BA34" s="2026">
        <f t="shared" si="165"/>
        <v>0</v>
      </c>
      <c r="BB34" s="2026">
        <f t="shared" si="166"/>
        <v>0</v>
      </c>
      <c r="BC34" s="2026">
        <f t="shared" si="167"/>
        <v>0</v>
      </c>
      <c r="BD34" s="2026">
        <f t="shared" si="168"/>
        <v>0</v>
      </c>
      <c r="BE34" s="2026">
        <f t="shared" si="169"/>
        <v>0</v>
      </c>
      <c r="BF34" s="2026">
        <f t="shared" si="170"/>
        <v>0</v>
      </c>
      <c r="BG34" s="2026">
        <f t="shared" si="171"/>
        <v>0</v>
      </c>
      <c r="BH34" s="2026">
        <f t="shared" si="172"/>
        <v>0</v>
      </c>
      <c r="BI34" s="2026">
        <f t="shared" si="173"/>
        <v>0</v>
      </c>
      <c r="BJ34" s="2026">
        <f t="shared" si="174"/>
        <v>0</v>
      </c>
      <c r="BK34" s="2027"/>
      <c r="BL34" s="2026">
        <f t="shared" si="175"/>
        <v>0</v>
      </c>
      <c r="BM34" s="2026">
        <f t="shared" si="176"/>
        <v>0</v>
      </c>
      <c r="BN34" s="2026">
        <f t="shared" si="4"/>
        <v>0</v>
      </c>
      <c r="BO34" s="2026">
        <f t="shared" si="5"/>
        <v>0</v>
      </c>
      <c r="BP34" s="2026">
        <f t="shared" si="6"/>
        <v>0</v>
      </c>
      <c r="BQ34" s="2026">
        <f t="shared" si="7"/>
        <v>0</v>
      </c>
      <c r="BR34" s="2026">
        <f t="shared" si="8"/>
        <v>0</v>
      </c>
      <c r="BS34" s="2026">
        <f t="shared" si="177"/>
        <v>0</v>
      </c>
      <c r="BT34" s="2026">
        <f t="shared" si="9"/>
        <v>0</v>
      </c>
      <c r="BU34" s="2026">
        <f t="shared" si="10"/>
        <v>0</v>
      </c>
      <c r="BV34" s="2028"/>
      <c r="BW34" s="2029">
        <f t="shared" si="11"/>
        <v>0</v>
      </c>
      <c r="BX34" s="2029">
        <f t="shared" si="178"/>
        <v>0</v>
      </c>
      <c r="BY34" s="2029">
        <f t="shared" si="179"/>
        <v>0</v>
      </c>
      <c r="BZ34" s="2060"/>
      <c r="CA34" s="2075">
        <f t="shared" si="12"/>
        <v>0</v>
      </c>
      <c r="CB34" s="2075">
        <f t="shared" si="13"/>
        <v>0</v>
      </c>
      <c r="CC34" s="2075">
        <f t="shared" si="14"/>
        <v>0</v>
      </c>
      <c r="CD34" s="2076">
        <f t="shared" si="15"/>
        <v>0</v>
      </c>
      <c r="CE34" s="2076">
        <f t="shared" si="16"/>
        <v>0</v>
      </c>
      <c r="CF34" s="2076">
        <f t="shared" si="180"/>
        <v>0</v>
      </c>
      <c r="CG34" s="2075">
        <f t="shared" si="17"/>
        <v>0</v>
      </c>
      <c r="CH34" s="2077">
        <f t="shared" si="18"/>
        <v>0</v>
      </c>
      <c r="CI34" s="2077">
        <f t="shared" si="19"/>
        <v>0</v>
      </c>
      <c r="CJ34" s="2077">
        <f t="shared" si="181"/>
        <v>0</v>
      </c>
      <c r="CK34" s="2075">
        <f t="shared" si="20"/>
        <v>0</v>
      </c>
      <c r="CL34" s="2078">
        <f t="shared" si="21"/>
        <v>0</v>
      </c>
      <c r="CM34" s="2077">
        <f t="shared" si="22"/>
        <v>0</v>
      </c>
      <c r="CN34" s="2078">
        <f t="shared" si="23"/>
        <v>0</v>
      </c>
      <c r="CO34" s="2078">
        <f t="shared" si="182"/>
        <v>0</v>
      </c>
      <c r="CP34" s="2075">
        <f t="shared" si="24"/>
        <v>0</v>
      </c>
      <c r="CQ34" s="2075">
        <f t="shared" si="25"/>
        <v>0</v>
      </c>
      <c r="CR34" s="2075">
        <f t="shared" si="26"/>
        <v>0</v>
      </c>
      <c r="CS34" s="2075">
        <f t="shared" si="27"/>
        <v>0</v>
      </c>
      <c r="CT34" s="2079">
        <f t="shared" si="28"/>
        <v>0</v>
      </c>
      <c r="CU34" s="2036">
        <f t="shared" si="183"/>
        <v>0</v>
      </c>
      <c r="CV34" s="2036">
        <f t="shared" si="184"/>
        <v>0</v>
      </c>
      <c r="CW34" s="2036">
        <f t="shared" si="185"/>
        <v>0</v>
      </c>
      <c r="DL34" s="10">
        <f t="shared" si="186"/>
        <v>0</v>
      </c>
      <c r="DM34" s="10">
        <f t="shared" si="29"/>
        <v>0</v>
      </c>
      <c r="DN34" s="2027" t="e">
        <f>DL34/Betrieb!$E$23</f>
        <v>#DIV/0!</v>
      </c>
      <c r="DO34" s="2027" t="e">
        <f>DM34/Betrieb!$E$24</f>
        <v>#DIV/0!</v>
      </c>
      <c r="DP34" s="2041">
        <f>(Betrieb!$E$21*Betrieb!$H$21)+(Betrieb!$E$23*Betrieb!$H$23)</f>
        <v>0</v>
      </c>
      <c r="DQ34" s="2025">
        <f>(Betrieb!$E$22*Betrieb!$H$22)+(Betrieb!$E$24*Betrieb!$H$24)</f>
        <v>0</v>
      </c>
      <c r="DR34" s="2041">
        <f t="shared" si="187"/>
        <v>0</v>
      </c>
      <c r="DS34" s="2025">
        <f t="shared" si="188"/>
        <v>0</v>
      </c>
      <c r="DT34" s="2042">
        <f t="shared" si="189"/>
        <v>0</v>
      </c>
      <c r="DU34" s="2043">
        <f t="shared" si="203"/>
        <v>0</v>
      </c>
      <c r="DV34" s="2043">
        <f t="shared" si="190"/>
        <v>0</v>
      </c>
      <c r="DW34" s="2043">
        <f t="shared" si="204"/>
        <v>0</v>
      </c>
      <c r="DZ34" s="2044">
        <f t="shared" si="191"/>
        <v>0</v>
      </c>
      <c r="EA34" s="1874">
        <f t="shared" si="30"/>
        <v>0</v>
      </c>
      <c r="EB34" s="1874">
        <f t="shared" si="31"/>
        <v>0</v>
      </c>
      <c r="EC34" s="1874">
        <f t="shared" si="32"/>
        <v>0</v>
      </c>
      <c r="ED34" s="1874">
        <f t="shared" si="33"/>
        <v>0</v>
      </c>
      <c r="EE34" s="1874">
        <f t="shared" si="34"/>
        <v>0</v>
      </c>
      <c r="EF34" s="1874">
        <f t="shared" si="35"/>
        <v>0</v>
      </c>
      <c r="EH34" s="2044">
        <f t="shared" si="192"/>
        <v>0</v>
      </c>
      <c r="EI34" s="2025">
        <f t="shared" si="36"/>
        <v>0</v>
      </c>
      <c r="EJ34" s="2025">
        <f t="shared" si="37"/>
        <v>0</v>
      </c>
      <c r="EK34" s="2025">
        <f t="shared" si="38"/>
        <v>0</v>
      </c>
      <c r="EL34" s="2025">
        <f t="shared" si="39"/>
        <v>0</v>
      </c>
      <c r="EM34" s="2025">
        <f t="shared" si="40"/>
        <v>0</v>
      </c>
      <c r="EN34" s="2025">
        <f t="shared" si="41"/>
        <v>0</v>
      </c>
      <c r="EP34" s="2045">
        <f t="shared" si="42"/>
        <v>0</v>
      </c>
      <c r="EQ34" s="2042">
        <f t="shared" si="193"/>
        <v>0</v>
      </c>
      <c r="ER34" s="2042">
        <f t="shared" si="43"/>
        <v>0</v>
      </c>
      <c r="ES34" s="2042">
        <f t="shared" si="44"/>
        <v>0</v>
      </c>
      <c r="ET34" s="2042">
        <f t="shared" si="45"/>
        <v>0</v>
      </c>
      <c r="EU34" s="2042">
        <f t="shared" si="46"/>
        <v>0</v>
      </c>
      <c r="EV34" s="2042">
        <f t="shared" si="47"/>
        <v>0</v>
      </c>
      <c r="EW34" s="2042">
        <f t="shared" si="48"/>
        <v>0</v>
      </c>
      <c r="EX34" s="2042">
        <f t="shared" si="49"/>
        <v>0</v>
      </c>
      <c r="EY34" s="2042">
        <f t="shared" si="50"/>
        <v>0</v>
      </c>
      <c r="EZ34" s="2042">
        <f t="shared" si="51"/>
        <v>0</v>
      </c>
      <c r="FA34" s="2042">
        <f t="shared" si="52"/>
        <v>0</v>
      </c>
      <c r="FB34" s="2042">
        <f t="shared" si="53"/>
        <v>0</v>
      </c>
      <c r="FC34" s="2042">
        <f t="shared" si="54"/>
        <v>0</v>
      </c>
      <c r="FD34" s="2046">
        <f t="shared" si="194"/>
        <v>0</v>
      </c>
      <c r="FE34" s="2042">
        <f t="shared" si="55"/>
        <v>0</v>
      </c>
      <c r="FF34" s="2042">
        <f t="shared" si="56"/>
        <v>0</v>
      </c>
      <c r="FG34" s="2042">
        <f t="shared" si="57"/>
        <v>0</v>
      </c>
      <c r="FH34" s="2042">
        <f t="shared" si="58"/>
        <v>0</v>
      </c>
      <c r="FI34" s="2042">
        <f t="shared" si="59"/>
        <v>0</v>
      </c>
      <c r="FJ34" s="2042">
        <f t="shared" si="195"/>
        <v>0</v>
      </c>
      <c r="FK34" s="2042">
        <f t="shared" si="60"/>
        <v>0</v>
      </c>
      <c r="FL34" s="2042">
        <f t="shared" si="61"/>
        <v>0</v>
      </c>
      <c r="FM34" s="2042">
        <f t="shared" si="62"/>
        <v>0</v>
      </c>
      <c r="FN34" s="2042">
        <f t="shared" si="63"/>
        <v>0</v>
      </c>
      <c r="FO34" s="2042">
        <f t="shared" si="64"/>
        <v>0</v>
      </c>
      <c r="FP34" s="2042">
        <f t="shared" si="65"/>
        <v>0</v>
      </c>
      <c r="FQ34" s="2047">
        <f t="shared" si="196"/>
        <v>0</v>
      </c>
      <c r="FR34" s="2042">
        <f t="shared" si="66"/>
        <v>0</v>
      </c>
      <c r="FS34" s="2042">
        <f t="shared" si="67"/>
        <v>0</v>
      </c>
      <c r="FT34" s="2042">
        <f t="shared" si="68"/>
        <v>0</v>
      </c>
      <c r="FU34" s="2042">
        <f t="shared" si="69"/>
        <v>0</v>
      </c>
      <c r="FV34" s="2042">
        <f t="shared" si="70"/>
        <v>0</v>
      </c>
      <c r="FW34" s="2042">
        <f t="shared" si="71"/>
        <v>0</v>
      </c>
      <c r="FX34" s="2042">
        <f t="shared" si="72"/>
        <v>0</v>
      </c>
      <c r="FY34" s="2042">
        <f t="shared" si="73"/>
        <v>0</v>
      </c>
      <c r="FZ34" s="2042">
        <f t="shared" si="74"/>
        <v>0</v>
      </c>
      <c r="GA34" s="2042">
        <f t="shared" si="75"/>
        <v>0</v>
      </c>
      <c r="GB34" s="2042">
        <f t="shared" si="76"/>
        <v>0</v>
      </c>
      <c r="GC34" s="2042">
        <f t="shared" si="77"/>
        <v>0</v>
      </c>
      <c r="GD34" s="2042">
        <f t="shared" si="78"/>
        <v>0</v>
      </c>
      <c r="GE34" s="2042">
        <f t="shared" si="79"/>
        <v>0</v>
      </c>
      <c r="GF34" s="2042">
        <f t="shared" si="80"/>
        <v>0</v>
      </c>
      <c r="GG34" s="2042">
        <f t="shared" si="81"/>
        <v>0</v>
      </c>
      <c r="GH34" s="2042">
        <f t="shared" si="82"/>
        <v>0</v>
      </c>
      <c r="GI34" s="2042">
        <f t="shared" si="83"/>
        <v>0</v>
      </c>
      <c r="GJ34" s="2042">
        <f t="shared" si="84"/>
        <v>0</v>
      </c>
      <c r="GK34" s="2042">
        <f t="shared" si="85"/>
        <v>0</v>
      </c>
      <c r="GL34" s="2042">
        <f t="shared" si="86"/>
        <v>0</v>
      </c>
      <c r="GM34" s="2042">
        <f t="shared" si="87"/>
        <v>0</v>
      </c>
      <c r="GN34" s="2042">
        <f t="shared" si="88"/>
        <v>0</v>
      </c>
      <c r="GO34" s="2042">
        <f t="shared" si="89"/>
        <v>0</v>
      </c>
      <c r="GP34" s="2047">
        <f t="shared" si="197"/>
        <v>0</v>
      </c>
      <c r="GQ34" s="2042">
        <f t="shared" si="90"/>
        <v>0</v>
      </c>
      <c r="GR34" s="2042">
        <f t="shared" si="91"/>
        <v>0</v>
      </c>
      <c r="GS34" s="2042">
        <f t="shared" si="92"/>
        <v>0</v>
      </c>
      <c r="GT34" s="2042">
        <f t="shared" si="93"/>
        <v>0</v>
      </c>
      <c r="GU34" s="2042">
        <f t="shared" si="94"/>
        <v>0</v>
      </c>
      <c r="GV34" s="2042">
        <f t="shared" si="95"/>
        <v>0</v>
      </c>
      <c r="GW34" s="2042">
        <f t="shared" si="96"/>
        <v>0</v>
      </c>
      <c r="GX34" s="2042">
        <f t="shared" si="97"/>
        <v>0</v>
      </c>
      <c r="GY34" s="2042">
        <f t="shared" si="98"/>
        <v>0</v>
      </c>
      <c r="GZ34" s="2042">
        <f t="shared" si="99"/>
        <v>0</v>
      </c>
      <c r="HA34" s="2042">
        <f t="shared" si="100"/>
        <v>0</v>
      </c>
      <c r="HB34" s="2042">
        <f t="shared" si="101"/>
        <v>0</v>
      </c>
      <c r="HC34" s="2047">
        <f t="shared" si="198"/>
        <v>0</v>
      </c>
      <c r="HD34" s="2042">
        <f t="shared" si="102"/>
        <v>0</v>
      </c>
      <c r="HE34" s="2042">
        <f t="shared" si="103"/>
        <v>0</v>
      </c>
      <c r="HF34" s="2042">
        <f t="shared" si="104"/>
        <v>0</v>
      </c>
      <c r="HG34" s="2042">
        <f t="shared" si="105"/>
        <v>0</v>
      </c>
      <c r="HH34" s="2042">
        <f t="shared" si="106"/>
        <v>0</v>
      </c>
      <c r="HI34" s="2042">
        <f t="shared" si="107"/>
        <v>0</v>
      </c>
      <c r="HJ34" s="2042">
        <f t="shared" si="108"/>
        <v>0</v>
      </c>
      <c r="HK34" s="2042">
        <f t="shared" si="109"/>
        <v>0</v>
      </c>
      <c r="HL34" s="2042">
        <f t="shared" si="110"/>
        <v>0</v>
      </c>
      <c r="HM34" s="2042">
        <f t="shared" si="111"/>
        <v>0</v>
      </c>
      <c r="HN34" s="2042">
        <f t="shared" si="112"/>
        <v>0</v>
      </c>
      <c r="HO34" s="2042">
        <f t="shared" si="113"/>
        <v>0</v>
      </c>
      <c r="HP34" s="2047">
        <f t="shared" si="199"/>
        <v>0</v>
      </c>
      <c r="HQ34" s="2042">
        <f t="shared" si="114"/>
        <v>0</v>
      </c>
      <c r="HR34" s="2042">
        <f t="shared" si="115"/>
        <v>0</v>
      </c>
      <c r="HS34" s="2042">
        <f t="shared" si="116"/>
        <v>0</v>
      </c>
      <c r="HT34" s="2042">
        <f t="shared" si="117"/>
        <v>0</v>
      </c>
      <c r="HU34" s="2042">
        <f t="shared" si="118"/>
        <v>0</v>
      </c>
      <c r="HV34" s="2042">
        <f t="shared" si="119"/>
        <v>0</v>
      </c>
      <c r="HW34" s="2042">
        <f t="shared" si="120"/>
        <v>0</v>
      </c>
      <c r="HX34" s="2042">
        <f t="shared" si="121"/>
        <v>0</v>
      </c>
      <c r="HY34" s="2042">
        <f t="shared" si="122"/>
        <v>0</v>
      </c>
      <c r="HZ34" s="2042">
        <f t="shared" si="123"/>
        <v>0</v>
      </c>
      <c r="IA34" s="2042">
        <f t="shared" si="124"/>
        <v>0</v>
      </c>
      <c r="IB34" s="2042">
        <f t="shared" si="125"/>
        <v>0</v>
      </c>
      <c r="IC34" s="2047">
        <f t="shared" si="200"/>
        <v>0</v>
      </c>
      <c r="IE34" s="2044">
        <f t="shared" si="201"/>
        <v>0</v>
      </c>
      <c r="IF34" s="2025">
        <f t="shared" si="126"/>
        <v>0</v>
      </c>
      <c r="IG34" s="2025">
        <f t="shared" si="127"/>
        <v>0</v>
      </c>
      <c r="IH34" s="2025">
        <f t="shared" si="128"/>
        <v>0</v>
      </c>
      <c r="II34" s="2025">
        <f t="shared" si="129"/>
        <v>0</v>
      </c>
      <c r="IJ34" s="2025">
        <f t="shared" si="130"/>
        <v>0</v>
      </c>
      <c r="IK34" s="2025">
        <f t="shared" si="131"/>
        <v>0</v>
      </c>
      <c r="IL34" s="2025">
        <f t="shared" si="132"/>
        <v>0</v>
      </c>
      <c r="IM34" s="2025">
        <f t="shared" si="133"/>
        <v>0</v>
      </c>
      <c r="IN34" s="2025">
        <f t="shared" si="134"/>
        <v>0</v>
      </c>
      <c r="IO34" s="2025">
        <f t="shared" si="135"/>
        <v>0</v>
      </c>
      <c r="IP34" s="2025">
        <f t="shared" si="136"/>
        <v>0</v>
      </c>
      <c r="IQ34" s="2025">
        <f t="shared" si="137"/>
        <v>0</v>
      </c>
      <c r="IS34" s="2044">
        <f t="shared" si="202"/>
        <v>0</v>
      </c>
      <c r="IT34" s="2025">
        <f t="shared" si="138"/>
        <v>0</v>
      </c>
      <c r="IU34" s="2025">
        <f t="shared" si="139"/>
        <v>0</v>
      </c>
      <c r="IV34" s="2025">
        <f t="shared" si="140"/>
        <v>0</v>
      </c>
      <c r="IW34" s="2025">
        <f t="shared" si="141"/>
        <v>0</v>
      </c>
      <c r="IX34" s="2025">
        <f t="shared" si="142"/>
        <v>0</v>
      </c>
      <c r="IY34" s="2025">
        <f t="shared" si="143"/>
        <v>0</v>
      </c>
      <c r="IZ34" s="2025">
        <f t="shared" si="144"/>
        <v>0</v>
      </c>
      <c r="JA34" s="2025">
        <f t="shared" si="145"/>
        <v>0</v>
      </c>
      <c r="JB34" s="2025">
        <f t="shared" si="146"/>
        <v>0</v>
      </c>
      <c r="JC34" s="2025">
        <f t="shared" si="147"/>
        <v>0</v>
      </c>
      <c r="JD34" s="2025">
        <f t="shared" si="148"/>
        <v>0</v>
      </c>
      <c r="JE34" s="2025">
        <f t="shared" si="149"/>
        <v>0</v>
      </c>
    </row>
    <row r="35" spans="1:265" ht="16.5" customHeight="1">
      <c r="A35" s="1319"/>
      <c r="B35" s="2080"/>
      <c r="C35" s="2081"/>
      <c r="D35" s="2081"/>
      <c r="E35" s="2081"/>
      <c r="F35" s="2081"/>
      <c r="G35" s="2081"/>
      <c r="H35" s="2081"/>
      <c r="I35" s="2081"/>
      <c r="J35" s="2081"/>
      <c r="K35" s="2081"/>
      <c r="L35" s="2081"/>
      <c r="M35" s="2080"/>
      <c r="N35" s="2080"/>
      <c r="O35" s="2080"/>
      <c r="P35" s="2080"/>
      <c r="Q35" s="2080"/>
      <c r="R35" s="2080"/>
      <c r="S35" s="2080"/>
      <c r="T35" s="2080"/>
      <c r="U35" s="2080"/>
      <c r="V35" s="2080"/>
      <c r="W35" s="2080"/>
      <c r="X35" s="2080"/>
      <c r="Y35" s="2080"/>
      <c r="Z35" s="2080"/>
      <c r="AA35" s="2080"/>
      <c r="AB35" s="2080"/>
      <c r="AC35" s="2080"/>
      <c r="AD35" s="844"/>
      <c r="AE35" s="844"/>
      <c r="AF35" s="844"/>
      <c r="AG35" s="844"/>
      <c r="AH35" s="844"/>
      <c r="AI35" s="844"/>
      <c r="AJ35" s="844"/>
      <c r="AK35" s="1799">
        <f>IFERROR(AL35/(D5+D6+D7+D8+D9+D10+D11+D12+D13+D14+D15+D16+D17+D18+D19+D20+D21+D22+D23+D24+D25+D26+D27+D28+D29+D30+D31+D32+D33+D34),0)</f>
        <v>0</v>
      </c>
      <c r="AL35" s="1597">
        <f>SUM(AL5:AL34)</f>
        <v>0</v>
      </c>
      <c r="AM35" s="844"/>
      <c r="AN35" s="844"/>
      <c r="AO35" s="844"/>
      <c r="AP35" s="2082">
        <f>SUM(AP5:AP34)</f>
        <v>0</v>
      </c>
      <c r="AQ35" s="2082">
        <f t="shared" ref="AQ35:BU35" si="207">SUM(AQ5:AQ34)</f>
        <v>0</v>
      </c>
      <c r="AR35" s="2082">
        <f t="shared" si="207"/>
        <v>0</v>
      </c>
      <c r="AS35" s="2082">
        <f t="shared" si="207"/>
        <v>0</v>
      </c>
      <c r="AT35" s="2082">
        <f t="shared" si="207"/>
        <v>0</v>
      </c>
      <c r="AU35" s="2082">
        <f t="shared" si="207"/>
        <v>0</v>
      </c>
      <c r="AV35" s="2082">
        <f t="shared" si="207"/>
        <v>0</v>
      </c>
      <c r="AW35" s="2082">
        <f t="shared" si="207"/>
        <v>0</v>
      </c>
      <c r="AX35" s="2082">
        <f t="shared" si="207"/>
        <v>0</v>
      </c>
      <c r="AY35" s="2082">
        <f t="shared" si="207"/>
        <v>0</v>
      </c>
      <c r="AZ35" s="2082">
        <f t="shared" si="207"/>
        <v>0</v>
      </c>
      <c r="BA35" s="2083">
        <f t="shared" si="207"/>
        <v>0</v>
      </c>
      <c r="BB35" s="2083">
        <f t="shared" si="207"/>
        <v>0</v>
      </c>
      <c r="BC35" s="2083">
        <f t="shared" si="207"/>
        <v>0</v>
      </c>
      <c r="BD35" s="2083">
        <f t="shared" si="207"/>
        <v>0</v>
      </c>
      <c r="BE35" s="2083">
        <f t="shared" si="207"/>
        <v>0</v>
      </c>
      <c r="BF35" s="2083">
        <f t="shared" si="207"/>
        <v>0</v>
      </c>
      <c r="BG35" s="2083">
        <f t="shared" si="207"/>
        <v>0</v>
      </c>
      <c r="BH35" s="2083">
        <f t="shared" si="207"/>
        <v>0</v>
      </c>
      <c r="BI35" s="2083">
        <f t="shared" si="207"/>
        <v>0</v>
      </c>
      <c r="BJ35" s="2083">
        <f t="shared" si="207"/>
        <v>0</v>
      </c>
      <c r="BK35" s="2084"/>
      <c r="BL35" s="2083">
        <f t="shared" si="207"/>
        <v>0</v>
      </c>
      <c r="BM35" s="2083">
        <f t="shared" si="207"/>
        <v>0</v>
      </c>
      <c r="BN35" s="2083">
        <f t="shared" si="207"/>
        <v>0</v>
      </c>
      <c r="BO35" s="2083">
        <f t="shared" si="207"/>
        <v>0</v>
      </c>
      <c r="BP35" s="2083">
        <f t="shared" si="207"/>
        <v>0</v>
      </c>
      <c r="BQ35" s="2083">
        <f t="shared" si="207"/>
        <v>0</v>
      </c>
      <c r="BR35" s="2083">
        <f t="shared" si="207"/>
        <v>0</v>
      </c>
      <c r="BS35" s="2083">
        <f t="shared" si="207"/>
        <v>0</v>
      </c>
      <c r="BT35" s="2083">
        <f t="shared" si="207"/>
        <v>0</v>
      </c>
      <c r="BU35" s="2083">
        <f t="shared" si="207"/>
        <v>0</v>
      </c>
      <c r="BV35" s="2085"/>
      <c r="BW35" s="10"/>
      <c r="BX35" s="10"/>
      <c r="BY35" s="10"/>
      <c r="BZ35" s="2060"/>
    </row>
    <row r="36" spans="1:265" ht="15" thickBot="1">
      <c r="A36" s="1319"/>
      <c r="B36" s="1319"/>
      <c r="C36" s="1319"/>
      <c r="D36" s="1319"/>
      <c r="E36" s="1319"/>
      <c r="F36" s="1319"/>
      <c r="G36" s="1319"/>
      <c r="H36" s="1319"/>
      <c r="I36" s="1319"/>
      <c r="J36" s="1319"/>
      <c r="K36" s="1319"/>
      <c r="L36" s="1319"/>
      <c r="M36" s="1319"/>
      <c r="N36" s="1319"/>
      <c r="O36" s="1319"/>
      <c r="P36" s="1319"/>
      <c r="Q36" s="1319"/>
      <c r="R36" s="1319"/>
      <c r="S36" s="1319"/>
      <c r="T36" s="1319"/>
      <c r="U36" s="1319"/>
      <c r="V36" s="1319"/>
      <c r="W36" s="1319"/>
      <c r="X36" s="1319"/>
      <c r="Y36" s="1319"/>
      <c r="Z36" s="1319"/>
      <c r="AA36" s="1319"/>
      <c r="AB36" s="1319"/>
      <c r="AC36" s="1319"/>
      <c r="AD36" s="1319"/>
      <c r="AE36" s="1319"/>
      <c r="AF36" s="876"/>
      <c r="AG36" s="1319"/>
      <c r="AH36" s="1319"/>
      <c r="AI36" s="1319"/>
      <c r="AJ36" s="1319"/>
      <c r="AK36" s="1319"/>
      <c r="AL36" s="1319"/>
      <c r="AM36" s="1319"/>
      <c r="AN36" s="1319"/>
      <c r="AP36" s="2086">
        <f>SUM(AP35:AY35)</f>
        <v>0</v>
      </c>
      <c r="AQ36" s="2087"/>
      <c r="BA36" s="2085"/>
      <c r="BB36" s="2085"/>
      <c r="BC36" s="2485">
        <f>BC35+BD35</f>
        <v>0</v>
      </c>
      <c r="BD36" s="2485"/>
      <c r="BE36" s="2085"/>
      <c r="BF36" s="2085"/>
      <c r="BG36" s="2085"/>
      <c r="BH36" s="2085"/>
      <c r="BI36" s="2085"/>
      <c r="BJ36" s="2085"/>
      <c r="BL36" s="2088"/>
      <c r="BM36" s="2088"/>
      <c r="BN36" s="2485">
        <f>BN35+BO35</f>
        <v>0</v>
      </c>
      <c r="BO36" s="2485"/>
      <c r="BP36" s="2085"/>
      <c r="BQ36" s="2085"/>
      <c r="BR36" s="2085"/>
      <c r="BS36" s="2085"/>
      <c r="BT36" s="2085"/>
      <c r="BU36" s="2085"/>
      <c r="BV36" s="2085"/>
      <c r="BW36" s="10" t="s">
        <v>1163</v>
      </c>
      <c r="BX36" s="10"/>
      <c r="BY36" s="10"/>
      <c r="DL36" s="2089"/>
    </row>
    <row r="37" spans="1:265" ht="17.25" customHeight="1" thickBot="1">
      <c r="A37" s="1319"/>
      <c r="B37" s="1319"/>
      <c r="C37" s="1319"/>
      <c r="D37" s="2090"/>
      <c r="E37" s="1319"/>
      <c r="F37" s="1319"/>
      <c r="G37" s="1319"/>
      <c r="H37" s="1319"/>
      <c r="I37" s="1319"/>
      <c r="J37" s="1319"/>
      <c r="K37" s="1319"/>
      <c r="L37" s="1319"/>
      <c r="M37" s="1319"/>
      <c r="N37" s="1319"/>
      <c r="O37" s="1319"/>
      <c r="P37" s="1319"/>
      <c r="Q37" s="1319"/>
      <c r="R37" s="1319"/>
      <c r="S37" s="1319"/>
      <c r="T37" s="1319"/>
      <c r="U37" s="1319"/>
      <c r="V37" s="1319"/>
      <c r="W37" s="1319"/>
      <c r="X37" s="1319"/>
      <c r="Y37" s="1319"/>
      <c r="Z37" s="1319"/>
      <c r="AA37" s="1319"/>
      <c r="AB37" s="1319"/>
      <c r="AC37" s="1319"/>
      <c r="AD37" s="1319"/>
      <c r="AE37" s="1319"/>
      <c r="AF37" s="876"/>
      <c r="AG37" s="1319"/>
      <c r="AH37" s="1319"/>
      <c r="AI37" s="1319"/>
      <c r="AJ37" s="1319"/>
      <c r="AK37" s="1319"/>
      <c r="AL37" s="1319"/>
      <c r="AM37" s="1319"/>
      <c r="AN37" s="1319"/>
      <c r="BA37" s="2091">
        <f>SUM(BA35:BJ35)</f>
        <v>0</v>
      </c>
      <c r="BB37" s="2092"/>
      <c r="BL37" s="2091">
        <f>SUM(BL35:BU35)</f>
        <v>0</v>
      </c>
      <c r="BM37" s="2092"/>
      <c r="BW37" s="10" t="s">
        <v>1150</v>
      </c>
      <c r="BX37" s="10"/>
      <c r="BY37" s="10"/>
      <c r="DY37" s="1984"/>
    </row>
    <row r="38" spans="1:265" ht="27.75" hidden="1" customHeight="1">
      <c r="A38" s="1319"/>
      <c r="B38" s="1319"/>
      <c r="C38" s="1319"/>
      <c r="D38" s="1319"/>
      <c r="E38" s="1545" t="s">
        <v>874</v>
      </c>
      <c r="F38" s="2093" t="s">
        <v>972</v>
      </c>
      <c r="G38" s="1319"/>
      <c r="H38" s="1319"/>
      <c r="I38" s="1319"/>
      <c r="J38" s="1319"/>
      <c r="K38" s="1319"/>
      <c r="L38" s="1319"/>
      <c r="M38" s="1319"/>
      <c r="N38" s="1319"/>
      <c r="O38" s="1319"/>
      <c r="P38" s="1319"/>
      <c r="Q38" s="1319"/>
      <c r="R38" s="1319" t="s">
        <v>1265</v>
      </c>
      <c r="S38" s="1319"/>
      <c r="T38" s="1319" t="s">
        <v>1266</v>
      </c>
      <c r="U38" s="1319"/>
      <c r="V38" s="1319"/>
      <c r="W38" s="1319"/>
      <c r="X38" s="1319"/>
      <c r="Y38" s="1319"/>
      <c r="Z38" s="1319"/>
      <c r="AA38" s="1319"/>
      <c r="AB38" s="1319"/>
      <c r="AC38" s="1319"/>
      <c r="AD38" s="1319"/>
      <c r="AE38" s="1319"/>
      <c r="AF38" s="876"/>
      <c r="AG38" s="1319"/>
      <c r="AH38" s="1319"/>
      <c r="AI38" s="1319"/>
      <c r="AJ38" s="1319"/>
      <c r="AK38" s="1319"/>
      <c r="AL38" s="1319"/>
      <c r="AM38" s="1319"/>
      <c r="AN38" s="1319"/>
      <c r="DL38" s="1959" t="s">
        <v>1270</v>
      </c>
      <c r="DM38" s="1960" t="s">
        <v>1271</v>
      </c>
      <c r="DN38" s="1961"/>
      <c r="DO38" s="1962"/>
      <c r="DP38" s="1960" t="s">
        <v>1271</v>
      </c>
      <c r="DQ38" s="1961"/>
      <c r="DR38" s="1962"/>
      <c r="DS38" s="1960" t="s">
        <v>1271</v>
      </c>
      <c r="DT38" s="1961"/>
      <c r="DU38" s="1962"/>
      <c r="DX38" s="10" t="s">
        <v>1291</v>
      </c>
      <c r="DY38" s="1963"/>
      <c r="DZ38" s="10"/>
      <c r="EA38" s="10"/>
      <c r="EB38" s="10"/>
    </row>
    <row r="39" spans="1:265" ht="15" hidden="1" customHeight="1">
      <c r="A39" s="1319"/>
      <c r="B39" s="2094"/>
      <c r="C39" s="1546"/>
      <c r="D39" s="1319"/>
      <c r="E39" s="2095"/>
      <c r="F39" s="2096"/>
      <c r="G39" s="1319"/>
      <c r="H39" s="1319"/>
      <c r="I39" s="1319"/>
      <c r="J39" s="1319"/>
      <c r="K39" s="1319"/>
      <c r="L39" s="1319"/>
      <c r="M39" s="1319"/>
      <c r="N39" s="1319"/>
      <c r="O39" s="1319"/>
      <c r="P39" s="1319"/>
      <c r="Q39" s="1319"/>
      <c r="R39" s="1319"/>
      <c r="S39" s="1319"/>
      <c r="T39" s="1319"/>
      <c r="U39" s="1319"/>
      <c r="V39" s="1319"/>
      <c r="W39" s="1319"/>
      <c r="X39" s="1319"/>
      <c r="Y39" s="1319"/>
      <c r="Z39" s="1319"/>
      <c r="AA39" s="1319"/>
      <c r="AB39" s="1319"/>
      <c r="AC39" s="1319"/>
      <c r="AD39" s="1319"/>
      <c r="AE39" s="1319"/>
      <c r="AF39" s="876"/>
      <c r="AG39" s="1319"/>
      <c r="AH39" s="1319"/>
      <c r="AI39" s="1319"/>
      <c r="AJ39" s="1319"/>
      <c r="AK39" s="1319"/>
      <c r="AL39" s="1319"/>
      <c r="AM39" s="1319"/>
      <c r="AN39" s="1319"/>
      <c r="DL39" s="1964" t="s">
        <v>1272</v>
      </c>
      <c r="DM39" s="1965" t="s">
        <v>1273</v>
      </c>
      <c r="DN39" s="1966" t="s">
        <v>852</v>
      </c>
      <c r="DO39" s="1967" t="s">
        <v>1274</v>
      </c>
      <c r="DP39" s="1968" t="s">
        <v>1275</v>
      </c>
      <c r="DQ39" s="1966" t="s">
        <v>852</v>
      </c>
      <c r="DR39" s="1969" t="s">
        <v>854</v>
      </c>
      <c r="DS39" s="1968" t="s">
        <v>1275</v>
      </c>
      <c r="DT39" s="1966" t="s">
        <v>852</v>
      </c>
      <c r="DU39" s="1969" t="s">
        <v>854</v>
      </c>
      <c r="DX39" s="10" t="s">
        <v>1292</v>
      </c>
      <c r="DY39" s="1963">
        <v>30</v>
      </c>
      <c r="DZ39" s="10"/>
      <c r="EA39" s="10"/>
      <c r="EB39" s="10"/>
    </row>
    <row r="40" spans="1:265" ht="15" hidden="1" customHeight="1">
      <c r="A40" s="1319"/>
      <c r="B40" s="2097"/>
      <c r="C40" s="1546"/>
      <c r="D40" s="1319"/>
      <c r="E40" s="1547" t="s">
        <v>875</v>
      </c>
      <c r="F40" s="2096" t="s">
        <v>842</v>
      </c>
      <c r="G40" s="1319"/>
      <c r="H40" s="1319"/>
      <c r="I40" s="1319"/>
      <c r="J40" s="1319"/>
      <c r="K40" s="1319"/>
      <c r="L40" s="1319"/>
      <c r="M40" s="1319"/>
      <c r="N40" s="1319"/>
      <c r="O40" s="1319"/>
      <c r="P40" s="1319"/>
      <c r="Q40" s="1319"/>
      <c r="R40" s="1319" t="s">
        <v>1267</v>
      </c>
      <c r="S40" s="1319" t="s">
        <v>851</v>
      </c>
      <c r="T40" s="1319"/>
      <c r="U40" s="1319"/>
      <c r="V40" s="1319"/>
      <c r="W40" s="1319"/>
      <c r="X40" s="1319"/>
      <c r="Y40" s="1319"/>
      <c r="Z40" s="1319"/>
      <c r="AA40" s="1319"/>
      <c r="AB40" s="1319"/>
      <c r="AC40" s="1319"/>
      <c r="AD40" s="1319"/>
      <c r="AE40" s="1319"/>
      <c r="AF40" s="876"/>
      <c r="AG40" s="1319"/>
      <c r="AH40" s="1319"/>
      <c r="AI40" s="1319"/>
      <c r="AJ40" s="1319"/>
      <c r="AK40" s="1319"/>
      <c r="AL40" s="1319"/>
      <c r="AM40" s="1319"/>
      <c r="AN40" s="1319"/>
      <c r="DL40" s="1964"/>
      <c r="DM40" s="2502" t="s">
        <v>1276</v>
      </c>
      <c r="DN40" s="2503"/>
      <c r="DO40" s="2504"/>
      <c r="DP40" s="2502" t="s">
        <v>1277</v>
      </c>
      <c r="DQ40" s="2503"/>
      <c r="DR40" s="2504"/>
      <c r="DS40" s="2502" t="s">
        <v>1278</v>
      </c>
      <c r="DT40" s="2503"/>
      <c r="DU40" s="2504"/>
      <c r="DX40" s="10" t="s">
        <v>1293</v>
      </c>
      <c r="DY40" s="1963">
        <v>16</v>
      </c>
      <c r="DZ40" s="10"/>
      <c r="EA40" s="10"/>
      <c r="EB40" s="10"/>
    </row>
    <row r="41" spans="1:265" ht="15" hidden="1" customHeight="1">
      <c r="A41" s="1319"/>
      <c r="B41" s="2094"/>
      <c r="C41" s="1546"/>
      <c r="D41" s="1319"/>
      <c r="E41" s="1547" t="s">
        <v>876</v>
      </c>
      <c r="F41" s="2096" t="s">
        <v>836</v>
      </c>
      <c r="G41" s="1319"/>
      <c r="H41" s="1319"/>
      <c r="I41" s="1319"/>
      <c r="J41" s="1319"/>
      <c r="K41" s="1319"/>
      <c r="L41" s="1319"/>
      <c r="M41" s="1319"/>
      <c r="N41" s="1319"/>
      <c r="O41" s="1319"/>
      <c r="P41" s="1319"/>
      <c r="Q41" s="1319"/>
      <c r="R41" s="1319" t="s">
        <v>852</v>
      </c>
      <c r="S41" s="1319" t="s">
        <v>853</v>
      </c>
      <c r="T41" s="1319"/>
      <c r="U41" s="1319"/>
      <c r="V41" s="1319"/>
      <c r="W41" s="1319"/>
      <c r="X41" s="1319"/>
      <c r="Y41" s="1319"/>
      <c r="Z41" s="1319"/>
      <c r="AA41" s="1319"/>
      <c r="AB41" s="1319"/>
      <c r="AC41" s="1319"/>
      <c r="AD41" s="1319"/>
      <c r="AE41" s="1319"/>
      <c r="AF41" s="876"/>
      <c r="AG41" s="1319"/>
      <c r="AH41" s="1319"/>
      <c r="AI41" s="1319"/>
      <c r="AJ41" s="1319"/>
      <c r="AK41" s="1319"/>
      <c r="AL41" s="1319"/>
      <c r="AM41" s="1319"/>
      <c r="AN41" s="1319"/>
      <c r="DL41" s="1974" t="s">
        <v>1279</v>
      </c>
      <c r="DM41" s="1959">
        <f>DN41*0.9</f>
        <v>0.67500000000000004</v>
      </c>
      <c r="DN41" s="1959">
        <v>0.75</v>
      </c>
      <c r="DO41" s="1959">
        <f>DN41*1.1</f>
        <v>0.82500000000000007</v>
      </c>
      <c r="DP41" s="1959">
        <f>DQ41*0.9</f>
        <v>0.45</v>
      </c>
      <c r="DQ41" s="1959">
        <v>0.5</v>
      </c>
      <c r="DR41" s="10">
        <f>DQ41*1.1</f>
        <v>0.55000000000000004</v>
      </c>
      <c r="DS41" s="10">
        <f>DT41*0.9</f>
        <v>0.36000000000000004</v>
      </c>
      <c r="DT41" s="10">
        <v>0.4</v>
      </c>
      <c r="DU41" s="10">
        <f>DT41*1.1</f>
        <v>0.44000000000000006</v>
      </c>
      <c r="DX41" s="10" t="s">
        <v>1294</v>
      </c>
      <c r="DY41" s="1963">
        <v>17</v>
      </c>
      <c r="DZ41" s="10"/>
      <c r="EA41" s="10"/>
      <c r="EB41" s="10"/>
    </row>
    <row r="42" spans="1:265" ht="15" hidden="1" customHeight="1">
      <c r="A42" s="1319"/>
      <c r="B42" s="2098"/>
      <c r="C42" s="1546"/>
      <c r="D42" s="1319"/>
      <c r="E42" s="2099" t="s">
        <v>1169</v>
      </c>
      <c r="F42" s="2096" t="s">
        <v>837</v>
      </c>
      <c r="G42" s="1319"/>
      <c r="H42" s="1319"/>
      <c r="I42" s="1319"/>
      <c r="J42" s="1319"/>
      <c r="K42" s="1319"/>
      <c r="L42" s="1319"/>
      <c r="M42" s="1319"/>
      <c r="N42" s="1319"/>
      <c r="O42" s="1319"/>
      <c r="P42" s="1319"/>
      <c r="Q42" s="1319"/>
      <c r="R42" s="1319" t="s">
        <v>854</v>
      </c>
      <c r="S42" s="1319" t="s">
        <v>1268</v>
      </c>
      <c r="T42" s="1319"/>
      <c r="U42" s="1319"/>
      <c r="V42" s="1319"/>
      <c r="W42" s="1319"/>
      <c r="X42" s="1319"/>
      <c r="Y42" s="1319"/>
      <c r="Z42" s="1319"/>
      <c r="AA42" s="1319"/>
      <c r="AB42" s="1319"/>
      <c r="AC42" s="1319"/>
      <c r="AD42" s="1319"/>
      <c r="AE42" s="1319"/>
      <c r="AF42" s="876"/>
      <c r="AG42" s="1319"/>
      <c r="AH42" s="1319"/>
      <c r="AI42" s="1319"/>
      <c r="AJ42" s="1319"/>
      <c r="AK42" s="1319"/>
      <c r="AL42" s="1319"/>
      <c r="AM42" s="1319"/>
      <c r="AN42" s="1319"/>
      <c r="DL42" s="1974" t="s">
        <v>1280</v>
      </c>
      <c r="DM42" s="1959">
        <f t="shared" ref="DM42:DM44" si="208">DN42*0.9</f>
        <v>0.9</v>
      </c>
      <c r="DN42" s="1959">
        <v>1</v>
      </c>
      <c r="DO42" s="1959">
        <f t="shared" ref="DO42:DO44" si="209">DN42*1.1</f>
        <v>1.1000000000000001</v>
      </c>
      <c r="DP42" s="1959">
        <f t="shared" ref="DP42:DP44" si="210">DQ42*0.9</f>
        <v>0.67500000000000004</v>
      </c>
      <c r="DQ42" s="1959">
        <v>0.75</v>
      </c>
      <c r="DR42" s="10">
        <f t="shared" ref="DR42:DR44" si="211">DQ42*1.1</f>
        <v>0.82500000000000007</v>
      </c>
      <c r="DS42" s="10">
        <f t="shared" ref="DS42:DS44" si="212">DT42*0.9</f>
        <v>0.63</v>
      </c>
      <c r="DT42" s="10">
        <v>0.7</v>
      </c>
      <c r="DU42" s="10">
        <f t="shared" ref="DU42:DU44" si="213">DT42*1.1</f>
        <v>0.77</v>
      </c>
      <c r="DX42" s="10"/>
      <c r="DY42" s="1963"/>
      <c r="DZ42" s="10"/>
      <c r="EA42" s="10"/>
      <c r="EB42" s="10"/>
    </row>
    <row r="43" spans="1:265" ht="15" hidden="1" customHeight="1">
      <c r="A43" s="1319"/>
      <c r="B43" s="2094"/>
      <c r="C43" s="1546"/>
      <c r="D43" s="1319"/>
      <c r="E43" s="2099" t="s">
        <v>1170</v>
      </c>
      <c r="F43" s="2096" t="s">
        <v>843</v>
      </c>
      <c r="G43" s="1319"/>
      <c r="H43" s="1319"/>
      <c r="I43" s="1319"/>
      <c r="J43" s="1319"/>
      <c r="K43" s="1319"/>
      <c r="L43" s="1319"/>
      <c r="M43" s="1319"/>
      <c r="N43" s="1319"/>
      <c r="O43" s="1319"/>
      <c r="P43" s="1319"/>
      <c r="Q43" s="1319"/>
      <c r="R43" s="1319"/>
      <c r="S43" s="1319" t="s">
        <v>855</v>
      </c>
      <c r="T43" s="1319"/>
      <c r="U43" s="1319"/>
      <c r="V43" s="1319"/>
      <c r="W43" s="1319"/>
      <c r="X43" s="1319"/>
      <c r="Y43" s="1319"/>
      <c r="Z43" s="1319"/>
      <c r="AA43" s="1319"/>
      <c r="AB43" s="1319"/>
      <c r="AC43" s="1319"/>
      <c r="AD43" s="1319"/>
      <c r="AE43" s="1319"/>
      <c r="AF43" s="876"/>
      <c r="AG43" s="1319"/>
      <c r="AH43" s="1319"/>
      <c r="AI43" s="1319"/>
      <c r="AJ43" s="1319"/>
      <c r="AK43" s="1319"/>
      <c r="AL43" s="1319"/>
      <c r="AM43" s="1319"/>
      <c r="AN43" s="1319"/>
      <c r="DL43" s="1974" t="s">
        <v>1281</v>
      </c>
      <c r="DM43" s="1959">
        <f t="shared" si="208"/>
        <v>1.125</v>
      </c>
      <c r="DN43" s="1959">
        <v>1.25</v>
      </c>
      <c r="DO43" s="1959">
        <f t="shared" si="209"/>
        <v>1.375</v>
      </c>
      <c r="DP43" s="1959">
        <f t="shared" si="210"/>
        <v>0.9</v>
      </c>
      <c r="DQ43" s="1959">
        <v>1</v>
      </c>
      <c r="DR43" s="10">
        <f t="shared" si="211"/>
        <v>1.1000000000000001</v>
      </c>
      <c r="DS43" s="10">
        <f t="shared" si="212"/>
        <v>0.9</v>
      </c>
      <c r="DT43" s="10">
        <v>1</v>
      </c>
      <c r="DU43" s="10">
        <f t="shared" si="213"/>
        <v>1.1000000000000001</v>
      </c>
      <c r="DX43" s="10" t="s">
        <v>1295</v>
      </c>
      <c r="DY43" s="1963">
        <v>120</v>
      </c>
      <c r="DZ43" s="10"/>
      <c r="EA43" s="10" t="s">
        <v>1296</v>
      </c>
      <c r="EB43" s="10"/>
    </row>
    <row r="44" spans="1:265" ht="15" hidden="1" customHeight="1">
      <c r="A44" s="1319"/>
      <c r="B44" s="2094"/>
      <c r="C44" s="1546"/>
      <c r="D44" s="1319"/>
      <c r="E44" s="1547" t="s">
        <v>877</v>
      </c>
      <c r="F44" s="2096" t="s">
        <v>838</v>
      </c>
      <c r="G44" s="1319"/>
      <c r="H44" s="1319"/>
      <c r="I44" s="1319"/>
      <c r="J44" s="1319"/>
      <c r="K44" s="1319"/>
      <c r="L44" s="1319"/>
      <c r="M44" s="1319"/>
      <c r="N44" s="1319"/>
      <c r="O44" s="1319"/>
      <c r="P44" s="1319"/>
      <c r="Q44" s="1319"/>
      <c r="R44" s="1319"/>
      <c r="S44" s="1319"/>
      <c r="T44" s="1319"/>
      <c r="U44" s="1319"/>
      <c r="V44" s="1319"/>
      <c r="W44" s="1319"/>
      <c r="X44" s="1319"/>
      <c r="Y44" s="1319"/>
      <c r="Z44" s="1319"/>
      <c r="AA44" s="1319"/>
      <c r="AB44" s="1319"/>
      <c r="AC44" s="1319"/>
      <c r="AD44" s="1319"/>
      <c r="AE44" s="1319"/>
      <c r="AF44" s="876"/>
      <c r="AG44" s="1319"/>
      <c r="AH44" s="1319"/>
      <c r="AI44" s="1319"/>
      <c r="AJ44" s="1319"/>
      <c r="AK44" s="1319"/>
      <c r="AL44" s="1319"/>
      <c r="AM44" s="1319"/>
      <c r="AN44" s="1319"/>
      <c r="DL44" s="1974" t="s">
        <v>1282</v>
      </c>
      <c r="DM44" s="1959">
        <f t="shared" si="208"/>
        <v>1.35</v>
      </c>
      <c r="DN44" s="1959">
        <v>1.5</v>
      </c>
      <c r="DO44" s="1959">
        <f t="shared" si="209"/>
        <v>1.6500000000000001</v>
      </c>
      <c r="DP44" s="1959">
        <f t="shared" si="210"/>
        <v>1.125</v>
      </c>
      <c r="DQ44" s="1959">
        <v>1.25</v>
      </c>
      <c r="DR44" s="10">
        <f t="shared" si="211"/>
        <v>1.375</v>
      </c>
      <c r="DS44" s="10">
        <f t="shared" si="212"/>
        <v>1.125</v>
      </c>
      <c r="DT44" s="10">
        <v>1.25</v>
      </c>
      <c r="DU44" s="10">
        <f t="shared" si="213"/>
        <v>1.375</v>
      </c>
      <c r="DX44" s="10"/>
      <c r="DY44" s="1963"/>
      <c r="DZ44" s="10"/>
      <c r="EA44" s="10"/>
      <c r="EB44" s="10"/>
    </row>
    <row r="45" spans="1:265" ht="15" hidden="1" customHeight="1">
      <c r="A45" s="1319"/>
      <c r="B45" s="2094"/>
      <c r="C45" s="1546"/>
      <c r="D45" s="1319"/>
      <c r="E45" s="1547" t="s">
        <v>878</v>
      </c>
      <c r="F45" s="2096" t="s">
        <v>839</v>
      </c>
      <c r="G45" s="1319"/>
      <c r="H45" s="1319"/>
      <c r="I45" s="1319"/>
      <c r="J45" s="1319"/>
      <c r="K45" s="1319"/>
      <c r="L45" s="1319"/>
      <c r="M45" s="1319"/>
      <c r="N45" s="1319"/>
      <c r="O45" s="1319"/>
      <c r="P45" s="1319"/>
      <c r="Q45" s="1319"/>
      <c r="R45" s="1319"/>
      <c r="S45" s="1319"/>
      <c r="T45" s="1319"/>
      <c r="U45" s="1319"/>
      <c r="V45" s="1319"/>
      <c r="W45" s="1319"/>
      <c r="X45" s="1319"/>
      <c r="Y45" s="1319"/>
      <c r="Z45" s="1319"/>
      <c r="AA45" s="1319"/>
      <c r="AB45" s="1319"/>
      <c r="AC45" s="1319"/>
      <c r="AD45" s="1319"/>
      <c r="AE45" s="1319"/>
      <c r="AF45" s="876"/>
      <c r="AG45" s="1319"/>
      <c r="AH45" s="1319"/>
      <c r="AI45" s="1319"/>
      <c r="AJ45" s="1319"/>
      <c r="AK45" s="1319"/>
      <c r="AL45" s="1319"/>
      <c r="AM45" s="1319"/>
      <c r="AN45" s="1319"/>
      <c r="DL45" s="1959"/>
      <c r="DM45" s="1959"/>
      <c r="DN45" s="1959"/>
      <c r="DO45" s="1959"/>
      <c r="DP45" s="1959"/>
      <c r="DQ45" s="10"/>
      <c r="DR45" s="10"/>
      <c r="DS45" s="10"/>
      <c r="DT45" s="10"/>
      <c r="DU45" s="10"/>
      <c r="DX45" s="10"/>
      <c r="DY45" s="1963"/>
      <c r="DZ45" s="10"/>
      <c r="EA45" s="10"/>
      <c r="EB45" s="10"/>
    </row>
    <row r="46" spans="1:265" ht="15" hidden="1" customHeight="1">
      <c r="A46" s="1319"/>
      <c r="B46" s="2094"/>
      <c r="C46" s="1546"/>
      <c r="D46" s="1319"/>
      <c r="E46" s="1547" t="s">
        <v>1256</v>
      </c>
      <c r="F46" s="2096" t="s">
        <v>840</v>
      </c>
      <c r="G46" s="1319"/>
      <c r="H46" s="1319"/>
      <c r="I46" s="1319"/>
      <c r="J46" s="1319"/>
      <c r="K46" s="1319"/>
      <c r="L46" s="1319"/>
      <c r="M46" s="1319"/>
      <c r="N46" s="1319"/>
      <c r="O46" s="1319"/>
      <c r="P46" s="1319"/>
      <c r="Q46" s="1319"/>
      <c r="R46" s="1319"/>
      <c r="S46" s="1319"/>
      <c r="T46" s="1319"/>
      <c r="U46" s="1319"/>
      <c r="V46" s="1319"/>
      <c r="W46" s="1319"/>
      <c r="X46" s="1319"/>
      <c r="Y46" s="1319"/>
      <c r="Z46" s="1319"/>
      <c r="AA46" s="1319"/>
      <c r="AB46" s="1319"/>
      <c r="AC46" s="1319"/>
      <c r="AD46" s="1319"/>
      <c r="AE46" s="1319"/>
      <c r="AF46" s="876"/>
      <c r="AG46" s="1319"/>
      <c r="AH46" s="1319"/>
      <c r="AI46" s="1319"/>
      <c r="AJ46" s="1319"/>
      <c r="AK46" s="1319"/>
      <c r="AL46" s="1319"/>
      <c r="AM46" s="1319"/>
      <c r="AN46" s="1319"/>
      <c r="DL46" s="1977" t="s">
        <v>1283</v>
      </c>
      <c r="DM46" s="1959" t="s">
        <v>1284</v>
      </c>
      <c r="DN46" s="1959"/>
      <c r="DO46" s="1959"/>
      <c r="DP46" s="1959"/>
      <c r="DQ46" s="10"/>
      <c r="DR46" s="10"/>
      <c r="DS46" s="10"/>
      <c r="DT46" s="10"/>
      <c r="DU46" s="10"/>
      <c r="DX46" s="10" t="s">
        <v>1351</v>
      </c>
      <c r="DY46" s="1963"/>
      <c r="DZ46" s="10"/>
      <c r="EA46" s="10"/>
      <c r="EB46" s="10"/>
    </row>
    <row r="47" spans="1:265" ht="15" hidden="1" customHeight="1">
      <c r="A47" s="1319"/>
      <c r="B47" s="2094"/>
      <c r="C47" s="1546"/>
      <c r="D47" s="1319"/>
      <c r="E47" s="1547" t="s">
        <v>1257</v>
      </c>
      <c r="F47" s="2096" t="s">
        <v>841</v>
      </c>
      <c r="G47" s="1319"/>
      <c r="H47" s="1319"/>
      <c r="I47" s="1319"/>
      <c r="J47" s="1319"/>
      <c r="K47" s="1319"/>
      <c r="L47" s="1319"/>
      <c r="M47" s="1319"/>
      <c r="N47" s="1319"/>
      <c r="O47" s="1319"/>
      <c r="P47" s="1319"/>
      <c r="Q47" s="1319"/>
      <c r="R47" s="1319"/>
      <c r="S47" s="1319"/>
      <c r="T47" s="1319"/>
      <c r="U47" s="1319"/>
      <c r="V47" s="1319"/>
      <c r="W47" s="1319"/>
      <c r="X47" s="1319"/>
      <c r="Y47" s="1319"/>
      <c r="Z47" s="1319"/>
      <c r="AA47" s="1319"/>
      <c r="AB47" s="1319"/>
      <c r="AC47" s="1319"/>
      <c r="AD47" s="1319"/>
      <c r="AE47" s="1319"/>
      <c r="AF47" s="876"/>
      <c r="AG47" s="1319"/>
      <c r="AH47" s="1319"/>
      <c r="AI47" s="1319"/>
      <c r="AJ47" s="1319"/>
      <c r="AK47" s="1319"/>
      <c r="AL47" s="1319"/>
      <c r="AM47" s="1319"/>
      <c r="AN47" s="1319"/>
      <c r="DL47" s="1978" t="s">
        <v>1285</v>
      </c>
      <c r="DM47" s="10">
        <v>50</v>
      </c>
      <c r="DN47" s="10"/>
      <c r="DO47" s="10"/>
      <c r="DP47" s="10"/>
      <c r="DQ47" s="10"/>
      <c r="DR47" s="10"/>
      <c r="DS47" s="10"/>
      <c r="DT47" s="10"/>
      <c r="DU47" s="10"/>
      <c r="DX47" s="10" t="s">
        <v>1352</v>
      </c>
      <c r="DY47" s="1963">
        <v>2.2000000000000002</v>
      </c>
      <c r="DZ47" s="10"/>
      <c r="EA47" s="10"/>
      <c r="EB47" s="10"/>
    </row>
    <row r="48" spans="1:265" ht="15" customHeight="1">
      <c r="A48" s="1319"/>
      <c r="B48" s="2094"/>
      <c r="C48" s="1546"/>
      <c r="D48" s="1319"/>
      <c r="E48" s="1319"/>
      <c r="F48" s="1319"/>
      <c r="G48" s="1319"/>
      <c r="H48" s="1319"/>
      <c r="I48" s="1319"/>
      <c r="J48" s="1319"/>
      <c r="K48" s="1319"/>
      <c r="L48" s="1319"/>
      <c r="M48" s="1319"/>
      <c r="N48" s="1319"/>
      <c r="O48" s="1319"/>
      <c r="P48" s="1319"/>
      <c r="Q48" s="1319"/>
      <c r="R48" s="1319"/>
      <c r="S48" s="1319"/>
      <c r="T48" s="1319"/>
      <c r="U48" s="1319"/>
      <c r="V48" s="1319"/>
      <c r="W48" s="1319"/>
      <c r="X48" s="1319"/>
      <c r="Y48" s="1319"/>
      <c r="Z48" s="1319"/>
      <c r="AA48" s="1319"/>
      <c r="AB48" s="1319"/>
      <c r="AC48" s="1319"/>
      <c r="AD48" s="1319"/>
      <c r="AE48" s="1319"/>
      <c r="AF48" s="876"/>
      <c r="AG48" s="1319"/>
      <c r="AH48" s="1319"/>
      <c r="AI48" s="1319"/>
      <c r="AJ48" s="1319"/>
      <c r="AK48" s="1319"/>
      <c r="AL48" s="1319"/>
      <c r="AM48" s="1319"/>
      <c r="AN48" s="1319"/>
      <c r="DL48" s="1978" t="s">
        <v>1286</v>
      </c>
      <c r="DM48" s="10">
        <v>31</v>
      </c>
      <c r="DN48" s="10"/>
      <c r="DO48" s="10"/>
      <c r="DP48" s="10"/>
      <c r="DQ48" s="10"/>
      <c r="DR48" s="10"/>
      <c r="DS48" s="10"/>
      <c r="DT48" s="10"/>
      <c r="DU48" s="10"/>
      <c r="DX48" s="10" t="s">
        <v>1297</v>
      </c>
      <c r="DY48" s="1963">
        <v>0.32</v>
      </c>
      <c r="DZ48" s="10"/>
      <c r="EA48" s="10"/>
      <c r="EB48" s="10"/>
    </row>
    <row r="49" spans="1:132">
      <c r="A49" s="1319"/>
      <c r="B49" s="2100"/>
      <c r="C49" s="2100"/>
      <c r="D49" s="1319"/>
      <c r="E49" s="1319"/>
      <c r="F49" s="1319"/>
      <c r="G49" s="1319"/>
      <c r="H49" s="1319"/>
      <c r="I49" s="1319"/>
      <c r="J49" s="1319"/>
      <c r="K49" s="1319"/>
      <c r="L49" s="1319"/>
      <c r="M49" s="1319"/>
      <c r="N49" s="1319"/>
      <c r="O49" s="1319"/>
      <c r="P49" s="1319"/>
      <c r="Q49" s="1319"/>
      <c r="R49" s="1319"/>
      <c r="S49" s="1319"/>
      <c r="T49" s="1319"/>
      <c r="U49" s="1319"/>
      <c r="V49" s="1319"/>
      <c r="W49" s="1319"/>
      <c r="X49" s="1319"/>
      <c r="Y49" s="1319"/>
      <c r="Z49" s="1319"/>
      <c r="AA49" s="1319"/>
      <c r="AB49" s="1319"/>
      <c r="AC49" s="1319"/>
      <c r="AD49" s="1319"/>
      <c r="AE49" s="1319"/>
      <c r="AF49" s="876"/>
      <c r="AG49" s="1319"/>
      <c r="AH49" s="1319"/>
      <c r="AI49" s="1319"/>
      <c r="AJ49" s="1319"/>
      <c r="AK49" s="1319"/>
      <c r="AL49" s="1319"/>
      <c r="AM49" s="1319"/>
      <c r="AN49" s="1319"/>
      <c r="DL49" s="10"/>
      <c r="DM49" s="10"/>
      <c r="DN49" s="1963">
        <v>120</v>
      </c>
      <c r="DO49" s="10" t="s">
        <v>1287</v>
      </c>
      <c r="DP49" s="10"/>
      <c r="DQ49" s="10"/>
      <c r="DR49" s="10"/>
      <c r="DS49" s="10"/>
      <c r="DT49" s="10"/>
      <c r="DU49" s="10"/>
      <c r="DX49" s="1982" t="s">
        <v>1367</v>
      </c>
    </row>
    <row r="50" spans="1:132" ht="15.75">
      <c r="A50" s="1319"/>
      <c r="B50" s="2100"/>
      <c r="C50" s="2100"/>
      <c r="D50" s="1319"/>
      <c r="E50" s="1319"/>
      <c r="F50" s="1319"/>
      <c r="G50" s="1319"/>
      <c r="H50" s="1319"/>
      <c r="I50" s="1319"/>
      <c r="J50" s="1319"/>
      <c r="K50" s="1319"/>
      <c r="L50" s="1319"/>
      <c r="M50" s="1319"/>
      <c r="N50" s="1319"/>
      <c r="O50" s="1319"/>
      <c r="P50" s="1319"/>
      <c r="Q50" s="1319"/>
      <c r="R50" s="1319"/>
      <c r="S50" s="1319"/>
      <c r="T50" s="1319"/>
      <c r="U50" s="1319"/>
      <c r="V50" s="1319"/>
      <c r="W50" s="1319"/>
      <c r="X50" s="1319"/>
      <c r="Y50" s="1319"/>
      <c r="Z50" s="1319"/>
      <c r="AA50" s="1319"/>
      <c r="AB50" s="1319"/>
      <c r="AC50" s="1319"/>
      <c r="AD50" s="1319"/>
      <c r="AE50" s="1319"/>
      <c r="AF50" s="876"/>
      <c r="AG50" s="1319"/>
      <c r="AH50" s="1319"/>
      <c r="AI50" s="1319"/>
      <c r="AJ50" s="1319"/>
      <c r="AK50" s="1319"/>
      <c r="AL50" s="1319"/>
      <c r="AM50" s="1319"/>
      <c r="AN50" s="1319"/>
      <c r="DL50" s="10"/>
      <c r="DM50" s="10"/>
      <c r="DN50" s="10"/>
      <c r="DO50" s="10"/>
      <c r="DP50" s="1959"/>
      <c r="DQ50" s="10"/>
      <c r="DR50" s="10"/>
      <c r="DS50" s="10"/>
      <c r="DT50" s="10"/>
      <c r="DU50" s="10"/>
      <c r="EB50" s="1984"/>
    </row>
    <row r="51" spans="1:132" ht="15.75">
      <c r="A51" s="1319"/>
      <c r="B51" s="1319"/>
      <c r="C51" s="1319"/>
      <c r="D51" s="1319"/>
      <c r="E51" s="1319"/>
      <c r="F51" s="1319"/>
      <c r="G51" s="1319"/>
      <c r="H51" s="1319"/>
      <c r="I51" s="1319"/>
      <c r="J51" s="1319"/>
      <c r="K51" s="1319"/>
      <c r="L51" s="1319"/>
      <c r="M51" s="1319"/>
      <c r="N51" s="1319"/>
      <c r="O51" s="1319"/>
      <c r="P51" s="1319"/>
      <c r="Q51" s="1319"/>
      <c r="R51" s="1319"/>
      <c r="S51" s="1319"/>
      <c r="T51" s="1319"/>
      <c r="U51" s="1319"/>
      <c r="V51" s="1319"/>
      <c r="W51" s="1319"/>
      <c r="X51" s="1319"/>
      <c r="Y51" s="1319"/>
      <c r="Z51" s="1319"/>
      <c r="AA51" s="1319"/>
      <c r="AB51" s="1319"/>
      <c r="AC51" s="1319"/>
      <c r="AD51" s="1319"/>
      <c r="AE51" s="1319"/>
      <c r="AF51" s="876"/>
      <c r="AG51" s="1319"/>
      <c r="AH51" s="1319"/>
      <c r="AI51" s="1319"/>
      <c r="AJ51" s="1319"/>
      <c r="AK51" s="1319"/>
      <c r="AL51" s="1319"/>
      <c r="AM51" s="1319"/>
      <c r="AN51" s="1319"/>
      <c r="DL51" s="10"/>
      <c r="DM51" s="10"/>
      <c r="DN51" s="10"/>
      <c r="DO51" s="10"/>
      <c r="DP51" s="1959"/>
      <c r="DQ51" s="10"/>
      <c r="DR51" s="10"/>
      <c r="DS51" s="10"/>
      <c r="DT51" s="10"/>
      <c r="DU51" s="10"/>
      <c r="DX51" s="10" t="s">
        <v>1369</v>
      </c>
      <c r="DY51" s="1963">
        <f>(10.2*1.2)+(27.77*1.2)</f>
        <v>45.563999999999993</v>
      </c>
    </row>
    <row r="52" spans="1:132" ht="16.5" thickBot="1">
      <c r="A52" s="1319"/>
      <c r="B52" s="1319"/>
      <c r="C52" s="1319"/>
      <c r="D52" s="1319"/>
      <c r="E52" s="1319"/>
      <c r="F52" s="1319"/>
      <c r="G52" s="1319"/>
      <c r="H52" s="1319"/>
      <c r="I52" s="1319"/>
      <c r="J52" s="1319"/>
      <c r="K52" s="1319"/>
      <c r="L52" s="1319"/>
      <c r="M52" s="1319"/>
      <c r="N52" s="1319"/>
      <c r="O52" s="1319"/>
      <c r="P52" s="1319"/>
      <c r="Q52" s="1319"/>
      <c r="R52" s="1319"/>
      <c r="S52" s="1319"/>
      <c r="T52" s="1319"/>
      <c r="U52" s="1319"/>
      <c r="V52" s="1319"/>
      <c r="W52" s="1319"/>
      <c r="X52" s="1319"/>
      <c r="Y52" s="1319"/>
      <c r="Z52" s="1319"/>
      <c r="AA52" s="1319"/>
      <c r="AB52" s="1319"/>
      <c r="AC52" s="1319"/>
      <c r="AD52" s="1319"/>
      <c r="AE52" s="1319"/>
      <c r="AF52" s="876"/>
      <c r="AG52" s="1319"/>
      <c r="AH52" s="1319"/>
      <c r="AI52" s="1319"/>
      <c r="AJ52" s="1319"/>
      <c r="AK52" s="1319"/>
      <c r="AL52" s="1319"/>
      <c r="AM52" s="1319"/>
      <c r="AN52" s="1319"/>
      <c r="DL52" s="10"/>
      <c r="DM52" s="10"/>
      <c r="DN52" s="10"/>
      <c r="DO52" s="10"/>
      <c r="DP52" s="1959"/>
      <c r="DQ52" s="10"/>
      <c r="DR52" s="10"/>
      <c r="DS52" s="10"/>
      <c r="DT52" s="10"/>
      <c r="DU52" s="10"/>
      <c r="DX52" s="1982" t="s">
        <v>1368</v>
      </c>
    </row>
    <row r="53" spans="1:132" ht="15.75">
      <c r="A53" s="1319"/>
      <c r="B53" s="1319"/>
      <c r="C53" s="1319"/>
      <c r="D53" s="1319"/>
      <c r="E53" s="1319"/>
      <c r="F53" s="1319"/>
      <c r="G53" s="1319"/>
      <c r="H53" s="1319"/>
      <c r="I53" s="1319"/>
      <c r="J53" s="1319"/>
      <c r="K53" s="1319"/>
      <c r="L53" s="1319"/>
      <c r="M53" s="1319"/>
      <c r="N53" s="1319"/>
      <c r="O53" s="1319"/>
      <c r="P53" s="1319"/>
      <c r="Q53" s="1319"/>
      <c r="R53" s="1319"/>
      <c r="S53" s="1319"/>
      <c r="T53" s="1319"/>
      <c r="U53" s="1319"/>
      <c r="V53" s="1319"/>
      <c r="W53" s="1319"/>
      <c r="X53" s="1319"/>
      <c r="Y53" s="1319"/>
      <c r="Z53" s="1319"/>
      <c r="AA53" s="1319"/>
      <c r="AB53" s="1319"/>
      <c r="AC53" s="1319"/>
      <c r="AD53" s="1319"/>
      <c r="AE53" s="1319"/>
      <c r="AF53" s="876"/>
      <c r="AG53" s="1319"/>
      <c r="AH53" s="1319"/>
      <c r="AI53" s="1319"/>
      <c r="AJ53" s="1319"/>
      <c r="AK53" s="1319"/>
      <c r="AL53" s="1319"/>
      <c r="AM53" s="1319"/>
      <c r="AN53" s="1319"/>
      <c r="AP53" s="2101">
        <f>Planung!L7-Planung!B7</f>
        <v>0</v>
      </c>
      <c r="AQ53" s="2102">
        <f>Planung!L8-Planung!B8</f>
        <v>0</v>
      </c>
      <c r="AR53" s="2102">
        <f>Planung!L9-Planung!B9</f>
        <v>0</v>
      </c>
      <c r="AS53" s="2102">
        <f>Planung!L10-Planung!B10</f>
        <v>0</v>
      </c>
      <c r="AT53" s="2102">
        <f>Planung!L11-Planung!B11</f>
        <v>0</v>
      </c>
      <c r="AU53" s="2102">
        <f>Planung!L12-Planung!B12</f>
        <v>0</v>
      </c>
      <c r="AV53" s="2103">
        <f>Planung!L13-Planung!B13</f>
        <v>0</v>
      </c>
      <c r="AW53" s="2104">
        <f>Planung!L14-Planung!B14</f>
        <v>0</v>
      </c>
      <c r="AX53" s="2105"/>
      <c r="DL53" s="1959" t="s">
        <v>1353</v>
      </c>
      <c r="DM53" s="1960" t="s">
        <v>1271</v>
      </c>
      <c r="DN53" s="1961"/>
      <c r="DO53" s="1962"/>
      <c r="DP53" s="1959"/>
      <c r="DQ53" s="10"/>
      <c r="DR53" s="10"/>
      <c r="DS53" s="10"/>
      <c r="DT53" s="10"/>
      <c r="DU53" s="10"/>
    </row>
    <row r="54" spans="1:132" ht="48" thickBot="1">
      <c r="A54" s="1319"/>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19"/>
      <c r="X54" s="1319"/>
      <c r="Y54" s="1319"/>
      <c r="Z54" s="1319"/>
      <c r="AA54" s="1319"/>
      <c r="AB54" s="1319"/>
      <c r="AC54" s="1319"/>
      <c r="AD54" s="1319"/>
      <c r="AE54" s="1319"/>
      <c r="AF54" s="876"/>
      <c r="AG54" s="1319"/>
      <c r="AH54" s="1319"/>
      <c r="AI54" s="1319"/>
      <c r="AJ54" s="1319"/>
      <c r="AK54" s="1319"/>
      <c r="AL54" s="1319"/>
      <c r="AM54" s="1319"/>
      <c r="AN54" s="1319"/>
      <c r="AP54" s="2106">
        <f>(AP65+BA65+BK65)-AP53</f>
        <v>0</v>
      </c>
      <c r="AQ54" s="2107">
        <f t="shared" ref="AQ54:AR54" si="214">(AQ65+BB65+BL65)-AQ53</f>
        <v>0</v>
      </c>
      <c r="AR54" s="2107">
        <f t="shared" si="214"/>
        <v>0</v>
      </c>
      <c r="AS54" s="2107">
        <f>(AS65+BD65+BN65)-AS53</f>
        <v>0</v>
      </c>
      <c r="AT54" s="2107">
        <f>(AT65+BE65+BO65)-AT53</f>
        <v>0</v>
      </c>
      <c r="AU54" s="2107">
        <f>(AU65+BF65+BP65)-AU53</f>
        <v>0</v>
      </c>
      <c r="AV54" s="2107">
        <f>AV65-AV53</f>
        <v>0</v>
      </c>
      <c r="AW54" s="2108">
        <f>AW65-AW53</f>
        <v>0</v>
      </c>
      <c r="AX54" s="2109">
        <f t="shared" ref="AX54" si="215">AX65-AX53</f>
        <v>0</v>
      </c>
      <c r="DL54" s="1964" t="s">
        <v>1272</v>
      </c>
      <c r="DM54" s="1988" t="s">
        <v>1275</v>
      </c>
      <c r="DN54" s="1989" t="s">
        <v>1288</v>
      </c>
      <c r="DO54" s="1990" t="s">
        <v>1289</v>
      </c>
      <c r="DP54" s="1959"/>
      <c r="DQ54" s="10"/>
      <c r="DR54" s="10"/>
      <c r="DS54" s="10"/>
      <c r="DT54" s="10"/>
      <c r="DU54" s="10"/>
    </row>
    <row r="55" spans="1:132" ht="15.75">
      <c r="A55" s="1319"/>
      <c r="B55" s="1319"/>
      <c r="C55" s="1319"/>
      <c r="D55" s="1319"/>
      <c r="E55" s="1319"/>
      <c r="F55" s="1319"/>
      <c r="G55" s="1319"/>
      <c r="H55" s="1319"/>
      <c r="I55" s="1319"/>
      <c r="J55" s="1319"/>
      <c r="K55" s="1319"/>
      <c r="L55" s="1319"/>
      <c r="M55" s="1319"/>
      <c r="N55" s="1319"/>
      <c r="O55" s="1319"/>
      <c r="P55" s="1319"/>
      <c r="Q55" s="1319"/>
      <c r="R55" s="1319"/>
      <c r="S55" s="1319"/>
      <c r="T55" s="1319"/>
      <c r="U55" s="1319"/>
      <c r="V55" s="1319"/>
      <c r="W55" s="1319"/>
      <c r="X55" s="1319"/>
      <c r="Y55" s="1319"/>
      <c r="Z55" s="1319"/>
      <c r="AA55" s="1319"/>
      <c r="AB55" s="1319"/>
      <c r="AC55" s="1319"/>
      <c r="AD55" s="1319"/>
      <c r="AE55" s="1319"/>
      <c r="AF55" s="876"/>
      <c r="AG55" s="1319"/>
      <c r="AH55" s="1319"/>
      <c r="AI55" s="1319"/>
      <c r="AJ55" s="1319"/>
      <c r="AK55" s="1319"/>
      <c r="AL55" s="1319"/>
      <c r="AM55" s="1319"/>
      <c r="AN55" s="1319"/>
      <c r="AV55" s="2110"/>
      <c r="DL55" s="1974" t="s">
        <v>1279</v>
      </c>
      <c r="DM55" s="1959">
        <v>3</v>
      </c>
      <c r="DN55" s="1959">
        <f>DM55*0.97</f>
        <v>2.91</v>
      </c>
      <c r="DO55" s="1959">
        <f>DM55*0.94</f>
        <v>2.82</v>
      </c>
      <c r="DP55" s="1959"/>
      <c r="DQ55" s="10"/>
      <c r="DR55" s="10"/>
      <c r="DS55" s="10"/>
      <c r="DT55" s="10"/>
      <c r="DU55" s="10"/>
    </row>
    <row r="56" spans="1:132" ht="15.75">
      <c r="A56" s="1319"/>
      <c r="B56" s="1319"/>
      <c r="C56" s="1319"/>
      <c r="D56" s="1319"/>
      <c r="E56" s="1319"/>
      <c r="F56" s="1319"/>
      <c r="G56" s="1319"/>
      <c r="H56" s="1319"/>
      <c r="I56" s="1319"/>
      <c r="J56" s="1319"/>
      <c r="K56" s="1319"/>
      <c r="L56" s="1319"/>
      <c r="M56" s="1319"/>
      <c r="N56" s="1319"/>
      <c r="O56" s="1319"/>
      <c r="P56" s="1319"/>
      <c r="Q56" s="1319"/>
      <c r="R56" s="1319"/>
      <c r="S56" s="1319"/>
      <c r="T56" s="1319"/>
      <c r="U56" s="1319"/>
      <c r="V56" s="1319"/>
      <c r="W56" s="1319"/>
      <c r="X56" s="1319"/>
      <c r="Y56" s="1319"/>
      <c r="Z56" s="1319"/>
      <c r="AA56" s="1319"/>
      <c r="AB56" s="1319"/>
      <c r="AC56" s="1319"/>
      <c r="AD56" s="1319"/>
      <c r="AE56" s="1319"/>
      <c r="AF56" s="876"/>
      <c r="AG56" s="1319"/>
      <c r="AH56" s="1319"/>
      <c r="AI56" s="1319"/>
      <c r="AJ56" s="1319"/>
      <c r="AK56" s="1319"/>
      <c r="AL56" s="1319"/>
      <c r="AM56" s="1319"/>
      <c r="AN56" s="1319"/>
      <c r="AP56" s="2111" t="s">
        <v>1041</v>
      </c>
      <c r="AV56" s="2110"/>
      <c r="AW56" s="2489" t="s">
        <v>827</v>
      </c>
      <c r="AX56" s="2490"/>
      <c r="BA56" s="2484" t="s">
        <v>1258</v>
      </c>
      <c r="BB56" s="2484"/>
      <c r="BC56" s="2484"/>
      <c r="BD56" s="2484"/>
      <c r="BE56" s="2484"/>
      <c r="BF56" s="2484"/>
      <c r="BG56" s="2484"/>
      <c r="BH56" s="2484"/>
      <c r="BI56" s="2112"/>
      <c r="BK56" s="2484" t="s">
        <v>1259</v>
      </c>
      <c r="BL56" s="2484"/>
      <c r="BM56" s="2484"/>
      <c r="BN56" s="2484"/>
      <c r="BO56" s="2484"/>
      <c r="BP56" s="2484"/>
      <c r="BQ56" s="2484"/>
      <c r="BR56" s="2484"/>
      <c r="BS56" s="2112"/>
      <c r="DL56" s="1974" t="s">
        <v>1280</v>
      </c>
      <c r="DM56" s="1959">
        <v>2</v>
      </c>
      <c r="DN56" s="1959">
        <f t="shared" ref="DN56:DN58" si="216">DM56*0.97</f>
        <v>1.94</v>
      </c>
      <c r="DO56" s="1959">
        <f t="shared" ref="DO56:DO58" si="217">DM56*0.94</f>
        <v>1.88</v>
      </c>
      <c r="DP56" s="1959"/>
      <c r="DQ56" s="10"/>
      <c r="DR56" s="10"/>
      <c r="DS56" s="10"/>
      <c r="DT56" s="10"/>
      <c r="DU56" s="10"/>
    </row>
    <row r="57" spans="1:132" ht="51">
      <c r="A57" s="1319"/>
      <c r="B57" s="1319"/>
      <c r="C57" s="1319"/>
      <c r="D57" s="1319"/>
      <c r="E57" s="1319"/>
      <c r="F57" s="1319"/>
      <c r="G57" s="1319"/>
      <c r="H57" s="1319"/>
      <c r="I57" s="1319"/>
      <c r="J57" s="1319"/>
      <c r="K57" s="1319"/>
      <c r="L57" s="2113"/>
      <c r="M57" s="1319"/>
      <c r="N57" s="1319"/>
      <c r="O57" s="1319"/>
      <c r="P57" s="1319"/>
      <c r="Q57" s="1319"/>
      <c r="R57" s="1319"/>
      <c r="S57" s="1319"/>
      <c r="T57" s="1319"/>
      <c r="U57" s="1319"/>
      <c r="V57" s="1319"/>
      <c r="W57" s="1319"/>
      <c r="X57" s="1319"/>
      <c r="Y57" s="1319"/>
      <c r="Z57" s="1319"/>
      <c r="AA57" s="1319"/>
      <c r="AB57" s="1319"/>
      <c r="AC57" s="1319"/>
      <c r="AD57" s="1319"/>
      <c r="AE57" s="1319"/>
      <c r="AF57" s="876"/>
      <c r="AG57" s="1319"/>
      <c r="AH57" s="1319"/>
      <c r="AI57" s="1319"/>
      <c r="AJ57" s="1319"/>
      <c r="AK57" s="1319"/>
      <c r="AL57" s="1319"/>
      <c r="AM57" s="1319"/>
      <c r="AN57" s="1319"/>
      <c r="AP57" s="1855" t="s">
        <v>1014</v>
      </c>
      <c r="AQ57" s="1855" t="s">
        <v>1015</v>
      </c>
      <c r="AR57" s="1855" t="s">
        <v>1016</v>
      </c>
      <c r="AS57" s="1855" t="s">
        <v>1017</v>
      </c>
      <c r="AT57" s="1855" t="s">
        <v>1018</v>
      </c>
      <c r="AU57" s="1855" t="s">
        <v>1019</v>
      </c>
      <c r="AV57" s="2114" t="s">
        <v>1033</v>
      </c>
      <c r="AW57" s="1855" t="s">
        <v>827</v>
      </c>
      <c r="AX57" s="2114" t="s">
        <v>1259</v>
      </c>
      <c r="BA57" s="1855" t="s">
        <v>1014</v>
      </c>
      <c r="BB57" s="1855" t="s">
        <v>1015</v>
      </c>
      <c r="BC57" s="1855" t="s">
        <v>1016</v>
      </c>
      <c r="BD57" s="1855" t="s">
        <v>1017</v>
      </c>
      <c r="BE57" s="1855" t="s">
        <v>1018</v>
      </c>
      <c r="BF57" s="1855" t="s">
        <v>1019</v>
      </c>
      <c r="BG57" s="1855" t="s">
        <v>1033</v>
      </c>
      <c r="BH57" s="1855" t="s">
        <v>827</v>
      </c>
      <c r="BI57" s="2013"/>
      <c r="BK57" s="1855" t="s">
        <v>1014</v>
      </c>
      <c r="BL57" s="1855" t="s">
        <v>1015</v>
      </c>
      <c r="BM57" s="1855" t="s">
        <v>1016</v>
      </c>
      <c r="BN57" s="1855" t="s">
        <v>1017</v>
      </c>
      <c r="BO57" s="1855" t="s">
        <v>1018</v>
      </c>
      <c r="BP57" s="1855" t="s">
        <v>1019</v>
      </c>
      <c r="BQ57" s="1855" t="s">
        <v>1033</v>
      </c>
      <c r="BR57" s="1855" t="s">
        <v>827</v>
      </c>
      <c r="BS57" s="2013"/>
      <c r="DL57" s="1974" t="s">
        <v>1281</v>
      </c>
      <c r="DM57" s="1959">
        <v>1</v>
      </c>
      <c r="DN57" s="1959">
        <f t="shared" si="216"/>
        <v>0.97</v>
      </c>
      <c r="DO57" s="1959">
        <f t="shared" si="217"/>
        <v>0.94</v>
      </c>
      <c r="DP57" s="10"/>
      <c r="DQ57" s="10"/>
      <c r="DR57" s="10"/>
      <c r="DS57" s="10"/>
      <c r="DT57" s="10"/>
      <c r="DU57" s="10"/>
    </row>
    <row r="58" spans="1:132" ht="18" customHeight="1">
      <c r="L58" s="2115"/>
      <c r="AP58" s="1860">
        <f>AP35</f>
        <v>0</v>
      </c>
      <c r="AQ58" s="1860">
        <f>AQ35</f>
        <v>0</v>
      </c>
      <c r="AR58" s="1860">
        <f>AR35+AS35</f>
        <v>0</v>
      </c>
      <c r="AS58" s="1860">
        <f t="shared" ref="AS58:AX58" si="218">AT35</f>
        <v>0</v>
      </c>
      <c r="AT58" s="1860">
        <f t="shared" si="218"/>
        <v>0</v>
      </c>
      <c r="AU58" s="1860">
        <f t="shared" si="218"/>
        <v>0</v>
      </c>
      <c r="AV58" s="2116">
        <f t="shared" si="218"/>
        <v>0</v>
      </c>
      <c r="AW58" s="1860">
        <f>AX35</f>
        <v>0</v>
      </c>
      <c r="AX58" s="2116">
        <f t="shared" si="218"/>
        <v>0</v>
      </c>
      <c r="BA58" s="1860"/>
      <c r="BB58" s="1860"/>
      <c r="BC58" s="1860"/>
      <c r="BD58" s="1860"/>
      <c r="BE58" s="1860"/>
      <c r="BF58" s="1860"/>
      <c r="BG58" s="1860"/>
      <c r="BH58" s="1860"/>
      <c r="BI58" s="1865"/>
      <c r="BK58" s="1860"/>
      <c r="BL58" s="1860"/>
      <c r="BM58" s="1860"/>
      <c r="BN58" s="1860"/>
      <c r="BO58" s="1860"/>
      <c r="BP58" s="1860"/>
      <c r="BQ58" s="1860"/>
      <c r="BR58" s="1860"/>
      <c r="BS58" s="1865"/>
      <c r="DL58" s="1974" t="s">
        <v>1282</v>
      </c>
      <c r="DM58" s="1959">
        <v>0.75</v>
      </c>
      <c r="DN58" s="1959">
        <f t="shared" si="216"/>
        <v>0.72750000000000004</v>
      </c>
      <c r="DO58" s="1959">
        <f t="shared" si="217"/>
        <v>0.70499999999999996</v>
      </c>
      <c r="DP58" s="10"/>
      <c r="DQ58" s="10"/>
      <c r="DR58" s="10"/>
      <c r="DS58" s="10"/>
      <c r="DT58" s="10"/>
      <c r="DU58" s="10"/>
    </row>
    <row r="59" spans="1:132" ht="18" customHeight="1">
      <c r="AP59" s="1874" t="s">
        <v>1046</v>
      </c>
      <c r="AV59" s="2110"/>
      <c r="AX59" s="2110"/>
      <c r="DL59" s="10"/>
      <c r="DM59" s="10"/>
      <c r="DN59" s="10"/>
      <c r="DO59" s="10"/>
      <c r="DP59" s="10"/>
      <c r="DQ59" s="10"/>
      <c r="DR59" s="10"/>
      <c r="DS59" s="10"/>
      <c r="DT59" s="10"/>
      <c r="DU59" s="10"/>
    </row>
    <row r="60" spans="1:132" ht="21.75" customHeight="1">
      <c r="AP60" s="1855" t="s">
        <v>1014</v>
      </c>
      <c r="AQ60" s="1855" t="s">
        <v>1015</v>
      </c>
      <c r="AR60" s="1855" t="s">
        <v>1016</v>
      </c>
      <c r="AS60" s="1855" t="s">
        <v>1017</v>
      </c>
      <c r="AT60" s="1855" t="s">
        <v>1018</v>
      </c>
      <c r="AU60" s="1855" t="s">
        <v>1019</v>
      </c>
      <c r="AV60" s="2114" t="s">
        <v>1020</v>
      </c>
      <c r="AW60" s="1855" t="s">
        <v>1255</v>
      </c>
      <c r="AX60" s="2114"/>
      <c r="BA60" s="1855"/>
      <c r="BB60" s="1855"/>
      <c r="BC60" s="1855"/>
      <c r="BD60" s="1855"/>
      <c r="BE60" s="1855"/>
      <c r="BF60" s="1855"/>
      <c r="BG60" s="1855"/>
      <c r="BH60" s="1855"/>
      <c r="BI60" s="2013"/>
      <c r="BK60" s="1855"/>
      <c r="BL60" s="1855"/>
      <c r="BM60" s="1855"/>
      <c r="BN60" s="1855"/>
      <c r="BO60" s="1855"/>
      <c r="BP60" s="1855"/>
      <c r="BQ60" s="1855"/>
      <c r="BR60" s="1855"/>
      <c r="BS60" s="2013"/>
      <c r="DL60" s="10"/>
      <c r="DM60" s="10"/>
      <c r="DN60" s="10"/>
      <c r="DO60" s="10"/>
      <c r="DP60" s="10"/>
      <c r="DQ60" s="10"/>
      <c r="DR60" s="10"/>
      <c r="DS60" s="10"/>
      <c r="DT60" s="10"/>
      <c r="DU60" s="10"/>
    </row>
    <row r="61" spans="1:132" ht="18" customHeight="1">
      <c r="AP61" s="1860">
        <f>Planung!$L7</f>
        <v>0</v>
      </c>
      <c r="AQ61" s="1860">
        <f>Planung!$L8</f>
        <v>0</v>
      </c>
      <c r="AR61" s="1860">
        <f>Planung!$L9</f>
        <v>0</v>
      </c>
      <c r="AS61" s="1860">
        <f>Planung!$L10</f>
        <v>0</v>
      </c>
      <c r="AT61" s="1860">
        <f>Planung!$L11</f>
        <v>0</v>
      </c>
      <c r="AU61" s="1860">
        <f>Planung!$L12</f>
        <v>0</v>
      </c>
      <c r="AV61" s="2116">
        <f>Planung!$L13</f>
        <v>0</v>
      </c>
      <c r="AW61" s="1860">
        <f>Planung!$L14</f>
        <v>0</v>
      </c>
      <c r="AX61" s="2116">
        <f>Planung!$L15</f>
        <v>0</v>
      </c>
      <c r="BA61" s="1860"/>
      <c r="BB61" s="1860"/>
      <c r="BC61" s="1860"/>
      <c r="BD61" s="1860"/>
      <c r="BE61" s="1860"/>
      <c r="BF61" s="1860"/>
      <c r="BG61" s="1860"/>
      <c r="BH61" s="1860"/>
      <c r="BI61" s="1865"/>
      <c r="BK61" s="1860"/>
      <c r="BL61" s="1860"/>
      <c r="BM61" s="1860"/>
      <c r="BN61" s="1860"/>
      <c r="BO61" s="1860"/>
      <c r="BP61" s="1860"/>
      <c r="BQ61" s="1860"/>
      <c r="BR61" s="1860"/>
      <c r="BS61" s="1865"/>
      <c r="DL61" s="1977" t="s">
        <v>1283</v>
      </c>
      <c r="DM61" s="1991">
        <v>150</v>
      </c>
      <c r="DN61" s="1963">
        <v>0.32</v>
      </c>
      <c r="DO61" s="1963">
        <f>DN61*DM61</f>
        <v>48</v>
      </c>
      <c r="DP61" s="10"/>
      <c r="DQ61" s="10"/>
      <c r="DR61" s="1977" t="s">
        <v>1283</v>
      </c>
      <c r="DS61" s="1991">
        <v>150</v>
      </c>
      <c r="DT61" s="1963">
        <v>0.32</v>
      </c>
      <c r="DU61" s="1963">
        <f>DT61*DS61</f>
        <v>48</v>
      </c>
      <c r="DV61" s="10"/>
    </row>
    <row r="62" spans="1:132" ht="18" customHeight="1" thickBot="1">
      <c r="AP62" s="2111" t="s">
        <v>1045</v>
      </c>
      <c r="AV62" s="2110"/>
      <c r="AX62" s="2110"/>
      <c r="BA62" s="2111"/>
      <c r="BK62" s="2111"/>
      <c r="DL62" s="1978" t="s">
        <v>1290</v>
      </c>
      <c r="DM62" s="1991">
        <v>12</v>
      </c>
      <c r="DN62" s="1963">
        <v>2.2000000000000002</v>
      </c>
      <c r="DO62" s="1963">
        <f>DN62*DM62</f>
        <v>26.400000000000002</v>
      </c>
      <c r="DP62" s="10"/>
      <c r="DQ62" s="10"/>
      <c r="DR62" s="1978" t="s">
        <v>1354</v>
      </c>
      <c r="DS62" s="1991">
        <v>6</v>
      </c>
      <c r="DT62" s="1963">
        <v>2.2000000000000002</v>
      </c>
      <c r="DU62" s="1963">
        <f>DT62*DS62</f>
        <v>13.200000000000001</v>
      </c>
      <c r="DV62" s="10"/>
    </row>
    <row r="63" spans="1:132" ht="18" customHeight="1" thickBot="1">
      <c r="AP63" s="2117">
        <f t="shared" ref="AP63:AT63" si="219">AP66-AP61</f>
        <v>0</v>
      </c>
      <c r="AQ63" s="2117">
        <f t="shared" si="219"/>
        <v>0</v>
      </c>
      <c r="AR63" s="2117">
        <f t="shared" si="219"/>
        <v>0</v>
      </c>
      <c r="AS63" s="2117">
        <f t="shared" si="219"/>
        <v>0</v>
      </c>
      <c r="AT63" s="2117">
        <f t="shared" si="219"/>
        <v>0</v>
      </c>
      <c r="AU63" s="2118">
        <f>AU66-AU61</f>
        <v>0</v>
      </c>
      <c r="AV63" s="2119">
        <f t="shared" ref="AV63:AX63" si="220">AV66-AV61</f>
        <v>0</v>
      </c>
      <c r="AW63" s="2118">
        <f t="shared" si="220"/>
        <v>0</v>
      </c>
      <c r="AX63" s="2119">
        <f t="shared" si="220"/>
        <v>0</v>
      </c>
      <c r="BA63" s="2117"/>
      <c r="BB63" s="2117"/>
      <c r="BC63" s="2117"/>
      <c r="BD63" s="2117"/>
      <c r="BE63" s="2117"/>
      <c r="BF63" s="2118"/>
      <c r="BG63" s="2118"/>
      <c r="BH63" s="2118"/>
      <c r="BI63" s="2120"/>
      <c r="BK63" s="2117"/>
      <c r="BL63" s="2117"/>
      <c r="BM63" s="2117"/>
      <c r="BN63" s="2117"/>
      <c r="BO63" s="2117"/>
      <c r="BP63" s="2118"/>
      <c r="BQ63" s="2118"/>
      <c r="BR63" s="2118"/>
      <c r="BS63" s="2120"/>
      <c r="DL63" s="1978"/>
      <c r="DM63" s="1963"/>
      <c r="DN63" s="1963"/>
      <c r="DO63" s="1963">
        <f>SUM(DO61:DO62)</f>
        <v>74.400000000000006</v>
      </c>
      <c r="DP63" s="10" t="s">
        <v>1287</v>
      </c>
      <c r="DQ63" s="10"/>
      <c r="DR63" s="1978"/>
      <c r="DS63" s="1963"/>
      <c r="DT63" s="1963"/>
      <c r="DU63" s="1963">
        <f>SUM(DU61:DU62)</f>
        <v>61.2</v>
      </c>
      <c r="DV63" s="10" t="s">
        <v>1287</v>
      </c>
    </row>
    <row r="64" spans="1:132" ht="18" customHeight="1">
      <c r="AP64" s="2111" t="s">
        <v>1044</v>
      </c>
      <c r="AV64" s="2110"/>
      <c r="AX64" s="2110"/>
      <c r="AY64" s="2121"/>
      <c r="AZ64" s="2121"/>
      <c r="BA64" s="2111"/>
      <c r="BI64" s="2121"/>
      <c r="BJ64" s="2121"/>
      <c r="BK64" s="2111"/>
    </row>
    <row r="65" spans="17:71" ht="18" customHeight="1" thickBot="1">
      <c r="AN65" s="1874" t="s">
        <v>1179</v>
      </c>
      <c r="AP65" s="2122">
        <f>SUM(AP67:AP97)</f>
        <v>0</v>
      </c>
      <c r="AQ65" s="2122">
        <f t="shared" ref="AQ65:AX65" si="221">SUM(AQ67:AQ97)</f>
        <v>0</v>
      </c>
      <c r="AR65" s="2122">
        <f t="shared" si="221"/>
        <v>0</v>
      </c>
      <c r="AS65" s="2122">
        <f t="shared" si="221"/>
        <v>0</v>
      </c>
      <c r="AT65" s="2122">
        <f t="shared" si="221"/>
        <v>0</v>
      </c>
      <c r="AU65" s="2122">
        <f>SUM(AU67:AU97)</f>
        <v>0</v>
      </c>
      <c r="AV65" s="2123">
        <f t="shared" si="221"/>
        <v>0</v>
      </c>
      <c r="AW65" s="2122">
        <f>SUM(AW67:AW97)</f>
        <v>0</v>
      </c>
      <c r="AX65" s="2123">
        <f t="shared" si="221"/>
        <v>0</v>
      </c>
      <c r="AY65" s="2124"/>
      <c r="AZ65" s="2124"/>
      <c r="BA65" s="2122">
        <f>SUM(BA68:BA97)</f>
        <v>0</v>
      </c>
      <c r="BB65" s="2122">
        <f t="shared" ref="BB65:BR65" si="222">SUM(BB68:BB97)</f>
        <v>0</v>
      </c>
      <c r="BC65" s="2122">
        <f t="shared" si="222"/>
        <v>0</v>
      </c>
      <c r="BD65" s="2122">
        <f t="shared" si="222"/>
        <v>0</v>
      </c>
      <c r="BE65" s="2122">
        <f>SUM(BE68:BE97)</f>
        <v>0</v>
      </c>
      <c r="BF65" s="2122">
        <f t="shared" si="222"/>
        <v>0</v>
      </c>
      <c r="BG65" s="2122">
        <f t="shared" si="222"/>
        <v>0</v>
      </c>
      <c r="BH65" s="2122">
        <f t="shared" si="222"/>
        <v>0</v>
      </c>
      <c r="BI65" s="2124"/>
      <c r="BJ65" s="2124"/>
      <c r="BK65" s="2122">
        <f t="shared" si="222"/>
        <v>0</v>
      </c>
      <c r="BL65" s="2122">
        <f t="shared" si="222"/>
        <v>0</v>
      </c>
      <c r="BM65" s="2122">
        <f>SUM(BM68:BM97)</f>
        <v>0</v>
      </c>
      <c r="BN65" s="2122">
        <f t="shared" si="222"/>
        <v>0</v>
      </c>
      <c r="BO65" s="2122">
        <f t="shared" si="222"/>
        <v>0</v>
      </c>
      <c r="BP65" s="2122">
        <f t="shared" si="222"/>
        <v>0</v>
      </c>
      <c r="BQ65" s="2122">
        <f t="shared" si="222"/>
        <v>0</v>
      </c>
      <c r="BR65" s="2122">
        <f t="shared" si="222"/>
        <v>0</v>
      </c>
      <c r="BS65" s="2125"/>
    </row>
    <row r="66" spans="17:71" ht="18" customHeight="1" thickBot="1">
      <c r="AP66" s="2117">
        <f>AP58+AP65</f>
        <v>0</v>
      </c>
      <c r="AQ66" s="2117">
        <f>AQ58+AQ65</f>
        <v>0</v>
      </c>
      <c r="AR66" s="2117">
        <f t="shared" ref="AR66:AT66" si="223">AR58+AR65</f>
        <v>0</v>
      </c>
      <c r="AS66" s="2117">
        <f t="shared" si="223"/>
        <v>0</v>
      </c>
      <c r="AT66" s="2117">
        <f t="shared" si="223"/>
        <v>0</v>
      </c>
      <c r="AU66" s="2117">
        <f>AU58+AU65</f>
        <v>0</v>
      </c>
      <c r="AV66" s="2126">
        <f t="shared" ref="AV66:AX66" si="224">AV58+AV65</f>
        <v>0</v>
      </c>
      <c r="AW66" s="2117">
        <f t="shared" si="224"/>
        <v>0</v>
      </c>
      <c r="AX66" s="2126">
        <f t="shared" si="224"/>
        <v>0</v>
      </c>
      <c r="AY66" s="2121"/>
      <c r="AZ66" s="2121"/>
      <c r="BA66" s="2117"/>
      <c r="BB66" s="2117"/>
      <c r="BC66" s="2117"/>
      <c r="BD66" s="2117"/>
      <c r="BE66" s="2117"/>
      <c r="BF66" s="2117"/>
      <c r="BG66" s="2117"/>
      <c r="BH66" s="2117"/>
      <c r="BI66" s="2127"/>
      <c r="BJ66" s="2121"/>
      <c r="BK66" s="2117"/>
      <c r="BL66" s="2117"/>
      <c r="BM66" s="2117"/>
      <c r="BN66" s="2117"/>
      <c r="BO66" s="2117"/>
      <c r="BP66" s="2117"/>
      <c r="BQ66" s="2117"/>
      <c r="BR66" s="2117"/>
      <c r="BS66" s="2120"/>
    </row>
    <row r="67" spans="17:71" ht="18" customHeight="1">
      <c r="AP67" s="2111" t="s">
        <v>1043</v>
      </c>
      <c r="AV67" s="2128"/>
      <c r="BA67" s="2111" t="s">
        <v>1043</v>
      </c>
      <c r="BK67" s="2111" t="s">
        <v>1043</v>
      </c>
    </row>
    <row r="68" spans="17:71">
      <c r="AO68" s="2129" t="s">
        <v>927</v>
      </c>
      <c r="AP68" s="1860">
        <f>IF(AND(OR(S_1!$C$13="Nutzungsintensität u Düngung erhöhen",S_1!$C$13="Nutzungsintensität u Düngung reduzieren",S_1!$C$13="Schnittzahl reduzieren",S_1!$C$14="Nutzungsintensität u Düngung erhöhen",S_1!$C$14="Nutzungsintensität u Düngung reduzieren",S_1!$C$14="Schnittzahl reduzieren",S_1!$C$15="Nutzungsintensität u Düngung erhöhen",S_1!$C$15="Nutzungsintensität u Düngung reduzieren",S_1!$C$15="Schnittzahl reduzieren"),S_1!$G$8="JA"),S_1!AE$13,0)</f>
        <v>0</v>
      </c>
      <c r="AQ68" s="1860">
        <f>IF(AND(OR(S_1!$C$13="Nutzungsintensität u Düngung erhöhen",S_1!$C$13="Nutzungsintensität u Düngung reduzieren",S_1!$C$13="Schnittzahl reduzieren",S_1!$C$14="Nutzungsintensität u Düngung erhöhen",S_1!$C$14="Nutzungsintensität u Düngung reduzieren",S_1!$C$14="Schnittzahl reduzieren",S_1!$C$15="Nutzungsintensität u Düngung erhöhen",S_1!$C$15="Nutzungsintensität u Düngung reduzieren",S_1!$C$15="Schnittzahl reduzieren"),S_1!$G$8="JA"),S_1!AF$13,0)</f>
        <v>0</v>
      </c>
      <c r="AR68" s="1860">
        <f>IF(AND(OR(S_1!$C$13="Nutzungsintensität u Düngung erhöhen",S_1!$C$13="Nutzungsintensität u Düngung reduzieren",S_1!$C$13="Schnittzahl reduzieren",S_1!$C$14="Nutzungsintensität u Düngung erhöhen",S_1!$C$14="Nutzungsintensität u Düngung reduzieren",S_1!$C$14="Schnittzahl reduzieren",S_1!$C$15="Nutzungsintensität u Düngung erhöhen",S_1!$C$15="Nutzungsintensität u Düngung reduzieren",S_1!$C$15="Schnittzahl reduzieren"),S_1!$G$8="JA"),S_1!AG$13,0)</f>
        <v>0</v>
      </c>
      <c r="AS68" s="1860">
        <f>IF(AND(OR(S_1!$C$13="Nutzungsintensität u Düngung erhöhen",S_1!$C$13="Nutzungsintensität u Düngung reduzieren",S_1!$C$13="Schnittzahl reduzieren",S_1!$C$14="Nutzungsintensität u Düngung erhöhen",S_1!$C$14="Nutzungsintensität u Düngung reduzieren",S_1!$C$14="Schnittzahl reduzieren",S_1!$C$15="Nutzungsintensität u Düngung erhöhen",S_1!$C$15="Nutzungsintensität u Düngung reduzieren",S_1!$C$15="Schnittzahl reduzieren"),S_1!$G$8="JA"),S_1!AH$13,0)</f>
        <v>0</v>
      </c>
      <c r="AT68" s="1860">
        <f>IF(AND(OR(S_1!$C$13="Nutzungsintensität u Düngung erhöhen",S_1!$C$13="Nutzungsintensität u Düngung reduzieren",S_1!$C$13="Schnittzahl reduzieren",S_1!$C$14="Nutzungsintensität u Düngung erhöhen",S_1!$C$14="Nutzungsintensität u Düngung reduzieren",S_1!$C$14="Schnittzahl reduzieren",S_1!$C$15="Nutzungsintensität u Düngung erhöhen",S_1!$C$15="Nutzungsintensität u Düngung reduzieren",S_1!$C$15="Schnittzahl reduzieren"),S_1!$G$8="JA"),S_1!AI$13,0)</f>
        <v>0</v>
      </c>
      <c r="AU68" s="1860">
        <f>IF(AND(OR(S_1!$C$13="Nutzungsintensität u Düngung erhöhen",S_1!$C$13="Nutzungsintensität u Düngung reduzieren",S_1!$C$13="Schnittzahl reduzieren",S_1!$C$14="Nutzungsintensität u Düngung erhöhen",S_1!$C$14="Nutzungsintensität u Düngung reduzieren",S_1!$C$14="Schnittzahl reduzieren",S_1!$C$15="Nutzungsintensität u Düngung erhöhen",S_1!$C$15="Nutzungsintensität u Düngung reduzieren",S_1!$C$15="Schnittzahl reduzieren"),S_1!$G$8="JA"),S_1!AJ$13,0)</f>
        <v>0</v>
      </c>
      <c r="AV68" s="1860"/>
      <c r="AW68" s="1860">
        <f>BH68+BR68</f>
        <v>0</v>
      </c>
      <c r="AX68" s="2116">
        <f>IF(AND(OR(S_1!$C$13="Nutzungsintensität u Düngung erhöhen",S_1!$C$13="Nutzungsintensität u Düngung reduzieren",S_1!$C$13="Schnittzahl reduzieren",S_1!$C$14="Nutzungsintensität u Düngung erhöhen",S_1!$C$14="Nutzungsintensität u Düngung reduzieren",S_1!$C$14="Schnittzahl reduzieren",S_1!$C$15="Nutzungsintensität u Düngung erhöhen",S_1!$C$15="Nutzungsintensität u Düngung reduzieren",S_1!$C$15="Schnittzahl reduzieren"),S_1!$G$8="JA"),S_1!AM$13,0)</f>
        <v>0</v>
      </c>
      <c r="BA68" s="1860" t="str">
        <f t="shared" ref="BA68:BF68" si="225">IF(AP68=BA101,"",BA101)</f>
        <v/>
      </c>
      <c r="BB68" s="1860" t="str">
        <f t="shared" si="225"/>
        <v/>
      </c>
      <c r="BC68" s="1860" t="str">
        <f t="shared" si="225"/>
        <v/>
      </c>
      <c r="BD68" s="1860" t="str">
        <f t="shared" si="225"/>
        <v/>
      </c>
      <c r="BE68" s="1860" t="str">
        <f t="shared" si="225"/>
        <v/>
      </c>
      <c r="BF68" s="1860" t="str">
        <f t="shared" si="225"/>
        <v/>
      </c>
      <c r="BG68" s="1860"/>
      <c r="BH68" s="1860">
        <f>IF(AND(OR(S_1!$C$13="Dauerweidenutzung beenden",S_1!$C$14="Dauerweidenutzung beenden",S_1!$C$15="Dauerweidenutzung beenden"),S_1!$G$8="JA"),S_1!AL$13,0)</f>
        <v>0</v>
      </c>
      <c r="BI68" s="1865"/>
      <c r="BK68" s="1860" t="str">
        <f t="shared" ref="BK68:BP68" si="226">IF(BK101=0,"",BK101)</f>
        <v/>
      </c>
      <c r="BL68" s="1860" t="str">
        <f t="shared" si="226"/>
        <v/>
      </c>
      <c r="BM68" s="1860" t="str">
        <f t="shared" si="226"/>
        <v/>
      </c>
      <c r="BN68" s="1860" t="str">
        <f t="shared" si="226"/>
        <v/>
      </c>
      <c r="BO68" s="1860" t="str">
        <f t="shared" si="226"/>
        <v/>
      </c>
      <c r="BP68" s="1860" t="str">
        <f t="shared" si="226"/>
        <v/>
      </c>
      <c r="BQ68" s="1860"/>
      <c r="BR68" s="1860">
        <f>IF(AND(OR(S_1!$C$13="als Dauerweide führen",S_1!$C$14="als Dauerweide führen",S_1!$C$15="als Dauerweide führen"),S_1!$G$8="JA"),S_1!AM$13,0)</f>
        <v>0</v>
      </c>
      <c r="BS68" s="1865"/>
    </row>
    <row r="69" spans="17:71">
      <c r="AO69" s="2129" t="s">
        <v>928</v>
      </c>
      <c r="AP69" s="1860">
        <f>IF(AND(OR(S_2!$C$13="Nutzungsintensität u Düngung erhöhen",S_2!$C$13="Nutzungsintensität u Düngung reduzieren",S_2!$C$13="Schnittzahl reduzieren",S_2!$C$14="Nutzungsintensität u Düngung erhöhen",S_2!$C$14="Nutzungsintensität u Düngung reduzieren",S_2!$C$14="Schnittzahl reduzieren",S_2!$C$15="Nutzungsintensität u Düngung erhöhen",S_2!$C$15="Nutzungsintensität u Düngung reduzieren",S_2!$C$15="Schnittzahl reduzieren"),S_2!$G$8="JA"),S_2!AE$13,0)</f>
        <v>0</v>
      </c>
      <c r="AQ69" s="1860">
        <f>IF(AND(OR(S_2!$C$13="Nutzungsintensität u Düngung erhöhen",S_2!$C$13="Nutzungsintensität u Düngung reduzieren",S_2!$C$13="Schnittzahl reduzieren",S_2!$C$14="Nutzungsintensität u Düngung erhöhen",S_2!$C$14="Nutzungsintensität u Düngung reduzieren",S_2!$C$14="Schnittzahl reduzieren",S_2!$C$15="Nutzungsintensität u Düngung erhöhen",S_2!$C$15="Nutzungsintensität u Düngung reduzieren",S_2!$C$15="Schnittzahl reduzieren"),S_2!$G$8="JA"),S_2!AF$13,0)</f>
        <v>0</v>
      </c>
      <c r="AR69" s="1860">
        <f>IF(AND(OR(S_2!$C$13="Nutzungsintensität u Düngung erhöhen",S_2!$C$13="Nutzungsintensität u Düngung reduzieren",S_2!$C$13="Schnittzahl reduzieren",S_2!$C$14="Nutzungsintensität u Düngung erhöhen",S_2!$C$14="Nutzungsintensität u Düngung reduzieren",S_2!$C$14="Schnittzahl reduzieren",S_2!$C$15="Nutzungsintensität u Düngung erhöhen",S_2!$C$15="Nutzungsintensität u Düngung reduzieren",S_2!$C$15="Schnittzahl reduzieren"),S_2!$G$8="JA"),S_2!AG$13,0)</f>
        <v>0</v>
      </c>
      <c r="AS69" s="1860">
        <f>IF(AND(OR(S_2!$C$13="Nutzungsintensität u Düngung erhöhen",S_2!$C$13="Nutzungsintensität u Düngung reduzieren",S_2!$C$13="Schnittzahl reduzieren",S_2!$C$14="Nutzungsintensität u Düngung erhöhen",S_2!$C$14="Nutzungsintensität u Düngung reduzieren",S_2!$C$14="Schnittzahl reduzieren",S_2!$C$15="Nutzungsintensität u Düngung erhöhen",S_2!$C$15="Nutzungsintensität u Düngung reduzieren",S_2!$C$15="Schnittzahl reduzieren"),S_2!$G$8="JA"),S_2!AH$13,0)</f>
        <v>0</v>
      </c>
      <c r="AT69" s="1860">
        <f>IF(AND(OR(S_2!$C$13="Nutzungsintensität u Düngung erhöhen",S_2!$C$13="Nutzungsintensität u Düngung reduzieren",S_2!$C$13="Schnittzahl reduzieren",S_2!$C$14="Nutzungsintensität u Düngung erhöhen",S_2!$C$14="Nutzungsintensität u Düngung reduzieren",S_2!$C$14="Schnittzahl reduzieren",S_2!$C$15="Nutzungsintensität u Düngung erhöhen",S_2!$C$15="Nutzungsintensität u Düngung reduzieren",S_2!$C$15="Schnittzahl reduzieren"),S_2!$G$8="JA"),S_2!AI$13,0)</f>
        <v>0</v>
      </c>
      <c r="AU69" s="1860">
        <f>IF(AND(OR(S_2!$C$13="Nutzungsintensität u Düngung erhöhen",S_2!$C$13="Nutzungsintensität u Düngung reduzieren",S_2!$C$13="Schnittzahl reduzieren",S_2!$C$14="Nutzungsintensität u Düngung erhöhen",S_2!$C$14="Nutzungsintensität u Düngung reduzieren",S_2!$C$14="Schnittzahl reduzieren",S_2!$C$15="Nutzungsintensität u Düngung erhöhen",S_2!$C$15="Nutzungsintensität u Düngung reduzieren",S_2!$C$15="Schnittzahl reduzieren"),S_2!$G$8="JA"),S_2!AJ$13,0)</f>
        <v>0</v>
      </c>
      <c r="AV69" s="1860"/>
      <c r="AW69" s="1860">
        <f t="shared" ref="AW69:AW97" si="227">BH69+BR69</f>
        <v>0</v>
      </c>
      <c r="AX69" s="2116">
        <f>IF(AND(OR(S_2!$C$13="Nutzungsintensität u Düngung erhöhen",S_2!$C$13="Nutzungsintensität u Düngung reduzieren",S_2!$C$13="Schnittzahl reduzieren",S_2!$C$14="Nutzungsintensität u Düngung erhöhen",S_2!$C$14="Nutzungsintensität u Düngung reduzieren",S_2!$C$14="Schnittzahl reduzieren",S_2!$C$15="Nutzungsintensität u Düngung erhöhen",S_2!$C$15="Nutzungsintensität u Düngung reduzieren",S_2!$C$15="Schnittzahl reduzieren"),S_2!$G$8="JA"),S_2!AM$13,0)</f>
        <v>0</v>
      </c>
      <c r="BA69" s="1860" t="str">
        <f t="shared" ref="BA69:BA97" si="228">IF(AP69=BA102,"",BA102)</f>
        <v/>
      </c>
      <c r="BB69" s="1860" t="str">
        <f t="shared" ref="BB69:BB97" si="229">IF(AQ69=BB102,"",BB102)</f>
        <v/>
      </c>
      <c r="BC69" s="1860" t="str">
        <f t="shared" ref="BC69:BC97" si="230">IF(AR69=BC102,"",BC102)</f>
        <v/>
      </c>
      <c r="BD69" s="1860" t="str">
        <f t="shared" ref="BD69:BD97" si="231">IF(AS69=BD102,"",BD102)</f>
        <v/>
      </c>
      <c r="BE69" s="1860" t="str">
        <f t="shared" ref="BE69:BE97" si="232">IF(AT69=BE102,"",BE102)</f>
        <v/>
      </c>
      <c r="BF69" s="1860" t="str">
        <f t="shared" ref="BF69:BF97" si="233">IF(AU69=BF102,"",BF102)</f>
        <v/>
      </c>
      <c r="BG69" s="1860"/>
      <c r="BH69" s="1860">
        <f>IF(AND(OR(S_2!$C$13="Dauerweidenutzung beenden",S_2!$C$14="Dauerweidenutzung beenden",S_2!$C$15="Dauerweidenutzung beenden"),S_2!$G$8="JA"),S_2!AL$13,0)</f>
        <v>0</v>
      </c>
      <c r="BI69" s="1865"/>
      <c r="BK69" s="1860" t="str">
        <f t="shared" ref="BK69:BL97" si="234">IF(BK102=0,"",BK102)</f>
        <v/>
      </c>
      <c r="BL69" s="1860" t="str">
        <f t="shared" si="234"/>
        <v/>
      </c>
      <c r="BM69" s="1860" t="str">
        <f t="shared" ref="BM69:BP97" si="235">IF(BM102=0,"",BM102)</f>
        <v/>
      </c>
      <c r="BN69" s="1860" t="str">
        <f t="shared" si="235"/>
        <v/>
      </c>
      <c r="BO69" s="1860" t="str">
        <f t="shared" si="235"/>
        <v/>
      </c>
      <c r="BP69" s="1860" t="str">
        <f t="shared" si="235"/>
        <v/>
      </c>
      <c r="BQ69" s="1860"/>
      <c r="BR69" s="1860">
        <f>IF(AND(OR(S_2!$C$13="als Dauerweide führen",S_2!$C$14="als Dauerweide führen",S_2!$C$15="als Dauerweide führen"),S_2!$G$8="JA"),S_2!AM$13,0)</f>
        <v>0</v>
      </c>
      <c r="BS69" s="1865"/>
    </row>
    <row r="70" spans="17:71">
      <c r="AO70" s="2129" t="s">
        <v>929</v>
      </c>
      <c r="AP70" s="1860">
        <f>IF(AND(OR(S_3!$C$13="Nutzungsintensität u Düngung erhöhen",S_3!$C$13="Nutzungsintensität u Düngung reduzieren",S_3!$C$13="Schnittzahl reduzieren",S_3!$C$14="Nutzungsintensität u Düngung erhöhen",S_3!$C$14="Nutzungsintensität u Düngung reduzieren",S_3!$C$14="Schnittzahl reduzieren",S_3!$C$15="Nutzungsintensität u Düngung erhöhen",S_3!$C$15="Nutzungsintensität u Düngung reduzieren",S_3!$C$15="Schnittzahl reduzieren"),S_3!$G$8="JA"),S_3!AE$13,0)</f>
        <v>0</v>
      </c>
      <c r="AQ70" s="1860">
        <f>IF(AND(OR(S_3!$C$13="Nutzungsintensität u Düngung erhöhen",S_3!$C$13="Nutzungsintensität u Düngung reduzieren",S_3!$C$13="Schnittzahl reduzieren",S_3!$C$14="Nutzungsintensität u Düngung erhöhen",S_3!$C$14="Nutzungsintensität u Düngung reduzieren",S_3!$C$14="Schnittzahl reduzieren",S_3!$C$15="Nutzungsintensität u Düngung erhöhen",S_3!$C$15="Nutzungsintensität u Düngung reduzieren",S_3!$C$15="Schnittzahl reduzieren"),S_3!$G$8="JA"),S_3!AF$13,0)</f>
        <v>0</v>
      </c>
      <c r="AR70" s="1860">
        <f>IF(AND(OR(S_3!$C$13="Nutzungsintensität u Düngung erhöhen",S_3!$C$13="Nutzungsintensität u Düngung reduzieren",S_3!$C$13="Schnittzahl reduzieren",S_3!$C$14="Nutzungsintensität u Düngung erhöhen",S_3!$C$14="Nutzungsintensität u Düngung reduzieren",S_3!$C$14="Schnittzahl reduzieren",S_3!$C$15="Nutzungsintensität u Düngung erhöhen",S_3!$C$15="Nutzungsintensität u Düngung reduzieren",S_3!$C$15="Schnittzahl reduzieren"),S_3!$G$8="JA"),S_3!AG$13,0)</f>
        <v>0</v>
      </c>
      <c r="AS70" s="1860">
        <f>IF(AND(OR(S_3!$C$13="Nutzungsintensität u Düngung erhöhen",S_3!$C$13="Nutzungsintensität u Düngung reduzieren",S_3!$C$13="Schnittzahl reduzieren",S_3!$C$14="Nutzungsintensität u Düngung erhöhen",S_3!$C$14="Nutzungsintensität u Düngung reduzieren",S_3!$C$14="Schnittzahl reduzieren",S_3!$C$15="Nutzungsintensität u Düngung erhöhen",S_3!$C$15="Nutzungsintensität u Düngung reduzieren",S_3!$C$15="Schnittzahl reduzieren"),S_3!$G$8="JA"),S_3!AH$13,0)</f>
        <v>0</v>
      </c>
      <c r="AT70" s="1860">
        <f>IF(AND(OR(S_3!$C$13="Nutzungsintensität u Düngung erhöhen",S_3!$C$13="Nutzungsintensität u Düngung reduzieren",S_3!$C$13="Schnittzahl reduzieren",S_3!$C$14="Nutzungsintensität u Düngung erhöhen",S_3!$C$14="Nutzungsintensität u Düngung reduzieren",S_3!$C$14="Schnittzahl reduzieren",S_3!$C$15="Nutzungsintensität u Düngung erhöhen",S_3!$C$15="Nutzungsintensität u Düngung reduzieren",S_3!$C$15="Schnittzahl reduzieren"),S_3!$G$8="JA"),S_3!AI$13,0)</f>
        <v>0</v>
      </c>
      <c r="AU70" s="1860">
        <f>IF(AND(OR(S_3!$C$13="Nutzungsintensität u Düngung erhöhen",S_3!$C$13="Nutzungsintensität u Düngung reduzieren",S_3!$C$13="Schnittzahl reduzieren",S_3!$C$14="Nutzungsintensität u Düngung erhöhen",S_3!$C$14="Nutzungsintensität u Düngung reduzieren",S_3!$C$14="Schnittzahl reduzieren",S_3!$C$15="Nutzungsintensität u Düngung erhöhen",S_3!$C$15="Nutzungsintensität u Düngung reduzieren",S_3!$C$15="Schnittzahl reduzieren"),S_3!$G$8="JA"),S_3!AJ$13,0)</f>
        <v>0</v>
      </c>
      <c r="AV70" s="1860"/>
      <c r="AW70" s="1860">
        <f t="shared" si="227"/>
        <v>0</v>
      </c>
      <c r="AX70" s="2116">
        <f>IF(AND(OR(S_3!$C$13="Nutzungsintensität u Düngung erhöhen",S_3!$C$13="Nutzungsintensität u Düngung reduzieren",S_3!$C$13="Schnittzahl reduzieren",S_3!$C$14="Nutzungsintensität u Düngung erhöhen",S_3!$C$14="Nutzungsintensität u Düngung reduzieren",S_3!$C$14="Schnittzahl reduzieren",S_3!$C$15="Nutzungsintensität u Düngung erhöhen",S_3!$C$15="Nutzungsintensität u Düngung reduzieren",S_3!$C$15="Schnittzahl reduzieren"),S_3!$G$8="JA"),S_3!AM$13,0)</f>
        <v>0</v>
      </c>
      <c r="BA70" s="1860" t="str">
        <f t="shared" si="228"/>
        <v/>
      </c>
      <c r="BB70" s="1860" t="str">
        <f t="shared" si="229"/>
        <v/>
      </c>
      <c r="BC70" s="1860" t="str">
        <f t="shared" si="230"/>
        <v/>
      </c>
      <c r="BD70" s="1860" t="str">
        <f t="shared" si="231"/>
        <v/>
      </c>
      <c r="BE70" s="1860" t="str">
        <f t="shared" si="232"/>
        <v/>
      </c>
      <c r="BF70" s="1860" t="str">
        <f t="shared" si="233"/>
        <v/>
      </c>
      <c r="BG70" s="1860"/>
      <c r="BH70" s="1860">
        <f>IF(AND(OR(S_3!$C$13="Dauerweidenutzung beenden",S_3!$C$14="Dauerweidenutzung beenden",S_3!$C$15="Dauerweidenutzung beenden"),S_3!$G$8="JA"),S_3!AL$13,0)</f>
        <v>0</v>
      </c>
      <c r="BI70" s="1865"/>
      <c r="BK70" s="1860" t="str">
        <f t="shared" si="234"/>
        <v/>
      </c>
      <c r="BL70" s="1860" t="str">
        <f t="shared" si="234"/>
        <v/>
      </c>
      <c r="BM70" s="1860" t="str">
        <f t="shared" si="235"/>
        <v/>
      </c>
      <c r="BN70" s="1860" t="str">
        <f t="shared" si="235"/>
        <v/>
      </c>
      <c r="BO70" s="1860" t="str">
        <f t="shared" si="235"/>
        <v/>
      </c>
      <c r="BP70" s="1860" t="str">
        <f t="shared" si="235"/>
        <v/>
      </c>
      <c r="BQ70" s="1860"/>
      <c r="BR70" s="1860">
        <f>IF(AND(OR(S_3!$C$13="als Dauerweide führen",S_3!$C$14="als Dauerweide führen",S_3!$C$15="als Dauerweide führen"),S_3!$G$8="JA"),S_3!AM$13,0)</f>
        <v>0</v>
      </c>
      <c r="BS70" s="1865"/>
    </row>
    <row r="71" spans="17:71">
      <c r="U71" s="1921"/>
      <c r="V71" s="1921"/>
      <c r="AO71" s="2129" t="s">
        <v>930</v>
      </c>
      <c r="AP71" s="1860">
        <f>IF(AND(OR(S_4!$C$13="Nutzungsintensität u Düngung erhöhen",S_4!$C$13="Nutzungsintensität u Düngung reduzieren",S_4!$C$13="Schnittzahl reduzieren",S_4!$C$14="Nutzungsintensität u Düngung erhöhen",S_4!$C$14="Nutzungsintensität u Düngung reduzieren",S_4!$C$14="Schnittzahl reduzieren",S_4!$C$15="Nutzungsintensität u Düngung erhöhen",S_4!$C$15="Nutzungsintensität u Düngung reduzieren",S_4!$C$15="Schnittzahl reduzieren"),S_4!$G$8="JA"),S_4!AE$13,0)</f>
        <v>0</v>
      </c>
      <c r="AQ71" s="1860">
        <f>IF(AND(OR(S_4!$C$13="Nutzungsintensität u Düngung erhöhen",S_4!$C$13="Nutzungsintensität u Düngung reduzieren",S_4!$C$13="Schnittzahl reduzieren",S_4!$C$14="Nutzungsintensität u Düngung erhöhen",S_4!$C$14="Nutzungsintensität u Düngung reduzieren",S_4!$C$14="Schnittzahl reduzieren",S_4!$C$15="Nutzungsintensität u Düngung erhöhen",S_4!$C$15="Nutzungsintensität u Düngung reduzieren",S_4!$C$15="Schnittzahl reduzieren"),S_4!$G$8="JA"),S_4!AF$13,0)</f>
        <v>0</v>
      </c>
      <c r="AR71" s="1860">
        <f>IF(AND(OR(S_4!$C$13="Nutzungsintensität u Düngung erhöhen",S_4!$C$13="Nutzungsintensität u Düngung reduzieren",S_4!$C$13="Schnittzahl reduzieren",S_4!$C$14="Nutzungsintensität u Düngung erhöhen",S_4!$C$14="Nutzungsintensität u Düngung reduzieren",S_4!$C$14="Schnittzahl reduzieren",S_4!$C$15="Nutzungsintensität u Düngung erhöhen",S_4!$C$15="Nutzungsintensität u Düngung reduzieren",S_4!$C$15="Schnittzahl reduzieren"),S_4!$G$8="JA"),S_4!AG$13,0)</f>
        <v>0</v>
      </c>
      <c r="AS71" s="1860">
        <f>IF(AND(OR(S_4!$C$13="Nutzungsintensität u Düngung erhöhen",S_4!$C$13="Nutzungsintensität u Düngung reduzieren",S_4!$C$13="Schnittzahl reduzieren",S_4!$C$14="Nutzungsintensität u Düngung erhöhen",S_4!$C$14="Nutzungsintensität u Düngung reduzieren",S_4!$C$14="Schnittzahl reduzieren",S_4!$C$15="Nutzungsintensität u Düngung erhöhen",S_4!$C$15="Nutzungsintensität u Düngung reduzieren",S_4!$C$15="Schnittzahl reduzieren"),S_4!$G$8="JA"),S_4!AH$13,0)</f>
        <v>0</v>
      </c>
      <c r="AT71" s="1860">
        <f>IF(AND(OR(S_4!$C$13="Nutzungsintensität u Düngung erhöhen",S_4!$C$13="Nutzungsintensität u Düngung reduzieren",S_4!$C$13="Schnittzahl reduzieren",S_4!$C$14="Nutzungsintensität u Düngung erhöhen",S_4!$C$14="Nutzungsintensität u Düngung reduzieren",S_4!$C$14="Schnittzahl reduzieren",S_4!$C$15="Nutzungsintensität u Düngung erhöhen",S_4!$C$15="Nutzungsintensität u Düngung reduzieren",S_4!$C$15="Schnittzahl reduzieren"),S_4!$G$8="JA"),S_4!AI$13,0)</f>
        <v>0</v>
      </c>
      <c r="AU71" s="1860">
        <f>IF(AND(OR(S_4!$C$13="Nutzungsintensität u Düngung erhöhen",S_4!$C$13="Nutzungsintensität u Düngung reduzieren",S_4!$C$13="Schnittzahl reduzieren",S_4!$C$14="Nutzungsintensität u Düngung erhöhen",S_4!$C$14="Nutzungsintensität u Düngung reduzieren",S_4!$C$14="Schnittzahl reduzieren",S_4!$C$15="Nutzungsintensität u Düngung erhöhen",S_4!$C$15="Nutzungsintensität u Düngung reduzieren",S_4!$C$15="Schnittzahl reduzieren"),S_4!$G$8="JA"),S_4!AJ$13,0)</f>
        <v>0</v>
      </c>
      <c r="AV71" s="1860"/>
      <c r="AW71" s="1860">
        <f t="shared" si="227"/>
        <v>0</v>
      </c>
      <c r="AX71" s="2116">
        <f>IF(AND(OR(S_4!$C$13="Nutzungsintensität u Düngung erhöhen",S_4!$C$13="Nutzungsintensität u Düngung reduzieren",S_4!$C$13="Schnittzahl reduzieren",S_4!$C$14="Nutzungsintensität u Düngung erhöhen",S_4!$C$14="Nutzungsintensität u Düngung reduzieren",S_4!$C$14="Schnittzahl reduzieren",S_4!$C$15="Nutzungsintensität u Düngung erhöhen",S_4!$C$15="Nutzungsintensität u Düngung reduzieren",S_4!$C$15="Schnittzahl reduzieren"),S_4!$G$8="JA"),S_4!AM$13,0)</f>
        <v>0</v>
      </c>
      <c r="BA71" s="1860" t="str">
        <f t="shared" si="228"/>
        <v/>
      </c>
      <c r="BB71" s="1860" t="str">
        <f t="shared" si="229"/>
        <v/>
      </c>
      <c r="BC71" s="1860" t="str">
        <f t="shared" si="230"/>
        <v/>
      </c>
      <c r="BD71" s="1860" t="str">
        <f t="shared" si="231"/>
        <v/>
      </c>
      <c r="BE71" s="1860" t="str">
        <f t="shared" si="232"/>
        <v/>
      </c>
      <c r="BF71" s="1860" t="str">
        <f t="shared" si="233"/>
        <v/>
      </c>
      <c r="BG71" s="1860"/>
      <c r="BH71" s="1860">
        <f>IF(AND(OR(S_4!$C$13="Dauerweidenutzung beenden",S_4!$C$14="Dauerweidenutzung beenden",S_4!$C$15="Dauerweidenutzung beenden"),S_4!$G$8="JA"),S_4!AL$13,0)</f>
        <v>0</v>
      </c>
      <c r="BI71" s="1865"/>
      <c r="BK71" s="1860" t="str">
        <f t="shared" si="234"/>
        <v/>
      </c>
      <c r="BL71" s="1860" t="str">
        <f t="shared" si="234"/>
        <v/>
      </c>
      <c r="BM71" s="1860" t="str">
        <f t="shared" si="235"/>
        <v/>
      </c>
      <c r="BN71" s="1860" t="str">
        <f t="shared" si="235"/>
        <v/>
      </c>
      <c r="BO71" s="1860" t="str">
        <f t="shared" si="235"/>
        <v/>
      </c>
      <c r="BP71" s="1860" t="str">
        <f t="shared" si="235"/>
        <v/>
      </c>
      <c r="BQ71" s="1860"/>
      <c r="BR71" s="1860">
        <f>IF(AND(OR(S_4!$C$13="als Dauerweide führen",S_4!$C$14="als Dauerweide führen",S_4!$C$15="als Dauerweide führen"),S_4!$G$8="JA"),S_4!AM$13,0)</f>
        <v>0</v>
      </c>
      <c r="BS71" s="1865"/>
    </row>
    <row r="72" spans="17:71">
      <c r="Q72" s="10"/>
      <c r="R72" s="10"/>
      <c r="S72" s="10"/>
      <c r="T72" s="10"/>
      <c r="U72" s="10"/>
      <c r="V72" s="10"/>
      <c r="AO72" s="2129" t="s">
        <v>931</v>
      </c>
      <c r="AP72" s="1860">
        <f>IF(AND(OR(S_5!$C$13="Nutzungsintensität u Düngung erhöhen",S_5!$C$13="Nutzungsintensität u Düngung reduzieren",S_5!$C$13="Schnittzahl reduzieren",S_5!$C$14="Nutzungsintensität u Düngung erhöhen",S_5!$C$14="Nutzungsintensität u Düngung reduzieren",S_5!$C$14="Schnittzahl reduzieren",S_5!$C$15="Nutzungsintensität u Düngung erhöhen",S_5!$C$15="Nutzungsintensität u Düngung reduzieren",S_5!$C$15="Schnittzahl reduzieren"),S_5!$G$8="JA"),S_5!AE$13,0)</f>
        <v>0</v>
      </c>
      <c r="AQ72" s="1860">
        <f>IF(AND(OR(S_5!$C$13="Nutzungsintensität u Düngung erhöhen",S_5!$C$13="Nutzungsintensität u Düngung reduzieren",S_5!$C$13="Schnittzahl reduzieren",S_5!$C$14="Nutzungsintensität u Düngung erhöhen",S_5!$C$14="Nutzungsintensität u Düngung reduzieren",S_5!$C$14="Schnittzahl reduzieren",S_5!$C$15="Nutzungsintensität u Düngung erhöhen",S_5!$C$15="Nutzungsintensität u Düngung reduzieren",S_5!$C$15="Schnittzahl reduzieren"),S_5!$G$8="JA"),S_5!AF$13,0)</f>
        <v>0</v>
      </c>
      <c r="AR72" s="1860">
        <f>IF(AND(OR(S_5!$C$13="Nutzungsintensität u Düngung erhöhen",S_5!$C$13="Nutzungsintensität u Düngung reduzieren",S_5!$C$13="Schnittzahl reduzieren",S_5!$C$14="Nutzungsintensität u Düngung erhöhen",S_5!$C$14="Nutzungsintensität u Düngung reduzieren",S_5!$C$14="Schnittzahl reduzieren",S_5!$C$15="Nutzungsintensität u Düngung erhöhen",S_5!$C$15="Nutzungsintensität u Düngung reduzieren",S_5!$C$15="Schnittzahl reduzieren"),S_5!$G$8="JA"),S_5!AG$13,0)</f>
        <v>0</v>
      </c>
      <c r="AS72" s="1860">
        <f>IF(AND(OR(S_5!$C$13="Nutzungsintensität u Düngung erhöhen",S_5!$C$13="Nutzungsintensität u Düngung reduzieren",S_5!$C$13="Schnittzahl reduzieren",S_5!$C$14="Nutzungsintensität u Düngung erhöhen",S_5!$C$14="Nutzungsintensität u Düngung reduzieren",S_5!$C$14="Schnittzahl reduzieren",S_5!$C$15="Nutzungsintensität u Düngung erhöhen",S_5!$C$15="Nutzungsintensität u Düngung reduzieren",S_5!$C$15="Schnittzahl reduzieren"),S_5!$G$8="JA"),S_5!AH$13,0)</f>
        <v>0</v>
      </c>
      <c r="AT72" s="1860">
        <f>IF(AND(OR(S_5!$C$13="Nutzungsintensität u Düngung erhöhen",S_5!$C$13="Nutzungsintensität u Düngung reduzieren",S_5!$C$13="Schnittzahl reduzieren",S_5!$C$14="Nutzungsintensität u Düngung erhöhen",S_5!$C$14="Nutzungsintensität u Düngung reduzieren",S_5!$C$14="Schnittzahl reduzieren",S_5!$C$15="Nutzungsintensität u Düngung erhöhen",S_5!$C$15="Nutzungsintensität u Düngung reduzieren",S_5!$C$15="Schnittzahl reduzieren"),S_5!$G$8="JA"),S_5!AI$13,0)</f>
        <v>0</v>
      </c>
      <c r="AU72" s="1860">
        <f>IF(AND(OR(S_5!$C$13="Nutzungsintensität u Düngung erhöhen",S_5!$C$13="Nutzungsintensität u Düngung reduzieren",S_5!$C$13="Schnittzahl reduzieren",S_5!$C$14="Nutzungsintensität u Düngung erhöhen",S_5!$C$14="Nutzungsintensität u Düngung reduzieren",S_5!$C$14="Schnittzahl reduzieren",S_5!$C$15="Nutzungsintensität u Düngung erhöhen",S_5!$C$15="Nutzungsintensität u Düngung reduzieren",S_5!$C$15="Schnittzahl reduzieren"),S_5!$G$8="JA"),S_5!AJ$13,0)</f>
        <v>0</v>
      </c>
      <c r="AV72" s="1860"/>
      <c r="AW72" s="1860">
        <f t="shared" si="227"/>
        <v>0</v>
      </c>
      <c r="AX72" s="2116">
        <f>IF(AND(OR(S_5!$C$13="Nutzungsintensität u Düngung erhöhen",S_5!$C$13="Nutzungsintensität u Düngung reduzieren",S_5!$C$13="Schnittzahl reduzieren",S_5!$C$14="Nutzungsintensität u Düngung erhöhen",S_5!$C$14="Nutzungsintensität u Düngung reduzieren",S_5!$C$14="Schnittzahl reduzieren",S_5!$C$15="Nutzungsintensität u Düngung erhöhen",S_5!$C$15="Nutzungsintensität u Düngung reduzieren",S_5!$C$15="Schnittzahl reduzieren"),S_5!$G$8="JA"),S_5!AM$13,0)</f>
        <v>0</v>
      </c>
      <c r="BA72" s="1860" t="str">
        <f t="shared" si="228"/>
        <v/>
      </c>
      <c r="BB72" s="1860" t="str">
        <f t="shared" si="229"/>
        <v/>
      </c>
      <c r="BC72" s="1860" t="str">
        <f t="shared" si="230"/>
        <v/>
      </c>
      <c r="BD72" s="1860" t="str">
        <f t="shared" si="231"/>
        <v/>
      </c>
      <c r="BE72" s="1860" t="str">
        <f t="shared" si="232"/>
        <v/>
      </c>
      <c r="BF72" s="1860" t="str">
        <f t="shared" si="233"/>
        <v/>
      </c>
      <c r="BG72" s="1860"/>
      <c r="BH72" s="1860">
        <f>IF(AND(OR(S_5!$C$13="Dauerweidenutzung beenden",S_5!$C$14="Dauerweidenutzung beenden",S_5!$C$15="Dauerweidenutzung beenden"),S_5!$G$8="JA"),S_5!AL$13,0)</f>
        <v>0</v>
      </c>
      <c r="BI72" s="1865"/>
      <c r="BK72" s="1860" t="str">
        <f t="shared" si="234"/>
        <v/>
      </c>
      <c r="BL72" s="1860" t="str">
        <f t="shared" si="234"/>
        <v/>
      </c>
      <c r="BM72" s="1860" t="str">
        <f t="shared" si="235"/>
        <v/>
      </c>
      <c r="BN72" s="1860" t="str">
        <f t="shared" si="235"/>
        <v/>
      </c>
      <c r="BO72" s="1860" t="str">
        <f t="shared" si="235"/>
        <v/>
      </c>
      <c r="BP72" s="1860" t="str">
        <f t="shared" si="235"/>
        <v/>
      </c>
      <c r="BQ72" s="1860"/>
      <c r="BR72" s="1860">
        <f>IF(AND(OR(S_5!$C$13="als Dauerweide führen",S_5!$C$14="als Dauerweide führen",S_5!$C$15="als Dauerweide führen"),S_5!$G$8="JA"),S_5!AM$13,0)</f>
        <v>0</v>
      </c>
      <c r="BS72" s="1865"/>
    </row>
    <row r="73" spans="17:71">
      <c r="Q73" s="1921"/>
      <c r="R73" s="1921"/>
      <c r="S73" s="1921"/>
      <c r="T73" s="1921"/>
      <c r="U73" s="1921"/>
      <c r="V73" s="1921"/>
      <c r="AO73" s="2129" t="s">
        <v>932</v>
      </c>
      <c r="AP73" s="1860">
        <f>IF(AND(OR(S_6!$C$13="Nutzungsintensität u Düngung erhöhen",S_6!$C$13="Nutzungsintensität u Düngung reduzieren",S_6!$C$13="Schnittzahl reduzieren",S_6!$C$14="Nutzungsintensität u Düngung erhöhen",S_6!$C$14="Nutzungsintensität u Düngung reduzieren",S_6!$C$14="Schnittzahl reduzieren",S_6!$C$15="Nutzungsintensität u Düngung erhöhen",S_6!$C$15="Nutzungsintensität u Düngung reduzieren",S_6!$C$15="Schnittzahl reduzieren"),S_6!$G$8="JA"),S_6!AE$13,0)</f>
        <v>0</v>
      </c>
      <c r="AQ73" s="1860">
        <f>IF(AND(OR(S_6!$C$13="Nutzungsintensität u Düngung erhöhen",S_6!$C$13="Nutzungsintensität u Düngung reduzieren",S_6!$C$13="Schnittzahl reduzieren",S_6!$C$14="Nutzungsintensität u Düngung erhöhen",S_6!$C$14="Nutzungsintensität u Düngung reduzieren",S_6!$C$14="Schnittzahl reduzieren",S_6!$C$15="Nutzungsintensität u Düngung erhöhen",S_6!$C$15="Nutzungsintensität u Düngung reduzieren",S_6!$C$15="Schnittzahl reduzieren"),S_6!$G$8="JA"),S_6!AF$13,0)</f>
        <v>0</v>
      </c>
      <c r="AR73" s="1860">
        <f>IF(AND(OR(S_6!$C$13="Nutzungsintensität u Düngung erhöhen",S_6!$C$13="Nutzungsintensität u Düngung reduzieren",S_6!$C$13="Schnittzahl reduzieren",S_6!$C$14="Nutzungsintensität u Düngung erhöhen",S_6!$C$14="Nutzungsintensität u Düngung reduzieren",S_6!$C$14="Schnittzahl reduzieren",S_6!$C$15="Nutzungsintensität u Düngung erhöhen",S_6!$C$15="Nutzungsintensität u Düngung reduzieren",S_6!$C$15="Schnittzahl reduzieren"),S_6!$G$8="JA"),S_6!AG$13,0)</f>
        <v>0</v>
      </c>
      <c r="AS73" s="1860">
        <f>IF(AND(OR(S_6!$C$13="Nutzungsintensität u Düngung erhöhen",S_6!$C$13="Nutzungsintensität u Düngung reduzieren",S_6!$C$13="Schnittzahl reduzieren",S_6!$C$14="Nutzungsintensität u Düngung erhöhen",S_6!$C$14="Nutzungsintensität u Düngung reduzieren",S_6!$C$14="Schnittzahl reduzieren",S_6!$C$15="Nutzungsintensität u Düngung erhöhen",S_6!$C$15="Nutzungsintensität u Düngung reduzieren",S_6!$C$15="Schnittzahl reduzieren"),S_6!$G$8="JA"),S_6!AH$13,0)</f>
        <v>0</v>
      </c>
      <c r="AT73" s="1860">
        <f>IF(AND(OR(S_6!$C$13="Nutzungsintensität u Düngung erhöhen",S_6!$C$13="Nutzungsintensität u Düngung reduzieren",S_6!$C$13="Schnittzahl reduzieren",S_6!$C$14="Nutzungsintensität u Düngung erhöhen",S_6!$C$14="Nutzungsintensität u Düngung reduzieren",S_6!$C$14="Schnittzahl reduzieren",S_6!$C$15="Nutzungsintensität u Düngung erhöhen",S_6!$C$15="Nutzungsintensität u Düngung reduzieren",S_6!$C$15="Schnittzahl reduzieren"),S_6!$G$8="JA"),S_6!AI$13,0)</f>
        <v>0</v>
      </c>
      <c r="AU73" s="1860">
        <f>IF(AND(OR(S_6!$C$13="Nutzungsintensität u Düngung erhöhen",S_6!$C$13="Nutzungsintensität u Düngung reduzieren",S_6!$C$13="Schnittzahl reduzieren",S_6!$C$14="Nutzungsintensität u Düngung erhöhen",S_6!$C$14="Nutzungsintensität u Düngung reduzieren",S_6!$C$14="Schnittzahl reduzieren",S_6!$C$15="Nutzungsintensität u Düngung erhöhen",S_6!$C$15="Nutzungsintensität u Düngung reduzieren",S_6!$C$15="Schnittzahl reduzieren"),S_6!$G$8="JA"),S_6!AJ$13,0)</f>
        <v>0</v>
      </c>
      <c r="AV73" s="1860"/>
      <c r="AW73" s="1860">
        <f t="shared" si="227"/>
        <v>0</v>
      </c>
      <c r="AX73" s="2116">
        <f>IF(AND(OR(S_6!$C$13="Nutzungsintensität u Düngung erhöhen",S_6!$C$13="Nutzungsintensität u Düngung reduzieren",S_6!$C$13="Schnittzahl reduzieren",S_6!$C$14="Nutzungsintensität u Düngung erhöhen",S_6!$C$14="Nutzungsintensität u Düngung reduzieren",S_6!$C$14="Schnittzahl reduzieren",S_6!$C$15="Nutzungsintensität u Düngung erhöhen",S_6!$C$15="Nutzungsintensität u Düngung reduzieren",S_6!$C$15="Schnittzahl reduzieren"),S_6!$G$8="JA"),S_6!AM$13,0)</f>
        <v>0</v>
      </c>
      <c r="BA73" s="1860" t="str">
        <f t="shared" si="228"/>
        <v/>
      </c>
      <c r="BB73" s="1860" t="str">
        <f t="shared" si="229"/>
        <v/>
      </c>
      <c r="BC73" s="1860" t="str">
        <f t="shared" si="230"/>
        <v/>
      </c>
      <c r="BD73" s="1860" t="str">
        <f t="shared" si="231"/>
        <v/>
      </c>
      <c r="BE73" s="1860" t="str">
        <f t="shared" si="232"/>
        <v/>
      </c>
      <c r="BF73" s="1860" t="str">
        <f t="shared" si="233"/>
        <v/>
      </c>
      <c r="BG73" s="1860"/>
      <c r="BH73" s="1860">
        <f>IF(AND(OR(S_6!$C$13="Dauerweidenutzung beenden",S_6!$C$14="Dauerweidenutzung beenden",S_6!$C$15="Dauerweidenutzung beenden"),S_6!$G$8="JA"),S_6!AL$13,0)</f>
        <v>0</v>
      </c>
      <c r="BI73" s="1865"/>
      <c r="BK73" s="1860" t="str">
        <f t="shared" si="234"/>
        <v/>
      </c>
      <c r="BL73" s="1860" t="str">
        <f t="shared" si="234"/>
        <v/>
      </c>
      <c r="BM73" s="1860" t="str">
        <f t="shared" si="235"/>
        <v/>
      </c>
      <c r="BN73" s="1860" t="str">
        <f t="shared" si="235"/>
        <v/>
      </c>
      <c r="BO73" s="1860" t="str">
        <f t="shared" si="235"/>
        <v/>
      </c>
      <c r="BP73" s="1860" t="str">
        <f t="shared" si="235"/>
        <v/>
      </c>
      <c r="BQ73" s="1860"/>
      <c r="BR73" s="1860">
        <f>IF(AND(OR(S_6!$C$13="als Dauerweide führen",S_6!$C$14="als Dauerweide führen",S_6!$C$15="als Dauerweide führen"),S_6!$G$8="JA"),S_6!AM$13,0)</f>
        <v>0</v>
      </c>
      <c r="BS73" s="1865"/>
    </row>
    <row r="74" spans="17:71">
      <c r="AO74" s="2129" t="s">
        <v>933</v>
      </c>
      <c r="AP74" s="1860">
        <f>IF(AND(OR(S_7!$C$13="Nutzungsintensität u Düngung erhöhen",S_7!$C$13="Nutzungsintensität u Düngung reduzieren",S_7!$C$13="Schnittzahl reduzieren",S_7!$C$14="Nutzungsintensität u Düngung erhöhen",S_7!$C$14="Nutzungsintensität u Düngung reduzieren",S_7!$C$14="Schnittzahl reduzieren",S_7!$C$15="Nutzungsintensität u Düngung erhöhen",S_7!$C$15="Nutzungsintensität u Düngung reduzieren",S_7!$C$15="Schnittzahl reduzieren"),S_7!$G$8="JA"),S_7!AE$13,0)</f>
        <v>0</v>
      </c>
      <c r="AQ74" s="1860">
        <f>IF(AND(OR(S_7!$C$13="Nutzungsintensität u Düngung erhöhen",S_7!$C$13="Nutzungsintensität u Düngung reduzieren",S_7!$C$13="Schnittzahl reduzieren",S_7!$C$14="Nutzungsintensität u Düngung erhöhen",S_7!$C$14="Nutzungsintensität u Düngung reduzieren",S_7!$C$14="Schnittzahl reduzieren",S_7!$C$15="Nutzungsintensität u Düngung erhöhen",S_7!$C$15="Nutzungsintensität u Düngung reduzieren",S_7!$C$15="Schnittzahl reduzieren"),S_7!$G$8="JA"),S_7!AF$13,0)</f>
        <v>0</v>
      </c>
      <c r="AR74" s="1860">
        <f>IF(AND(OR(S_7!$C$13="Nutzungsintensität u Düngung erhöhen",S_7!$C$13="Nutzungsintensität u Düngung reduzieren",S_7!$C$13="Schnittzahl reduzieren",S_7!$C$14="Nutzungsintensität u Düngung erhöhen",S_7!$C$14="Nutzungsintensität u Düngung reduzieren",S_7!$C$14="Schnittzahl reduzieren",S_7!$C$15="Nutzungsintensität u Düngung erhöhen",S_7!$C$15="Nutzungsintensität u Düngung reduzieren",S_7!$C$15="Schnittzahl reduzieren"),S_7!$G$8="JA"),S_7!AG$13,0)</f>
        <v>0</v>
      </c>
      <c r="AS74" s="1860">
        <f>IF(AND(OR(S_7!$C$13="Nutzungsintensität u Düngung erhöhen",S_7!$C$13="Nutzungsintensität u Düngung reduzieren",S_7!$C$13="Schnittzahl reduzieren",S_7!$C$14="Nutzungsintensität u Düngung erhöhen",S_7!$C$14="Nutzungsintensität u Düngung reduzieren",S_7!$C$14="Schnittzahl reduzieren",S_7!$C$15="Nutzungsintensität u Düngung erhöhen",S_7!$C$15="Nutzungsintensität u Düngung reduzieren",S_7!$C$15="Schnittzahl reduzieren"),S_7!$G$8="JA"),S_7!AH$13,0)</f>
        <v>0</v>
      </c>
      <c r="AT74" s="1860">
        <f>IF(AND(OR(S_7!$C$13="Nutzungsintensität u Düngung erhöhen",S_7!$C$13="Nutzungsintensität u Düngung reduzieren",S_7!$C$13="Schnittzahl reduzieren",S_7!$C$14="Nutzungsintensität u Düngung erhöhen",S_7!$C$14="Nutzungsintensität u Düngung reduzieren",S_7!$C$14="Schnittzahl reduzieren",S_7!$C$15="Nutzungsintensität u Düngung erhöhen",S_7!$C$15="Nutzungsintensität u Düngung reduzieren",S_7!$C$15="Schnittzahl reduzieren"),S_7!$G$8="JA"),S_7!AI$13,0)</f>
        <v>0</v>
      </c>
      <c r="AU74" s="1860">
        <f>IF(AND(OR(S_7!$C$13="Nutzungsintensität u Düngung erhöhen",S_7!$C$13="Nutzungsintensität u Düngung reduzieren",S_7!$C$13="Schnittzahl reduzieren",S_7!$C$14="Nutzungsintensität u Düngung erhöhen",S_7!$C$14="Nutzungsintensität u Düngung reduzieren",S_7!$C$14="Schnittzahl reduzieren",S_7!$C$15="Nutzungsintensität u Düngung erhöhen",S_7!$C$15="Nutzungsintensität u Düngung reduzieren",S_7!$C$15="Schnittzahl reduzieren"),S_7!$G$8="JA"),S_7!AJ$13,0)</f>
        <v>0</v>
      </c>
      <c r="AV74" s="1860"/>
      <c r="AW74" s="1860">
        <f t="shared" si="227"/>
        <v>0</v>
      </c>
      <c r="AX74" s="2116">
        <f>IF(AND(OR(S_7!$C$13="Nutzungsintensität u Düngung erhöhen",S_7!$C$13="Nutzungsintensität u Düngung reduzieren",S_7!$C$13="Schnittzahl reduzieren",S_7!$C$14="Nutzungsintensität u Düngung erhöhen",S_7!$C$14="Nutzungsintensität u Düngung reduzieren",S_7!$C$14="Schnittzahl reduzieren",S_7!$C$15="Nutzungsintensität u Düngung erhöhen",S_7!$C$15="Nutzungsintensität u Düngung reduzieren",S_7!$C$15="Schnittzahl reduzieren"),S_7!$G$8="JA"),S_7!AM$13,0)</f>
        <v>0</v>
      </c>
      <c r="BA74" s="1860" t="str">
        <f t="shared" si="228"/>
        <v/>
      </c>
      <c r="BB74" s="1860" t="str">
        <f t="shared" si="229"/>
        <v/>
      </c>
      <c r="BC74" s="1860" t="str">
        <f t="shared" si="230"/>
        <v/>
      </c>
      <c r="BD74" s="1860" t="str">
        <f t="shared" si="231"/>
        <v/>
      </c>
      <c r="BE74" s="1860" t="str">
        <f t="shared" si="232"/>
        <v/>
      </c>
      <c r="BF74" s="1860" t="str">
        <f t="shared" si="233"/>
        <v/>
      </c>
      <c r="BG74" s="1860"/>
      <c r="BH74" s="1860">
        <f>IF(AND(OR(S_7!$C$13="Dauerweidenutzung beenden",S_7!$C$14="Dauerweidenutzung beenden",S_7!$C$15="Dauerweidenutzung beenden"),S_7!$G$8="JA"),S_7!AL$13,0)</f>
        <v>0</v>
      </c>
      <c r="BI74" s="1865"/>
      <c r="BK74" s="1860" t="str">
        <f t="shared" si="234"/>
        <v/>
      </c>
      <c r="BL74" s="1860" t="str">
        <f t="shared" si="234"/>
        <v/>
      </c>
      <c r="BM74" s="1860" t="str">
        <f t="shared" si="235"/>
        <v/>
      </c>
      <c r="BN74" s="1860" t="str">
        <f t="shared" si="235"/>
        <v/>
      </c>
      <c r="BO74" s="1860" t="str">
        <f t="shared" si="235"/>
        <v/>
      </c>
      <c r="BP74" s="1860" t="str">
        <f t="shared" si="235"/>
        <v/>
      </c>
      <c r="BQ74" s="1860"/>
      <c r="BR74" s="1860">
        <f>IF(AND(OR(S_7!$C$13="als Dauerweide führen",S_7!$C$14="als Dauerweide führen",S_7!$C$15="als Dauerweide führen"),S_7!$G$8="JA"),S_7!AM$13,0)</f>
        <v>0</v>
      </c>
      <c r="BS74" s="1865"/>
    </row>
    <row r="75" spans="17:71">
      <c r="AO75" s="2129" t="s">
        <v>934</v>
      </c>
      <c r="AP75" s="1860">
        <f>IF(AND(OR(S_8!$C$13="Nutzungsintensität u Düngung erhöhen",S_8!$C$13="Nutzungsintensität u Düngung reduzieren",S_8!$C$13="Schnittzahl reduzieren",S_8!$C$14="Nutzungsintensität u Düngung erhöhen",S_8!$C$14="Nutzungsintensität u Düngung reduzieren",S_8!$C$14="Schnittzahl reduzieren",S_8!$C$15="Nutzungsintensität u Düngung erhöhen",S_8!$C$15="Nutzungsintensität u Düngung reduzieren",S_8!$C$15="Schnittzahl reduzieren"),S_8!$G$8="JA"),S_8!AE$13,0)</f>
        <v>0</v>
      </c>
      <c r="AQ75" s="1860">
        <f>IF(AND(OR(S_8!$C$13="Nutzungsintensität u Düngung erhöhen",S_8!$C$13="Nutzungsintensität u Düngung reduzieren",S_8!$C$13="Schnittzahl reduzieren",S_8!$C$14="Nutzungsintensität u Düngung erhöhen",S_8!$C$14="Nutzungsintensität u Düngung reduzieren",S_8!$C$14="Schnittzahl reduzieren",S_8!$C$15="Nutzungsintensität u Düngung erhöhen",S_8!$C$15="Nutzungsintensität u Düngung reduzieren",S_8!$C$15="Schnittzahl reduzieren"),S_8!$G$8="JA"),S_8!AF$13,0)</f>
        <v>0</v>
      </c>
      <c r="AR75" s="1860">
        <f>IF(AND(OR(S_8!$C$13="Nutzungsintensität u Düngung erhöhen",S_8!$C$13="Nutzungsintensität u Düngung reduzieren",S_8!$C$13="Schnittzahl reduzieren",S_8!$C$14="Nutzungsintensität u Düngung erhöhen",S_8!$C$14="Nutzungsintensität u Düngung reduzieren",S_8!$C$14="Schnittzahl reduzieren",S_8!$C$15="Nutzungsintensität u Düngung erhöhen",S_8!$C$15="Nutzungsintensität u Düngung reduzieren",S_8!$C$15="Schnittzahl reduzieren"),S_8!$G$8="JA"),S_8!AG$13,0)</f>
        <v>0</v>
      </c>
      <c r="AS75" s="1860">
        <f>IF(AND(OR(S_8!$C$13="Nutzungsintensität u Düngung erhöhen",S_8!$C$13="Nutzungsintensität u Düngung reduzieren",S_8!$C$13="Schnittzahl reduzieren",S_8!$C$14="Nutzungsintensität u Düngung erhöhen",S_8!$C$14="Nutzungsintensität u Düngung reduzieren",S_8!$C$14="Schnittzahl reduzieren",S_8!$C$15="Nutzungsintensität u Düngung erhöhen",S_8!$C$15="Nutzungsintensität u Düngung reduzieren",S_8!$C$15="Schnittzahl reduzieren"),S_8!$G$8="JA"),S_8!AH$13,0)</f>
        <v>0</v>
      </c>
      <c r="AT75" s="1860">
        <f>IF(AND(OR(S_8!$C$13="Nutzungsintensität u Düngung erhöhen",S_8!$C$13="Nutzungsintensität u Düngung reduzieren",S_8!$C$13="Schnittzahl reduzieren",S_8!$C$14="Nutzungsintensität u Düngung erhöhen",S_8!$C$14="Nutzungsintensität u Düngung reduzieren",S_8!$C$14="Schnittzahl reduzieren",S_8!$C$15="Nutzungsintensität u Düngung erhöhen",S_8!$C$15="Nutzungsintensität u Düngung reduzieren",S_8!$C$15="Schnittzahl reduzieren"),S_8!$G$8="JA"),S_8!AI$13,0)</f>
        <v>0</v>
      </c>
      <c r="AU75" s="1860">
        <f>IF(AND(OR(S_8!$C$13="Nutzungsintensität u Düngung erhöhen",S_8!$C$13="Nutzungsintensität u Düngung reduzieren",S_8!$C$13="Schnittzahl reduzieren",S_8!$C$14="Nutzungsintensität u Düngung erhöhen",S_8!$C$14="Nutzungsintensität u Düngung reduzieren",S_8!$C$14="Schnittzahl reduzieren",S_8!$C$15="Nutzungsintensität u Düngung erhöhen",S_8!$C$15="Nutzungsintensität u Düngung reduzieren",S_8!$C$15="Schnittzahl reduzieren"),S_8!$G$8="JA"),S_8!AJ$13,0)</f>
        <v>0</v>
      </c>
      <c r="AV75" s="1860"/>
      <c r="AW75" s="1860">
        <f t="shared" si="227"/>
        <v>0</v>
      </c>
      <c r="AX75" s="2116">
        <f>IF(AND(OR(S_8!$C$13="Nutzungsintensität u Düngung erhöhen",S_8!$C$13="Nutzungsintensität u Düngung reduzieren",S_8!$C$13="Schnittzahl reduzieren",S_8!$C$14="Nutzungsintensität u Düngung erhöhen",S_8!$C$14="Nutzungsintensität u Düngung reduzieren",S_8!$C$14="Schnittzahl reduzieren",S_8!$C$15="Nutzungsintensität u Düngung erhöhen",S_8!$C$15="Nutzungsintensität u Düngung reduzieren",S_8!$C$15="Schnittzahl reduzieren"),S_8!$G$8="JA"),S_8!AM$13,0)</f>
        <v>0</v>
      </c>
      <c r="BA75" s="1860" t="str">
        <f t="shared" si="228"/>
        <v/>
      </c>
      <c r="BB75" s="1860" t="str">
        <f t="shared" si="229"/>
        <v/>
      </c>
      <c r="BC75" s="1860" t="str">
        <f t="shared" si="230"/>
        <v/>
      </c>
      <c r="BD75" s="1860" t="str">
        <f t="shared" si="231"/>
        <v/>
      </c>
      <c r="BE75" s="1860" t="str">
        <f t="shared" si="232"/>
        <v/>
      </c>
      <c r="BF75" s="1860" t="str">
        <f t="shared" si="233"/>
        <v/>
      </c>
      <c r="BG75" s="1860"/>
      <c r="BH75" s="1860">
        <f>IF(AND(OR(S_8!$C$13="Dauerweidenutzung beenden",S_8!$C$14="Dauerweidenutzung beenden",S_8!$C$15="Dauerweidenutzung beenden"),S_8!$G$8="JA"),S_8!AL$13,0)</f>
        <v>0</v>
      </c>
      <c r="BK75" s="1860" t="str">
        <f t="shared" si="234"/>
        <v/>
      </c>
      <c r="BL75" s="1860" t="str">
        <f t="shared" si="234"/>
        <v/>
      </c>
      <c r="BM75" s="1860" t="str">
        <f t="shared" si="235"/>
        <v/>
      </c>
      <c r="BN75" s="1860" t="str">
        <f t="shared" si="235"/>
        <v/>
      </c>
      <c r="BO75" s="1860" t="str">
        <f t="shared" si="235"/>
        <v/>
      </c>
      <c r="BP75" s="1860" t="str">
        <f t="shared" si="235"/>
        <v/>
      </c>
      <c r="BQ75" s="1860"/>
      <c r="BR75" s="1860">
        <f>IF(AND(OR(S_8!$C$13="als Dauerweide führen",S_8!$C$14="als Dauerweide führen",S_8!$C$15="als Dauerweide führen"),S_8!$G$8="JA"),S_8!AM$13,0)</f>
        <v>0</v>
      </c>
    </row>
    <row r="76" spans="17:71">
      <c r="AO76" s="2129" t="s">
        <v>935</v>
      </c>
      <c r="AP76" s="1860">
        <f>IF(AND(OR(S_9!$C$13="Nutzungsintensität u Düngung erhöhen",S_9!$C$13="Nutzungsintensität u Düngung reduzieren",S_9!$C$13="Schnittzahl reduzieren",S_9!$C$14="Nutzungsintensität u Düngung erhöhen",S_9!$C$14="Nutzungsintensität u Düngung reduzieren",S_9!$C$14="Schnittzahl reduzieren",S_9!$C$15="Nutzungsintensität u Düngung erhöhen",S_9!$C$15="Nutzungsintensität u Düngung reduzieren",S_9!$C$15="Schnittzahl reduzieren"),S_9!$G$8="JA"),S_9!AE$13,0)</f>
        <v>0</v>
      </c>
      <c r="AQ76" s="1860">
        <f>IF(AND(OR(S_9!$C$13="Nutzungsintensität u Düngung erhöhen",S_9!$C$13="Nutzungsintensität u Düngung reduzieren",S_9!$C$13="Schnittzahl reduzieren",S_9!$C$14="Nutzungsintensität u Düngung erhöhen",S_9!$C$14="Nutzungsintensität u Düngung reduzieren",S_9!$C$14="Schnittzahl reduzieren",S_9!$C$15="Nutzungsintensität u Düngung erhöhen",S_9!$C$15="Nutzungsintensität u Düngung reduzieren",S_9!$C$15="Schnittzahl reduzieren"),S_9!$G$8="JA"),S_9!AF$13,0)</f>
        <v>0</v>
      </c>
      <c r="AR76" s="1860">
        <f>IF(AND(OR(S_9!$C$13="Nutzungsintensität u Düngung erhöhen",S_9!$C$13="Nutzungsintensität u Düngung reduzieren",S_9!$C$13="Schnittzahl reduzieren",S_9!$C$14="Nutzungsintensität u Düngung erhöhen",S_9!$C$14="Nutzungsintensität u Düngung reduzieren",S_9!$C$14="Schnittzahl reduzieren",S_9!$C$15="Nutzungsintensität u Düngung erhöhen",S_9!$C$15="Nutzungsintensität u Düngung reduzieren",S_9!$C$15="Schnittzahl reduzieren"),S_9!$G$8="JA"),S_9!AG$13,0)</f>
        <v>0</v>
      </c>
      <c r="AS76" s="1860">
        <f>IF(AND(OR(S_9!$C$13="Nutzungsintensität u Düngung erhöhen",S_9!$C$13="Nutzungsintensität u Düngung reduzieren",S_9!$C$13="Schnittzahl reduzieren",S_9!$C$14="Nutzungsintensität u Düngung erhöhen",S_9!$C$14="Nutzungsintensität u Düngung reduzieren",S_9!$C$14="Schnittzahl reduzieren",S_9!$C$15="Nutzungsintensität u Düngung erhöhen",S_9!$C$15="Nutzungsintensität u Düngung reduzieren",S_9!$C$15="Schnittzahl reduzieren"),S_9!$G$8="JA"),S_9!AH$13,0)</f>
        <v>0</v>
      </c>
      <c r="AT76" s="1860">
        <f>IF(AND(OR(S_9!$C$13="Nutzungsintensität u Düngung erhöhen",S_9!$C$13="Nutzungsintensität u Düngung reduzieren",S_9!$C$13="Schnittzahl reduzieren",S_9!$C$14="Nutzungsintensität u Düngung erhöhen",S_9!$C$14="Nutzungsintensität u Düngung reduzieren",S_9!$C$14="Schnittzahl reduzieren",S_9!$C$15="Nutzungsintensität u Düngung erhöhen",S_9!$C$15="Nutzungsintensität u Düngung reduzieren",S_9!$C$15="Schnittzahl reduzieren"),S_9!$G$8="JA"),S_9!AI$13,0)</f>
        <v>0</v>
      </c>
      <c r="AU76" s="1860">
        <f>IF(AND(OR(S_9!$C$13="Nutzungsintensität u Düngung erhöhen",S_9!$C$13="Nutzungsintensität u Düngung reduzieren",S_9!$C$13="Schnittzahl reduzieren",S_9!$C$14="Nutzungsintensität u Düngung erhöhen",S_9!$C$14="Nutzungsintensität u Düngung reduzieren",S_9!$C$14="Schnittzahl reduzieren",S_9!$C$15="Nutzungsintensität u Düngung erhöhen",S_9!$C$15="Nutzungsintensität u Düngung reduzieren",S_9!$C$15="Schnittzahl reduzieren"),S_9!$G$8="JA"),S_9!AJ$13,0)</f>
        <v>0</v>
      </c>
      <c r="AV76" s="1860"/>
      <c r="AW76" s="1860">
        <f t="shared" si="227"/>
        <v>0</v>
      </c>
      <c r="AX76" s="2116">
        <f>IF(AND(OR(S_9!$C$13="Nutzungsintensität u Düngung erhöhen",S_9!$C$13="Nutzungsintensität u Düngung reduzieren",S_9!$C$13="Schnittzahl reduzieren",S_9!$C$14="Nutzungsintensität u Düngung erhöhen",S_9!$C$14="Nutzungsintensität u Düngung reduzieren",S_9!$C$14="Schnittzahl reduzieren",S_9!$C$15="Nutzungsintensität u Düngung erhöhen",S_9!$C$15="Nutzungsintensität u Düngung reduzieren",S_9!$C$15="Schnittzahl reduzieren"),S_9!$G$8="JA"),S_9!AM$13,0)</f>
        <v>0</v>
      </c>
      <c r="BA76" s="1860" t="str">
        <f t="shared" si="228"/>
        <v/>
      </c>
      <c r="BB76" s="1860" t="str">
        <f t="shared" si="229"/>
        <v/>
      </c>
      <c r="BC76" s="1860" t="str">
        <f t="shared" si="230"/>
        <v/>
      </c>
      <c r="BD76" s="1860" t="str">
        <f t="shared" si="231"/>
        <v/>
      </c>
      <c r="BE76" s="1860" t="str">
        <f t="shared" si="232"/>
        <v/>
      </c>
      <c r="BF76" s="1860" t="str">
        <f t="shared" si="233"/>
        <v/>
      </c>
      <c r="BG76" s="1860"/>
      <c r="BH76" s="1860">
        <f>IF(AND(OR(S_9!$C$13="Dauerweidenutzung beenden",S_9!$C$14="Dauerweidenutzung beenden",S_9!$C$15="Dauerweidenutzung beenden"),S_9!$G$8="JA"),S_9!AL$13,0)</f>
        <v>0</v>
      </c>
      <c r="BK76" s="1860" t="str">
        <f t="shared" si="234"/>
        <v/>
      </c>
      <c r="BL76" s="1860" t="str">
        <f t="shared" si="234"/>
        <v/>
      </c>
      <c r="BM76" s="1860" t="str">
        <f t="shared" si="235"/>
        <v/>
      </c>
      <c r="BN76" s="1860" t="str">
        <f t="shared" si="235"/>
        <v/>
      </c>
      <c r="BO76" s="1860" t="str">
        <f t="shared" si="235"/>
        <v/>
      </c>
      <c r="BP76" s="1860" t="str">
        <f t="shared" si="235"/>
        <v/>
      </c>
      <c r="BQ76" s="1860"/>
      <c r="BR76" s="1860">
        <f>IF(AND(OR(S_9!$C$13="als Dauerweide führen",S_9!$C$14="als Dauerweide führen",S_9!$C$15="als Dauerweide führen"),S_9!$G$8="JA"),S_9!AM$13,0)</f>
        <v>0</v>
      </c>
    </row>
    <row r="77" spans="17:71">
      <c r="AO77" s="2129" t="s">
        <v>936</v>
      </c>
      <c r="AP77" s="1860">
        <f>IF(AND(OR(S_10!$C$13="Nutzungsintensität u Düngung erhöhen",S_10!$C$13="Nutzungsintensität u Düngung reduzieren",S_10!$C$13="Schnittzahl reduzieren",S_10!$C$14="Nutzungsintensität u Düngung erhöhen",S_10!$C$14="Nutzungsintensität u Düngung reduzieren",S_10!$C$14="Schnittzahl reduzieren",S_10!$C$15="Nutzungsintensität u Düngung erhöhen",S_10!$C$15="Nutzungsintensität u Düngung reduzieren",S_10!$C$15="Schnittzahl reduzieren"),S_10!$G$8="JA"),S_10!AE$13,0)</f>
        <v>0</v>
      </c>
      <c r="AQ77" s="1860">
        <f>IF(AND(OR(S_10!$C$13="Nutzungsintensität u Düngung erhöhen",S_10!$C$13="Nutzungsintensität u Düngung reduzieren",S_10!$C$13="Schnittzahl reduzieren",S_10!$C$14="Nutzungsintensität u Düngung erhöhen",S_10!$C$14="Nutzungsintensität u Düngung reduzieren",S_10!$C$14="Schnittzahl reduzieren",S_10!$C$15="Nutzungsintensität u Düngung erhöhen",S_10!$C$15="Nutzungsintensität u Düngung reduzieren",S_10!$C$15="Schnittzahl reduzieren"),S_10!$G$8="JA"),S_10!AF$13,0)</f>
        <v>0</v>
      </c>
      <c r="AR77" s="1860">
        <f>IF(AND(OR(S_10!$C$13="Nutzungsintensität u Düngung erhöhen",S_10!$C$13="Nutzungsintensität u Düngung reduzieren",S_10!$C$13="Schnittzahl reduzieren",S_10!$C$14="Nutzungsintensität u Düngung erhöhen",S_10!$C$14="Nutzungsintensität u Düngung reduzieren",S_10!$C$14="Schnittzahl reduzieren",S_10!$C$15="Nutzungsintensität u Düngung erhöhen",S_10!$C$15="Nutzungsintensität u Düngung reduzieren",S_10!$C$15="Schnittzahl reduzieren"),S_10!$G$8="JA"),S_10!AG$13,0)</f>
        <v>0</v>
      </c>
      <c r="AS77" s="1860">
        <f>IF(AND(OR(S_10!$C$13="Nutzungsintensität u Düngung erhöhen",S_10!$C$13="Nutzungsintensität u Düngung reduzieren",S_10!$C$13="Schnittzahl reduzieren",S_10!$C$14="Nutzungsintensität u Düngung erhöhen",S_10!$C$14="Nutzungsintensität u Düngung reduzieren",S_10!$C$14="Schnittzahl reduzieren",S_10!$C$15="Nutzungsintensität u Düngung erhöhen",S_10!$C$15="Nutzungsintensität u Düngung reduzieren",S_10!$C$15="Schnittzahl reduzieren"),S_10!$G$8="JA"),S_10!AH$13,0)</f>
        <v>0</v>
      </c>
      <c r="AT77" s="1860">
        <f>IF(AND(OR(S_10!$C$13="Nutzungsintensität u Düngung erhöhen",S_10!$C$13="Nutzungsintensität u Düngung reduzieren",S_10!$C$13="Schnittzahl reduzieren",S_10!$C$14="Nutzungsintensität u Düngung erhöhen",S_10!$C$14="Nutzungsintensität u Düngung reduzieren",S_10!$C$14="Schnittzahl reduzieren",S_10!$C$15="Nutzungsintensität u Düngung erhöhen",S_10!$C$15="Nutzungsintensität u Düngung reduzieren",S_10!$C$15="Schnittzahl reduzieren"),S_10!$G$8="JA"),S_10!AI$13,0)</f>
        <v>0</v>
      </c>
      <c r="AU77" s="1860">
        <f>IF(AND(OR(S_10!$C$13="Nutzungsintensität u Düngung erhöhen",S_10!$C$13="Nutzungsintensität u Düngung reduzieren",S_10!$C$13="Schnittzahl reduzieren",S_10!$C$14="Nutzungsintensität u Düngung erhöhen",S_10!$C$14="Nutzungsintensität u Düngung reduzieren",S_10!$C$14="Schnittzahl reduzieren",S_10!$C$15="Nutzungsintensität u Düngung erhöhen",S_10!$C$15="Nutzungsintensität u Düngung reduzieren",S_10!$C$15="Schnittzahl reduzieren"),S_10!$G$8="JA"),S_10!AJ$13,0)</f>
        <v>0</v>
      </c>
      <c r="AV77" s="1860"/>
      <c r="AW77" s="1860">
        <f t="shared" si="227"/>
        <v>0</v>
      </c>
      <c r="AX77" s="2116">
        <f>IF(AND(OR(S_10!$C$13="Nutzungsintensität u Düngung erhöhen",S_10!$C$13="Nutzungsintensität u Düngung reduzieren",S_10!$C$13="Schnittzahl reduzieren",S_10!$C$14="Nutzungsintensität u Düngung erhöhen",S_10!$C$14="Nutzungsintensität u Düngung reduzieren",S_10!$C$14="Schnittzahl reduzieren",S_10!$C$15="Nutzungsintensität u Düngung erhöhen",S_10!$C$15="Nutzungsintensität u Düngung reduzieren",S_10!$C$15="Schnittzahl reduzieren"),S_10!$G$8="JA"),S_10!AM$13,0)</f>
        <v>0</v>
      </c>
      <c r="BA77" s="1860" t="str">
        <f t="shared" si="228"/>
        <v/>
      </c>
      <c r="BB77" s="1860" t="str">
        <f t="shared" si="229"/>
        <v/>
      </c>
      <c r="BC77" s="1860" t="str">
        <f t="shared" si="230"/>
        <v/>
      </c>
      <c r="BD77" s="1860" t="str">
        <f t="shared" si="231"/>
        <v/>
      </c>
      <c r="BE77" s="1860" t="str">
        <f t="shared" si="232"/>
        <v/>
      </c>
      <c r="BF77" s="1860" t="str">
        <f t="shared" si="233"/>
        <v/>
      </c>
      <c r="BG77" s="1860"/>
      <c r="BH77" s="1860">
        <f>IF(AND(OR(S_10!$C$13="Dauerweidenutzung beenden",S_10!$C$14="Dauerweidenutzung beenden",S_10!$C$15="Dauerweidenutzung beenden"),S_10!$G$8="JA"),S_10!AL$13,0)</f>
        <v>0</v>
      </c>
      <c r="BK77" s="1860" t="str">
        <f t="shared" si="234"/>
        <v/>
      </c>
      <c r="BL77" s="1860" t="str">
        <f t="shared" si="234"/>
        <v/>
      </c>
      <c r="BM77" s="1860" t="str">
        <f t="shared" si="235"/>
        <v/>
      </c>
      <c r="BN77" s="1860" t="str">
        <f t="shared" si="235"/>
        <v/>
      </c>
      <c r="BO77" s="1860" t="str">
        <f t="shared" si="235"/>
        <v/>
      </c>
      <c r="BP77" s="1860" t="str">
        <f t="shared" si="235"/>
        <v/>
      </c>
      <c r="BQ77" s="1860"/>
      <c r="BR77" s="1860">
        <f>IF(AND(OR(S_10!$C$13="als Dauerweide führen",S_10!$C$14="als Dauerweide führen",S_10!$C$15="als Dauerweide führen"),S_10!$G$8="JA"),S_10!AM$13,0)</f>
        <v>0</v>
      </c>
    </row>
    <row r="78" spans="17:71">
      <c r="AO78" s="2129" t="s">
        <v>937</v>
      </c>
      <c r="AP78" s="1860">
        <f>IF(AND(OR(S_11!$C$13="Nutzungsintensität u Düngung erhöhen",S_11!$C$13="Nutzungsintensität u Düngung reduzieren",S_11!$C$13="Schnittzahl reduzieren",S_11!$C$14="Nutzungsintensität u Düngung erhöhen",S_11!$C$14="Nutzungsintensität u Düngung reduzieren",S_11!$C$14="Schnittzahl reduzieren",S_11!$C$15="Nutzungsintensität u Düngung erhöhen",S_11!$C$15="Nutzungsintensität u Düngung reduzieren",S_11!$C$15="Schnittzahl reduzieren"),S_11!$G$8="JA"),S_11!AE$13,0)</f>
        <v>0</v>
      </c>
      <c r="AQ78" s="1860">
        <f>IF(AND(OR(S_11!$C$13="Nutzungsintensität u Düngung erhöhen",S_11!$C$13="Nutzungsintensität u Düngung reduzieren",S_11!$C$13="Schnittzahl reduzieren",S_11!$C$14="Nutzungsintensität u Düngung erhöhen",S_11!$C$14="Nutzungsintensität u Düngung reduzieren",S_11!$C$14="Schnittzahl reduzieren",S_11!$C$15="Nutzungsintensität u Düngung erhöhen",S_11!$C$15="Nutzungsintensität u Düngung reduzieren",S_11!$C$15="Schnittzahl reduzieren"),S_11!$G$8="JA"),S_11!AF$13,0)</f>
        <v>0</v>
      </c>
      <c r="AR78" s="1860">
        <f>IF(AND(OR(S_11!$C$13="Nutzungsintensität u Düngung erhöhen",S_11!$C$13="Nutzungsintensität u Düngung reduzieren",S_11!$C$13="Schnittzahl reduzieren",S_11!$C$14="Nutzungsintensität u Düngung erhöhen",S_11!$C$14="Nutzungsintensität u Düngung reduzieren",S_11!$C$14="Schnittzahl reduzieren",S_11!$C$15="Nutzungsintensität u Düngung erhöhen",S_11!$C$15="Nutzungsintensität u Düngung reduzieren",S_11!$C$15="Schnittzahl reduzieren"),S_11!$G$8="JA"),S_11!AG$13,0)</f>
        <v>0</v>
      </c>
      <c r="AS78" s="1860">
        <f>IF(AND(OR(S_11!$C$13="Nutzungsintensität u Düngung erhöhen",S_11!$C$13="Nutzungsintensität u Düngung reduzieren",S_11!$C$13="Schnittzahl reduzieren",S_11!$C$14="Nutzungsintensität u Düngung erhöhen",S_11!$C$14="Nutzungsintensität u Düngung reduzieren",S_11!$C$14="Schnittzahl reduzieren",S_11!$C$15="Nutzungsintensität u Düngung erhöhen",S_11!$C$15="Nutzungsintensität u Düngung reduzieren",S_11!$C$15="Schnittzahl reduzieren"),S_11!$G$8="JA"),S_11!AH$13,0)</f>
        <v>0</v>
      </c>
      <c r="AT78" s="1860">
        <f>IF(AND(OR(S_11!$C$13="Nutzungsintensität u Düngung erhöhen",S_11!$C$13="Nutzungsintensität u Düngung reduzieren",S_11!$C$13="Schnittzahl reduzieren",S_11!$C$14="Nutzungsintensität u Düngung erhöhen",S_11!$C$14="Nutzungsintensität u Düngung reduzieren",S_11!$C$14="Schnittzahl reduzieren",S_11!$C$15="Nutzungsintensität u Düngung erhöhen",S_11!$C$15="Nutzungsintensität u Düngung reduzieren",S_11!$C$15="Schnittzahl reduzieren"),S_11!$G$8="JA"),S_11!AI$13,0)</f>
        <v>0</v>
      </c>
      <c r="AU78" s="1860">
        <f>IF(AND(OR(S_11!$C$13="Nutzungsintensität u Düngung erhöhen",S_11!$C$13="Nutzungsintensität u Düngung reduzieren",S_11!$C$13="Schnittzahl reduzieren",S_11!$C$14="Nutzungsintensität u Düngung erhöhen",S_11!$C$14="Nutzungsintensität u Düngung reduzieren",S_11!$C$14="Schnittzahl reduzieren",S_11!$C$15="Nutzungsintensität u Düngung erhöhen",S_11!$C$15="Nutzungsintensität u Düngung reduzieren",S_11!$C$15="Schnittzahl reduzieren"),S_11!$G$8="JA"),S_11!AJ$13,0)</f>
        <v>0</v>
      </c>
      <c r="AV78" s="1860"/>
      <c r="AW78" s="1860">
        <f t="shared" si="227"/>
        <v>0</v>
      </c>
      <c r="AX78" s="2116">
        <f>IF(AND(OR(S_11!$C$13="Nutzungsintensität u Düngung erhöhen",S_11!$C$13="Nutzungsintensität u Düngung reduzieren",S_11!$C$13="Schnittzahl reduzieren",S_11!$C$14="Nutzungsintensität u Düngung erhöhen",S_11!$C$14="Nutzungsintensität u Düngung reduzieren",S_11!$C$14="Schnittzahl reduzieren",S_11!$C$15="Nutzungsintensität u Düngung erhöhen",S_11!$C$15="Nutzungsintensität u Düngung reduzieren",S_11!$C$15="Schnittzahl reduzieren"),S_11!$G$8="JA"),S_11!AM$13,0)</f>
        <v>0</v>
      </c>
      <c r="BA78" s="1860" t="str">
        <f t="shared" si="228"/>
        <v/>
      </c>
      <c r="BB78" s="1860" t="str">
        <f t="shared" si="229"/>
        <v/>
      </c>
      <c r="BC78" s="1860" t="str">
        <f t="shared" si="230"/>
        <v/>
      </c>
      <c r="BD78" s="1860" t="str">
        <f t="shared" si="231"/>
        <v/>
      </c>
      <c r="BE78" s="1860" t="str">
        <f t="shared" si="232"/>
        <v/>
      </c>
      <c r="BF78" s="1860" t="str">
        <f t="shared" si="233"/>
        <v/>
      </c>
      <c r="BG78" s="1860"/>
      <c r="BH78" s="1860">
        <f>IF(AND(OR(S_11!$C$13="Dauerweidenutzung beenden",S_11!$C$14="Dauerweidenutzung beenden",S_11!$C$15="Dauerweidenutzung beenden"),S_11!$G$8="JA"),S_11!AL$13,0)</f>
        <v>0</v>
      </c>
      <c r="BK78" s="1860" t="str">
        <f t="shared" si="234"/>
        <v/>
      </c>
      <c r="BL78" s="1860" t="str">
        <f t="shared" si="234"/>
        <v/>
      </c>
      <c r="BM78" s="1860" t="str">
        <f t="shared" si="235"/>
        <v/>
      </c>
      <c r="BN78" s="1860" t="str">
        <f t="shared" si="235"/>
        <v/>
      </c>
      <c r="BO78" s="1860" t="str">
        <f t="shared" si="235"/>
        <v/>
      </c>
      <c r="BP78" s="1860" t="str">
        <f t="shared" si="235"/>
        <v/>
      </c>
      <c r="BQ78" s="1860"/>
      <c r="BR78" s="1860">
        <f>IF(AND(OR(S_11!$C$13="als Dauerweide führen",S_11!$C$14="als Dauerweide führen",S_11!$C$15="als Dauerweide führen"),S_11!$G$8="JA"),S_11!AM$13,0)</f>
        <v>0</v>
      </c>
    </row>
    <row r="79" spans="17:71">
      <c r="AO79" s="2129" t="s">
        <v>938</v>
      </c>
      <c r="AP79" s="1860">
        <f>IF(AND(OR(S_12!$C$13="Nutzungsintensität u Düngung erhöhen",S_12!$C$13="Nutzungsintensität u Düngung reduzieren",S_12!$C$13="Schnittzahl reduzieren",S_12!$C$14="Nutzungsintensität u Düngung erhöhen",S_12!$C$14="Nutzungsintensität u Düngung reduzieren",S_12!$C$14="Schnittzahl reduzieren",S_12!$C$15="Nutzungsintensität u Düngung erhöhen",S_12!$C$15="Nutzungsintensität u Düngung reduzieren",S_12!$C$15="Schnittzahl reduzieren"),S_12!$G$8="JA"),S_12!AE$13,0)</f>
        <v>0</v>
      </c>
      <c r="AQ79" s="1860">
        <f>IF(AND(OR(S_12!$C$13="Nutzungsintensität u Düngung erhöhen",S_12!$C$13="Nutzungsintensität u Düngung reduzieren",S_12!$C$13="Schnittzahl reduzieren",S_12!$C$14="Nutzungsintensität u Düngung erhöhen",S_12!$C$14="Nutzungsintensität u Düngung reduzieren",S_12!$C$14="Schnittzahl reduzieren",S_12!$C$15="Nutzungsintensität u Düngung erhöhen",S_12!$C$15="Nutzungsintensität u Düngung reduzieren",S_12!$C$15="Schnittzahl reduzieren"),S_12!$G$8="JA"),S_12!AF$13,0)</f>
        <v>0</v>
      </c>
      <c r="AR79" s="1860">
        <f>IF(AND(OR(S_12!$C$13="Nutzungsintensität u Düngung erhöhen",S_12!$C$13="Nutzungsintensität u Düngung reduzieren",S_12!$C$13="Schnittzahl reduzieren",S_12!$C$14="Nutzungsintensität u Düngung erhöhen",S_12!$C$14="Nutzungsintensität u Düngung reduzieren",S_12!$C$14="Schnittzahl reduzieren",S_12!$C$15="Nutzungsintensität u Düngung erhöhen",S_12!$C$15="Nutzungsintensität u Düngung reduzieren",S_12!$C$15="Schnittzahl reduzieren"),S_12!$G$8="JA"),S_12!AG$13,0)</f>
        <v>0</v>
      </c>
      <c r="AS79" s="1860">
        <f>IF(AND(OR(S_12!$C$13="Nutzungsintensität u Düngung erhöhen",S_12!$C$13="Nutzungsintensität u Düngung reduzieren",S_12!$C$13="Schnittzahl reduzieren",S_12!$C$14="Nutzungsintensität u Düngung erhöhen",S_12!$C$14="Nutzungsintensität u Düngung reduzieren",S_12!$C$14="Schnittzahl reduzieren",S_12!$C$15="Nutzungsintensität u Düngung erhöhen",S_12!$C$15="Nutzungsintensität u Düngung reduzieren",S_12!$C$15="Schnittzahl reduzieren"),S_12!$G$8="JA"),S_12!AH$13,0)</f>
        <v>0</v>
      </c>
      <c r="AT79" s="1860">
        <f>IF(AND(OR(S_12!$C$13="Nutzungsintensität u Düngung erhöhen",S_12!$C$13="Nutzungsintensität u Düngung reduzieren",S_12!$C$13="Schnittzahl reduzieren",S_12!$C$14="Nutzungsintensität u Düngung erhöhen",S_12!$C$14="Nutzungsintensität u Düngung reduzieren",S_12!$C$14="Schnittzahl reduzieren",S_12!$C$15="Nutzungsintensität u Düngung erhöhen",S_12!$C$15="Nutzungsintensität u Düngung reduzieren",S_12!$C$15="Schnittzahl reduzieren"),S_12!$G$8="JA"),S_12!AI$13,0)</f>
        <v>0</v>
      </c>
      <c r="AU79" s="1860">
        <f>IF(AND(OR(S_12!$C$13="Nutzungsintensität u Düngung erhöhen",S_12!$C$13="Nutzungsintensität u Düngung reduzieren",S_12!$C$13="Schnittzahl reduzieren",S_12!$C$14="Nutzungsintensität u Düngung erhöhen",S_12!$C$14="Nutzungsintensität u Düngung reduzieren",S_12!$C$14="Schnittzahl reduzieren",S_12!$C$15="Nutzungsintensität u Düngung erhöhen",S_12!$C$15="Nutzungsintensität u Düngung reduzieren",S_12!$C$15="Schnittzahl reduzieren"),S_12!$G$8="JA"),S_12!AJ$13,0)</f>
        <v>0</v>
      </c>
      <c r="AV79" s="1860"/>
      <c r="AW79" s="1860">
        <f t="shared" si="227"/>
        <v>0</v>
      </c>
      <c r="AX79" s="2116">
        <f>IF(AND(OR(S_12!$C$13="Nutzungsintensität u Düngung erhöhen",S_12!$C$13="Nutzungsintensität u Düngung reduzieren",S_12!$C$13="Schnittzahl reduzieren",S_12!$C$14="Nutzungsintensität u Düngung erhöhen",S_12!$C$14="Nutzungsintensität u Düngung reduzieren",S_12!$C$14="Schnittzahl reduzieren",S_12!$C$15="Nutzungsintensität u Düngung erhöhen",S_12!$C$15="Nutzungsintensität u Düngung reduzieren",S_12!$C$15="Schnittzahl reduzieren"),S_12!$G$8="JA"),S_12!AM$13,0)</f>
        <v>0</v>
      </c>
      <c r="BA79" s="1860" t="str">
        <f t="shared" si="228"/>
        <v/>
      </c>
      <c r="BB79" s="1860" t="str">
        <f t="shared" si="229"/>
        <v/>
      </c>
      <c r="BC79" s="1860" t="str">
        <f t="shared" si="230"/>
        <v/>
      </c>
      <c r="BD79" s="1860" t="str">
        <f t="shared" si="231"/>
        <v/>
      </c>
      <c r="BE79" s="1860" t="str">
        <f t="shared" si="232"/>
        <v/>
      </c>
      <c r="BF79" s="1860" t="str">
        <f t="shared" si="233"/>
        <v/>
      </c>
      <c r="BG79" s="1860"/>
      <c r="BH79" s="1860">
        <f>IF(AND(OR(S_12!$C$13="Dauerweidenutzung beenden",S_12!$C$14="Dauerweidenutzung beenden",S_12!$C$15="Dauerweidenutzung beenden"),S_12!$G$8="JA"),S_12!AL$13,0)</f>
        <v>0</v>
      </c>
      <c r="BK79" s="1860" t="str">
        <f t="shared" si="234"/>
        <v/>
      </c>
      <c r="BL79" s="1860" t="str">
        <f t="shared" si="234"/>
        <v/>
      </c>
      <c r="BM79" s="1860" t="str">
        <f t="shared" si="235"/>
        <v/>
      </c>
      <c r="BN79" s="1860" t="str">
        <f t="shared" si="235"/>
        <v/>
      </c>
      <c r="BO79" s="1860" t="str">
        <f t="shared" si="235"/>
        <v/>
      </c>
      <c r="BP79" s="1860" t="str">
        <f t="shared" si="235"/>
        <v/>
      </c>
      <c r="BQ79" s="1860"/>
      <c r="BR79" s="1860">
        <f>IF(AND(OR(S_12!$C$13="als Dauerweide führen",S_12!$C$14="als Dauerweide führen",S_12!$C$15="als Dauerweide führen"),S_12!$G$8="JA"),S_12!AM$13,0)</f>
        <v>0</v>
      </c>
    </row>
    <row r="80" spans="17:71">
      <c r="AO80" s="2129" t="s">
        <v>939</v>
      </c>
      <c r="AP80" s="1860">
        <f>IF(AND(OR(S_13!$C$13="Nutzungsintensität u Düngung erhöhen",S_13!$C$13="Nutzungsintensität u Düngung reduzieren",S_13!$C$13="Schnittzahl reduzieren",S_13!$C$14="Nutzungsintensität u Düngung erhöhen",S_13!$C$14="Nutzungsintensität u Düngung reduzieren",S_13!$C$14="Schnittzahl reduzieren",S_13!$C$15="Nutzungsintensität u Düngung erhöhen",S_13!$C$15="Nutzungsintensität u Düngung reduzieren",S_13!$C$15="Schnittzahl reduzieren"),S_13!$G$8="JA"),S_13!AE$13,0)</f>
        <v>0</v>
      </c>
      <c r="AQ80" s="1860">
        <f>IF(AND(OR(S_13!$C$13="Nutzungsintensität u Düngung erhöhen",S_13!$C$13="Nutzungsintensität u Düngung reduzieren",S_13!$C$13="Schnittzahl reduzieren",S_13!$C$14="Nutzungsintensität u Düngung erhöhen",S_13!$C$14="Nutzungsintensität u Düngung reduzieren",S_13!$C$14="Schnittzahl reduzieren",S_13!$C$15="Nutzungsintensität u Düngung erhöhen",S_13!$C$15="Nutzungsintensität u Düngung reduzieren",S_13!$C$15="Schnittzahl reduzieren"),S_13!$G$8="JA"),S_13!AF$13,0)</f>
        <v>0</v>
      </c>
      <c r="AR80" s="1860">
        <f>IF(AND(OR(S_13!$C$13="Nutzungsintensität u Düngung erhöhen",S_13!$C$13="Nutzungsintensität u Düngung reduzieren",S_13!$C$13="Schnittzahl reduzieren",S_13!$C$14="Nutzungsintensität u Düngung erhöhen",S_13!$C$14="Nutzungsintensität u Düngung reduzieren",S_13!$C$14="Schnittzahl reduzieren",S_13!$C$15="Nutzungsintensität u Düngung erhöhen",S_13!$C$15="Nutzungsintensität u Düngung reduzieren",S_13!$C$15="Schnittzahl reduzieren"),S_13!$G$8="JA"),S_13!AG$13,0)</f>
        <v>0</v>
      </c>
      <c r="AS80" s="1860">
        <f>IF(AND(OR(S_13!$C$13="Nutzungsintensität u Düngung erhöhen",S_13!$C$13="Nutzungsintensität u Düngung reduzieren",S_13!$C$13="Schnittzahl reduzieren",S_13!$C$14="Nutzungsintensität u Düngung erhöhen",S_13!$C$14="Nutzungsintensität u Düngung reduzieren",S_13!$C$14="Schnittzahl reduzieren",S_13!$C$15="Nutzungsintensität u Düngung erhöhen",S_13!$C$15="Nutzungsintensität u Düngung reduzieren",S_13!$C$15="Schnittzahl reduzieren"),S_13!$G$8="JA"),S_13!AH$13,0)</f>
        <v>0</v>
      </c>
      <c r="AT80" s="1860">
        <f>IF(AND(OR(S_13!$C$13="Nutzungsintensität u Düngung erhöhen",S_13!$C$13="Nutzungsintensität u Düngung reduzieren",S_13!$C$13="Schnittzahl reduzieren",S_13!$C$14="Nutzungsintensität u Düngung erhöhen",S_13!$C$14="Nutzungsintensität u Düngung reduzieren",S_13!$C$14="Schnittzahl reduzieren",S_13!$C$15="Nutzungsintensität u Düngung erhöhen",S_13!$C$15="Nutzungsintensität u Düngung reduzieren",S_13!$C$15="Schnittzahl reduzieren"),S_13!$G$8="JA"),S_13!AI$13,0)</f>
        <v>0</v>
      </c>
      <c r="AU80" s="1860">
        <f>IF(AND(OR(S_13!$C$13="Nutzungsintensität u Düngung erhöhen",S_13!$C$13="Nutzungsintensität u Düngung reduzieren",S_13!$C$13="Schnittzahl reduzieren",S_13!$C$14="Nutzungsintensität u Düngung erhöhen",S_13!$C$14="Nutzungsintensität u Düngung reduzieren",S_13!$C$14="Schnittzahl reduzieren",S_13!$C$15="Nutzungsintensität u Düngung erhöhen",S_13!$C$15="Nutzungsintensität u Düngung reduzieren",S_13!$C$15="Schnittzahl reduzieren"),S_13!$G$8="JA"),S_13!AJ$13,0)</f>
        <v>0</v>
      </c>
      <c r="AV80" s="1860"/>
      <c r="AW80" s="1860">
        <f t="shared" si="227"/>
        <v>0</v>
      </c>
      <c r="AX80" s="2116">
        <f>IF(AND(OR(S_13!$C$13="Nutzungsintensität u Düngung erhöhen",S_13!$C$13="Nutzungsintensität u Düngung reduzieren",S_13!$C$13="Schnittzahl reduzieren",S_13!$C$14="Nutzungsintensität u Düngung erhöhen",S_13!$C$14="Nutzungsintensität u Düngung reduzieren",S_13!$C$14="Schnittzahl reduzieren",S_13!$C$15="Nutzungsintensität u Düngung erhöhen",S_13!$C$15="Nutzungsintensität u Düngung reduzieren",S_13!$C$15="Schnittzahl reduzieren"),S_13!$G$8="JA"),S_13!AM$13,0)</f>
        <v>0</v>
      </c>
      <c r="BA80" s="1860" t="str">
        <f t="shared" si="228"/>
        <v/>
      </c>
      <c r="BB80" s="1860" t="str">
        <f t="shared" si="229"/>
        <v/>
      </c>
      <c r="BC80" s="1860" t="str">
        <f t="shared" si="230"/>
        <v/>
      </c>
      <c r="BD80" s="1860" t="str">
        <f t="shared" si="231"/>
        <v/>
      </c>
      <c r="BE80" s="1860" t="str">
        <f t="shared" si="232"/>
        <v/>
      </c>
      <c r="BF80" s="1860" t="str">
        <f t="shared" si="233"/>
        <v/>
      </c>
      <c r="BG80" s="1860"/>
      <c r="BH80" s="1860">
        <f>IF(AND(OR(S_13!$C$13="Dauerweidenutzung beenden",S_13!$C$14="Dauerweidenutzung beenden",S_13!$C$15="Dauerweidenutzung beenden"),S_13!$G$8="JA"),S_13!AL$13,0)</f>
        <v>0</v>
      </c>
      <c r="BK80" s="1860" t="str">
        <f t="shared" si="234"/>
        <v/>
      </c>
      <c r="BL80" s="1860" t="str">
        <f t="shared" si="234"/>
        <v/>
      </c>
      <c r="BM80" s="1860" t="str">
        <f t="shared" si="235"/>
        <v/>
      </c>
      <c r="BN80" s="1860" t="str">
        <f t="shared" si="235"/>
        <v/>
      </c>
      <c r="BO80" s="1860" t="str">
        <f t="shared" si="235"/>
        <v/>
      </c>
      <c r="BP80" s="1860" t="str">
        <f t="shared" si="235"/>
        <v/>
      </c>
      <c r="BQ80" s="1860"/>
      <c r="BR80" s="1860">
        <f>IF(AND(OR(S_13!$C$13="als Dauerweide führen",S_13!$C$14="als Dauerweide führen",S_13!$C$15="als Dauerweide führen"),S_13!$G$8="JA"),S_13!AM$13,0)</f>
        <v>0</v>
      </c>
    </row>
    <row r="81" spans="41:70">
      <c r="AO81" s="2129" t="s">
        <v>940</v>
      </c>
      <c r="AP81" s="1860">
        <f>IF(AND(OR(S_14!$C$13="Nutzungsintensität u Düngung erhöhen",S_14!$C$13="Nutzungsintensität u Düngung reduzieren",S_14!$C$13="Schnittzahl reduzieren",S_14!$C$14="Nutzungsintensität u Düngung erhöhen",S_14!$C$14="Nutzungsintensität u Düngung reduzieren",S_14!$C$14="Schnittzahl reduzieren",S_14!$C$15="Nutzungsintensität u Düngung erhöhen",S_14!$C$15="Nutzungsintensität u Düngung reduzieren",S_14!$C$15="Schnittzahl reduzieren"),S_14!$G$8="JA"),S_14!AE$13,0)</f>
        <v>0</v>
      </c>
      <c r="AQ81" s="1860">
        <f>IF(AND(OR(S_14!$C$13="Nutzungsintensität u Düngung erhöhen",S_14!$C$13="Nutzungsintensität u Düngung reduzieren",S_14!$C$13="Schnittzahl reduzieren",S_14!$C$14="Nutzungsintensität u Düngung erhöhen",S_14!$C$14="Nutzungsintensität u Düngung reduzieren",S_14!$C$14="Schnittzahl reduzieren",S_14!$C$15="Nutzungsintensität u Düngung erhöhen",S_14!$C$15="Nutzungsintensität u Düngung reduzieren",S_14!$C$15="Schnittzahl reduzieren"),S_14!$G$8="JA"),S_14!AF$13,0)</f>
        <v>0</v>
      </c>
      <c r="AR81" s="1860">
        <f>IF(AND(OR(S_14!$C$13="Nutzungsintensität u Düngung erhöhen",S_14!$C$13="Nutzungsintensität u Düngung reduzieren",S_14!$C$13="Schnittzahl reduzieren",S_14!$C$14="Nutzungsintensität u Düngung erhöhen",S_14!$C$14="Nutzungsintensität u Düngung reduzieren",S_14!$C$14="Schnittzahl reduzieren",S_14!$C$15="Nutzungsintensität u Düngung erhöhen",S_14!$C$15="Nutzungsintensität u Düngung reduzieren",S_14!$C$15="Schnittzahl reduzieren"),S_14!$G$8="JA"),S_14!AG$13,0)</f>
        <v>0</v>
      </c>
      <c r="AS81" s="1860">
        <f>IF(AND(OR(S_14!$C$13="Nutzungsintensität u Düngung erhöhen",S_14!$C$13="Nutzungsintensität u Düngung reduzieren",S_14!$C$13="Schnittzahl reduzieren",S_14!$C$14="Nutzungsintensität u Düngung erhöhen",S_14!$C$14="Nutzungsintensität u Düngung reduzieren",S_14!$C$14="Schnittzahl reduzieren",S_14!$C$15="Nutzungsintensität u Düngung erhöhen",S_14!$C$15="Nutzungsintensität u Düngung reduzieren",S_14!$C$15="Schnittzahl reduzieren"),S_14!$G$8="JA"),S_14!AH$13,0)</f>
        <v>0</v>
      </c>
      <c r="AT81" s="1860">
        <f>IF(AND(OR(S_14!$C$13="Nutzungsintensität u Düngung erhöhen",S_14!$C$13="Nutzungsintensität u Düngung reduzieren",S_14!$C$13="Schnittzahl reduzieren",S_14!$C$14="Nutzungsintensität u Düngung erhöhen",S_14!$C$14="Nutzungsintensität u Düngung reduzieren",S_14!$C$14="Schnittzahl reduzieren",S_14!$C$15="Nutzungsintensität u Düngung erhöhen",S_14!$C$15="Nutzungsintensität u Düngung reduzieren",S_14!$C$15="Schnittzahl reduzieren"),S_14!$G$8="JA"),S_14!AI$13,0)</f>
        <v>0</v>
      </c>
      <c r="AU81" s="1860">
        <f>IF(AND(OR(S_14!$C$13="Nutzungsintensität u Düngung erhöhen",S_14!$C$13="Nutzungsintensität u Düngung reduzieren",S_14!$C$13="Schnittzahl reduzieren",S_14!$C$14="Nutzungsintensität u Düngung erhöhen",S_14!$C$14="Nutzungsintensität u Düngung reduzieren",S_14!$C$14="Schnittzahl reduzieren",S_14!$C$15="Nutzungsintensität u Düngung erhöhen",S_14!$C$15="Nutzungsintensität u Düngung reduzieren",S_14!$C$15="Schnittzahl reduzieren"),S_14!$G$8="JA"),S_14!AJ$13,0)</f>
        <v>0</v>
      </c>
      <c r="AV81" s="1860"/>
      <c r="AW81" s="1860">
        <f t="shared" si="227"/>
        <v>0</v>
      </c>
      <c r="AX81" s="2116">
        <f>IF(AND(OR(S_14!$C$13="Nutzungsintensität u Düngung erhöhen",S_14!$C$13="Nutzungsintensität u Düngung reduzieren",S_14!$C$13="Schnittzahl reduzieren",S_14!$C$14="Nutzungsintensität u Düngung erhöhen",S_14!$C$14="Nutzungsintensität u Düngung reduzieren",S_14!$C$14="Schnittzahl reduzieren",S_14!$C$15="Nutzungsintensität u Düngung erhöhen",S_14!$C$15="Nutzungsintensität u Düngung reduzieren",S_14!$C$15="Schnittzahl reduzieren"),S_14!$G$8="JA"),S_14!AM$13,0)</f>
        <v>0</v>
      </c>
      <c r="BA81" s="1860" t="str">
        <f t="shared" si="228"/>
        <v/>
      </c>
      <c r="BB81" s="1860" t="str">
        <f t="shared" si="229"/>
        <v/>
      </c>
      <c r="BC81" s="1860" t="str">
        <f t="shared" si="230"/>
        <v/>
      </c>
      <c r="BD81" s="1860" t="str">
        <f t="shared" si="231"/>
        <v/>
      </c>
      <c r="BE81" s="1860" t="str">
        <f t="shared" si="232"/>
        <v/>
      </c>
      <c r="BF81" s="1860" t="str">
        <f t="shared" si="233"/>
        <v/>
      </c>
      <c r="BG81" s="1860"/>
      <c r="BH81" s="1860">
        <f>IF(AND(OR(S_14!$C$13="Dauerweidenutzung beenden",S_14!$C$14="Dauerweidenutzung beenden",S_14!$C$15="Dauerweidenutzung beenden"),S_14!$G$8="JA"),S_14!AL$13,0)</f>
        <v>0</v>
      </c>
      <c r="BK81" s="1860" t="str">
        <f t="shared" si="234"/>
        <v/>
      </c>
      <c r="BL81" s="1860" t="str">
        <f t="shared" si="234"/>
        <v/>
      </c>
      <c r="BM81" s="1860" t="str">
        <f t="shared" si="235"/>
        <v/>
      </c>
      <c r="BN81" s="1860" t="str">
        <f t="shared" si="235"/>
        <v/>
      </c>
      <c r="BO81" s="1860" t="str">
        <f t="shared" si="235"/>
        <v/>
      </c>
      <c r="BP81" s="1860" t="str">
        <f t="shared" si="235"/>
        <v/>
      </c>
      <c r="BQ81" s="1860"/>
      <c r="BR81" s="1860">
        <f>IF(AND(OR(S_14!$C$13="als Dauerweide führen",S_14!$C$14="als Dauerweide führen",S_14!$C$15="als Dauerweide führen"),S_14!$G$8="JA"),S_14!AM$13,0)</f>
        <v>0</v>
      </c>
    </row>
    <row r="82" spans="41:70">
      <c r="AO82" s="2129" t="s">
        <v>941</v>
      </c>
      <c r="AP82" s="1860">
        <f>IF(AND(OR(S_15!$C$13="Nutzungsintensität u Düngung erhöhen",S_15!$C$13="Nutzungsintensität u Düngung reduzieren",S_15!$C$13="Schnittzahl reduzieren",S_15!$C$14="Nutzungsintensität u Düngung erhöhen",S_15!$C$14="Nutzungsintensität u Düngung reduzieren",S_15!$C$14="Schnittzahl reduzieren",S_15!$C$15="Nutzungsintensität u Düngung erhöhen",S_15!$C$15="Nutzungsintensität u Düngung reduzieren",S_15!$C$15="Schnittzahl reduzieren"),S_15!$G$8="JA"),S_15!AE$13,0)</f>
        <v>0</v>
      </c>
      <c r="AQ82" s="1860">
        <f>IF(AND(OR(S_15!$C$13="Nutzungsintensität u Düngung erhöhen",S_15!$C$13="Nutzungsintensität u Düngung reduzieren",S_15!$C$13="Schnittzahl reduzieren",S_15!$C$14="Nutzungsintensität u Düngung erhöhen",S_15!$C$14="Nutzungsintensität u Düngung reduzieren",S_15!$C$14="Schnittzahl reduzieren",S_15!$C$15="Nutzungsintensität u Düngung erhöhen",S_15!$C$15="Nutzungsintensität u Düngung reduzieren",S_15!$C$15="Schnittzahl reduzieren"),S_15!$G$8="JA"),S_15!AF$13,0)</f>
        <v>0</v>
      </c>
      <c r="AR82" s="1860">
        <f>IF(AND(OR(S_15!$C$13="Nutzungsintensität u Düngung erhöhen",S_15!$C$13="Nutzungsintensität u Düngung reduzieren",S_15!$C$13="Schnittzahl reduzieren",S_15!$C$14="Nutzungsintensität u Düngung erhöhen",S_15!$C$14="Nutzungsintensität u Düngung reduzieren",S_15!$C$14="Schnittzahl reduzieren",S_15!$C$15="Nutzungsintensität u Düngung erhöhen",S_15!$C$15="Nutzungsintensität u Düngung reduzieren",S_15!$C$15="Schnittzahl reduzieren"),S_15!$G$8="JA"),S_15!AG$13,0)</f>
        <v>0</v>
      </c>
      <c r="AS82" s="1860">
        <f>IF(AND(OR(S_15!$C$13="Nutzungsintensität u Düngung erhöhen",S_15!$C$13="Nutzungsintensität u Düngung reduzieren",S_15!$C$13="Schnittzahl reduzieren",S_15!$C$14="Nutzungsintensität u Düngung erhöhen",S_15!$C$14="Nutzungsintensität u Düngung reduzieren",S_15!$C$14="Schnittzahl reduzieren",S_15!$C$15="Nutzungsintensität u Düngung erhöhen",S_15!$C$15="Nutzungsintensität u Düngung reduzieren",S_15!$C$15="Schnittzahl reduzieren"),S_15!$G$8="JA"),S_15!AH$13,0)</f>
        <v>0</v>
      </c>
      <c r="AT82" s="1860">
        <f>IF(AND(OR(S_15!$C$13="Nutzungsintensität u Düngung erhöhen",S_15!$C$13="Nutzungsintensität u Düngung reduzieren",S_15!$C$13="Schnittzahl reduzieren",S_15!$C$14="Nutzungsintensität u Düngung erhöhen",S_15!$C$14="Nutzungsintensität u Düngung reduzieren",S_15!$C$14="Schnittzahl reduzieren",S_15!$C$15="Nutzungsintensität u Düngung erhöhen",S_15!$C$15="Nutzungsintensität u Düngung reduzieren",S_15!$C$15="Schnittzahl reduzieren"),S_15!$G$8="JA"),S_15!AI$13,0)</f>
        <v>0</v>
      </c>
      <c r="AU82" s="1860">
        <f>IF(AND(OR(S_15!$C$13="Nutzungsintensität u Düngung erhöhen",S_15!$C$13="Nutzungsintensität u Düngung reduzieren",S_15!$C$13="Schnittzahl reduzieren",S_15!$C$14="Nutzungsintensität u Düngung erhöhen",S_15!$C$14="Nutzungsintensität u Düngung reduzieren",S_15!$C$14="Schnittzahl reduzieren",S_15!$C$15="Nutzungsintensität u Düngung erhöhen",S_15!$C$15="Nutzungsintensität u Düngung reduzieren",S_15!$C$15="Schnittzahl reduzieren"),S_15!$G$8="JA"),S_15!AJ$13,0)</f>
        <v>0</v>
      </c>
      <c r="AV82" s="1860"/>
      <c r="AW82" s="1860">
        <f t="shared" si="227"/>
        <v>0</v>
      </c>
      <c r="AX82" s="2116">
        <f>IF(AND(OR(S_15!$C$13="Nutzungsintensität u Düngung erhöhen",S_15!$C$13="Nutzungsintensität u Düngung reduzieren",S_15!$C$13="Schnittzahl reduzieren",S_15!$C$14="Nutzungsintensität u Düngung erhöhen",S_15!$C$14="Nutzungsintensität u Düngung reduzieren",S_15!$C$14="Schnittzahl reduzieren",S_15!$C$15="Nutzungsintensität u Düngung erhöhen",S_15!$C$15="Nutzungsintensität u Düngung reduzieren",S_15!$C$15="Schnittzahl reduzieren"),S_15!$G$8="JA"),S_15!AM$13,0)</f>
        <v>0</v>
      </c>
      <c r="BA82" s="1860" t="str">
        <f t="shared" si="228"/>
        <v/>
      </c>
      <c r="BB82" s="1860" t="str">
        <f t="shared" si="229"/>
        <v/>
      </c>
      <c r="BC82" s="1860" t="str">
        <f t="shared" si="230"/>
        <v/>
      </c>
      <c r="BD82" s="1860" t="str">
        <f t="shared" si="231"/>
        <v/>
      </c>
      <c r="BE82" s="1860" t="str">
        <f t="shared" si="232"/>
        <v/>
      </c>
      <c r="BF82" s="1860" t="str">
        <f t="shared" si="233"/>
        <v/>
      </c>
      <c r="BG82" s="1860"/>
      <c r="BH82" s="1860">
        <f>IF(AND(OR(S_15!$C$13="Dauerweidenutzung beenden",S_15!$C$14="Dauerweidenutzung beenden",S_15!$C$15="Dauerweidenutzung beenden"),S_15!$G$8="JA"),S_15!AL$13,0)</f>
        <v>0</v>
      </c>
      <c r="BK82" s="1860" t="str">
        <f t="shared" si="234"/>
        <v/>
      </c>
      <c r="BL82" s="1860" t="str">
        <f t="shared" si="234"/>
        <v/>
      </c>
      <c r="BM82" s="1860" t="str">
        <f t="shared" si="235"/>
        <v/>
      </c>
      <c r="BN82" s="1860" t="str">
        <f t="shared" si="235"/>
        <v/>
      </c>
      <c r="BO82" s="1860" t="str">
        <f t="shared" si="235"/>
        <v/>
      </c>
      <c r="BP82" s="1860" t="str">
        <f t="shared" si="235"/>
        <v/>
      </c>
      <c r="BQ82" s="1860"/>
      <c r="BR82" s="1860">
        <f>IF(AND(OR(S_15!$C$13="als Dauerweide führen",S_15!$C$14="als Dauerweide führen",S_15!$C$15="als Dauerweide führen"),S_15!$G$8="JA"),S_15!AM$13,0)</f>
        <v>0</v>
      </c>
    </row>
    <row r="83" spans="41:70">
      <c r="AO83" s="2129" t="s">
        <v>942</v>
      </c>
      <c r="AP83" s="1860">
        <f>IF(AND(OR(S_16!$C$13="Nutzungsintensität u Düngung erhöhen",S_16!$C$13="Nutzungsintensität u Düngung reduzieren",S_16!$C$13="Schnittzahl reduzieren",S_16!$C$14="Nutzungsintensität u Düngung erhöhen",S_16!$C$14="Nutzungsintensität u Düngung reduzieren",S_16!$C$14="Schnittzahl reduzieren",S_16!$C$15="Nutzungsintensität u Düngung erhöhen",S_16!$C$15="Nutzungsintensität u Düngung reduzieren",S_16!$C$15="Schnittzahl reduzieren"),S_16!$G$8="JA"),S_16!AE$13,0)</f>
        <v>0</v>
      </c>
      <c r="AQ83" s="1860">
        <f>IF(AND(OR(S_16!$C$13="Nutzungsintensität u Düngung erhöhen",S_16!$C$13="Nutzungsintensität u Düngung reduzieren",S_16!$C$13="Schnittzahl reduzieren",S_16!$C$14="Nutzungsintensität u Düngung erhöhen",S_16!$C$14="Nutzungsintensität u Düngung reduzieren",S_16!$C$14="Schnittzahl reduzieren",S_16!$C$15="Nutzungsintensität u Düngung erhöhen",S_16!$C$15="Nutzungsintensität u Düngung reduzieren",S_16!$C$15="Schnittzahl reduzieren"),S_16!$G$8="JA"),S_16!AF$13,0)</f>
        <v>0</v>
      </c>
      <c r="AR83" s="1860">
        <f>IF(AND(OR(S_16!$C$13="Nutzungsintensität u Düngung erhöhen",S_16!$C$13="Nutzungsintensität u Düngung reduzieren",S_16!$C$13="Schnittzahl reduzieren",S_16!$C$14="Nutzungsintensität u Düngung erhöhen",S_16!$C$14="Nutzungsintensität u Düngung reduzieren",S_16!$C$14="Schnittzahl reduzieren",S_16!$C$15="Nutzungsintensität u Düngung erhöhen",S_16!$C$15="Nutzungsintensität u Düngung reduzieren",S_16!$C$15="Schnittzahl reduzieren"),S_16!$G$8="JA"),S_16!AG$13,0)</f>
        <v>0</v>
      </c>
      <c r="AS83" s="1860">
        <f>IF(AND(OR(S_16!$C$13="Nutzungsintensität u Düngung erhöhen",S_16!$C$13="Nutzungsintensität u Düngung reduzieren",S_16!$C$13="Schnittzahl reduzieren",S_16!$C$14="Nutzungsintensität u Düngung erhöhen",S_16!$C$14="Nutzungsintensität u Düngung reduzieren",S_16!$C$14="Schnittzahl reduzieren",S_16!$C$15="Nutzungsintensität u Düngung erhöhen",S_16!$C$15="Nutzungsintensität u Düngung reduzieren",S_16!$C$15="Schnittzahl reduzieren"),S_16!$G$8="JA"),S_16!AH$13,0)</f>
        <v>0</v>
      </c>
      <c r="AT83" s="1860">
        <f>IF(AND(OR(S_16!$C$13="Nutzungsintensität u Düngung erhöhen",S_16!$C$13="Nutzungsintensität u Düngung reduzieren",S_16!$C$13="Schnittzahl reduzieren",S_16!$C$14="Nutzungsintensität u Düngung erhöhen",S_16!$C$14="Nutzungsintensität u Düngung reduzieren",S_16!$C$14="Schnittzahl reduzieren",S_16!$C$15="Nutzungsintensität u Düngung erhöhen",S_16!$C$15="Nutzungsintensität u Düngung reduzieren",S_16!$C$15="Schnittzahl reduzieren"),S_16!$G$8="JA"),S_16!AI$13,0)</f>
        <v>0</v>
      </c>
      <c r="AU83" s="1860">
        <f>IF(AND(OR(S_16!$C$13="Nutzungsintensität u Düngung erhöhen",S_16!$C$13="Nutzungsintensität u Düngung reduzieren",S_16!$C$13="Schnittzahl reduzieren",S_16!$C$14="Nutzungsintensität u Düngung erhöhen",S_16!$C$14="Nutzungsintensität u Düngung reduzieren",S_16!$C$14="Schnittzahl reduzieren",S_16!$C$15="Nutzungsintensität u Düngung erhöhen",S_16!$C$15="Nutzungsintensität u Düngung reduzieren",S_16!$C$15="Schnittzahl reduzieren"),S_16!$G$8="JA"),S_16!AJ$13,0)</f>
        <v>0</v>
      </c>
      <c r="AV83" s="1860"/>
      <c r="AW83" s="1860">
        <f t="shared" si="227"/>
        <v>0</v>
      </c>
      <c r="AX83" s="2116">
        <f>IF(AND(OR(S_16!$C$13="Nutzungsintensität u Düngung erhöhen",S_16!$C$13="Nutzungsintensität u Düngung reduzieren",S_16!$C$13="Schnittzahl reduzieren",S_16!$C$14="Nutzungsintensität u Düngung erhöhen",S_16!$C$14="Nutzungsintensität u Düngung reduzieren",S_16!$C$14="Schnittzahl reduzieren",S_16!$C$15="Nutzungsintensität u Düngung erhöhen",S_16!$C$15="Nutzungsintensität u Düngung reduzieren",S_16!$C$15="Schnittzahl reduzieren"),S_16!$G$8="JA"),S_16!AM$13,0)</f>
        <v>0</v>
      </c>
      <c r="BA83" s="1860" t="str">
        <f t="shared" si="228"/>
        <v/>
      </c>
      <c r="BB83" s="1860" t="str">
        <f t="shared" si="229"/>
        <v/>
      </c>
      <c r="BC83" s="1860" t="str">
        <f t="shared" si="230"/>
        <v/>
      </c>
      <c r="BD83" s="1860" t="str">
        <f t="shared" si="231"/>
        <v/>
      </c>
      <c r="BE83" s="1860" t="str">
        <f t="shared" si="232"/>
        <v/>
      </c>
      <c r="BF83" s="1860" t="str">
        <f t="shared" si="233"/>
        <v/>
      </c>
      <c r="BG83" s="1860"/>
      <c r="BH83" s="1860">
        <f>IF(AND(OR(S_16!$C$13="Dauerweidenutzung beenden",S_16!$C$14="Dauerweidenutzung beenden",S_16!$C$15="Dauerweidenutzung beenden"),S_16!$G$8="JA"),S_16!AL$13,0)</f>
        <v>0</v>
      </c>
      <c r="BK83" s="1860" t="str">
        <f t="shared" si="234"/>
        <v/>
      </c>
      <c r="BL83" s="1860" t="str">
        <f t="shared" si="234"/>
        <v/>
      </c>
      <c r="BM83" s="1860" t="str">
        <f t="shared" si="235"/>
        <v/>
      </c>
      <c r="BN83" s="1860" t="str">
        <f t="shared" si="235"/>
        <v/>
      </c>
      <c r="BO83" s="1860" t="str">
        <f t="shared" si="235"/>
        <v/>
      </c>
      <c r="BP83" s="1860" t="str">
        <f t="shared" si="235"/>
        <v/>
      </c>
      <c r="BQ83" s="1860"/>
      <c r="BR83" s="1860">
        <f>IF(AND(OR(S_16!$C$13="als Dauerweide führen",S_16!$C$14="als Dauerweide führen",S_16!$C$15="als Dauerweide führen"),S_16!$G$8="JA"),S_16!AM$13,0)</f>
        <v>0</v>
      </c>
    </row>
    <row r="84" spans="41:70">
      <c r="AO84" s="2129" t="s">
        <v>943</v>
      </c>
      <c r="AP84" s="1860">
        <f>IF(AND(OR(S_17!$C$13="Nutzungsintensität u Düngung erhöhen",S_17!$C$13="Nutzungsintensität u Düngung reduzieren",S_17!$C$13="Schnittzahl reduzieren",S_17!$C$14="Nutzungsintensität u Düngung erhöhen",S_17!$C$14="Nutzungsintensität u Düngung reduzieren",S_17!$C$14="Schnittzahl reduzieren",S_17!$C$15="Nutzungsintensität u Düngung erhöhen",S_17!$C$15="Nutzungsintensität u Düngung reduzieren",S_17!$C$15="Schnittzahl reduzieren"),S_17!$G$8="JA"),S_17!AE$13,0)</f>
        <v>0</v>
      </c>
      <c r="AQ84" s="1860">
        <f>IF(AND(OR(S_17!$C$13="Nutzungsintensität u Düngung erhöhen",S_17!$C$13="Nutzungsintensität u Düngung reduzieren",S_17!$C$13="Schnittzahl reduzieren",S_17!$C$14="Nutzungsintensität u Düngung erhöhen",S_17!$C$14="Nutzungsintensität u Düngung reduzieren",S_17!$C$14="Schnittzahl reduzieren",S_17!$C$15="Nutzungsintensität u Düngung erhöhen",S_17!$C$15="Nutzungsintensität u Düngung reduzieren",S_17!$C$15="Schnittzahl reduzieren"),S_17!$G$8="JA"),S_17!AF$13,0)</f>
        <v>0</v>
      </c>
      <c r="AR84" s="1860">
        <f>IF(AND(OR(S_17!$C$13="Nutzungsintensität u Düngung erhöhen",S_17!$C$13="Nutzungsintensität u Düngung reduzieren",S_17!$C$13="Schnittzahl reduzieren",S_17!$C$14="Nutzungsintensität u Düngung erhöhen",S_17!$C$14="Nutzungsintensität u Düngung reduzieren",S_17!$C$14="Schnittzahl reduzieren",S_17!$C$15="Nutzungsintensität u Düngung erhöhen",S_17!$C$15="Nutzungsintensität u Düngung reduzieren",S_17!$C$15="Schnittzahl reduzieren"),S_17!$G$8="JA"),S_17!AG$13,0)</f>
        <v>0</v>
      </c>
      <c r="AS84" s="1860">
        <f>IF(AND(OR(S_17!$C$13="Nutzungsintensität u Düngung erhöhen",S_17!$C$13="Nutzungsintensität u Düngung reduzieren",S_17!$C$13="Schnittzahl reduzieren",S_17!$C$14="Nutzungsintensität u Düngung erhöhen",S_17!$C$14="Nutzungsintensität u Düngung reduzieren",S_17!$C$14="Schnittzahl reduzieren",S_17!$C$15="Nutzungsintensität u Düngung erhöhen",S_17!$C$15="Nutzungsintensität u Düngung reduzieren",S_17!$C$15="Schnittzahl reduzieren"),S_17!$G$8="JA"),S_17!AH$13,0)</f>
        <v>0</v>
      </c>
      <c r="AT84" s="1860">
        <f>IF(AND(OR(S_17!$C$13="Nutzungsintensität u Düngung erhöhen",S_17!$C$13="Nutzungsintensität u Düngung reduzieren",S_17!$C$13="Schnittzahl reduzieren",S_17!$C$14="Nutzungsintensität u Düngung erhöhen",S_17!$C$14="Nutzungsintensität u Düngung reduzieren",S_17!$C$14="Schnittzahl reduzieren",S_17!$C$15="Nutzungsintensität u Düngung erhöhen",S_17!$C$15="Nutzungsintensität u Düngung reduzieren",S_17!$C$15="Schnittzahl reduzieren"),S_17!$G$8="JA"),S_17!AI$13,0)</f>
        <v>0</v>
      </c>
      <c r="AU84" s="1860">
        <f>IF(AND(OR(S_17!$C$13="Nutzungsintensität u Düngung erhöhen",S_17!$C$13="Nutzungsintensität u Düngung reduzieren",S_17!$C$13="Schnittzahl reduzieren",S_17!$C$14="Nutzungsintensität u Düngung erhöhen",S_17!$C$14="Nutzungsintensität u Düngung reduzieren",S_17!$C$14="Schnittzahl reduzieren",S_17!$C$15="Nutzungsintensität u Düngung erhöhen",S_17!$C$15="Nutzungsintensität u Düngung reduzieren",S_17!$C$15="Schnittzahl reduzieren"),S_17!$G$8="JA"),S_17!AJ$13,0)</f>
        <v>0</v>
      </c>
      <c r="AV84" s="1860"/>
      <c r="AW84" s="1860">
        <f t="shared" si="227"/>
        <v>0</v>
      </c>
      <c r="AX84" s="2116">
        <f>IF(AND(OR(S_17!$C$13="Nutzungsintensität u Düngung erhöhen",S_17!$C$13="Nutzungsintensität u Düngung reduzieren",S_17!$C$13="Schnittzahl reduzieren",S_17!$C$14="Nutzungsintensität u Düngung erhöhen",S_17!$C$14="Nutzungsintensität u Düngung reduzieren",S_17!$C$14="Schnittzahl reduzieren",S_17!$C$15="Nutzungsintensität u Düngung erhöhen",S_17!$C$15="Nutzungsintensität u Düngung reduzieren",S_17!$C$15="Schnittzahl reduzieren"),S_17!$G$8="JA"),S_17!AM$13,0)</f>
        <v>0</v>
      </c>
      <c r="BA84" s="1860" t="str">
        <f t="shared" si="228"/>
        <v/>
      </c>
      <c r="BB84" s="1860" t="str">
        <f t="shared" si="229"/>
        <v/>
      </c>
      <c r="BC84" s="1860" t="str">
        <f t="shared" si="230"/>
        <v/>
      </c>
      <c r="BD84" s="1860" t="str">
        <f t="shared" si="231"/>
        <v/>
      </c>
      <c r="BE84" s="1860" t="str">
        <f t="shared" si="232"/>
        <v/>
      </c>
      <c r="BF84" s="1860" t="str">
        <f t="shared" si="233"/>
        <v/>
      </c>
      <c r="BG84" s="1860"/>
      <c r="BH84" s="1860">
        <f>IF(AND(OR(S_17!$C$13="Dauerweidenutzung beenden",S_17!$C$14="Dauerweidenutzung beenden",S_17!$C$15="Dauerweidenutzung beenden"),S_17!$G$8="JA"),S_17!AL$13,0)</f>
        <v>0</v>
      </c>
      <c r="BK84" s="1860" t="str">
        <f t="shared" si="234"/>
        <v/>
      </c>
      <c r="BL84" s="1860" t="str">
        <f t="shared" si="234"/>
        <v/>
      </c>
      <c r="BM84" s="1860" t="str">
        <f t="shared" si="235"/>
        <v/>
      </c>
      <c r="BN84" s="1860" t="str">
        <f t="shared" si="235"/>
        <v/>
      </c>
      <c r="BO84" s="1860" t="str">
        <f t="shared" si="235"/>
        <v/>
      </c>
      <c r="BP84" s="1860" t="str">
        <f t="shared" si="235"/>
        <v/>
      </c>
      <c r="BQ84" s="1860"/>
      <c r="BR84" s="1860">
        <f>IF(AND(OR(S_17!$C$13="als Dauerweide führen",S_17!$C$14="als Dauerweide führen",S_17!$C$15="als Dauerweide führen"),S_17!$G$8="JA"),S_17!AM$13,0)</f>
        <v>0</v>
      </c>
    </row>
    <row r="85" spans="41:70">
      <c r="AO85" s="2129" t="s">
        <v>944</v>
      </c>
      <c r="AP85" s="1860">
        <f>IF(AND(OR(S_18!$C$13="Nutzungsintensität u Düngung erhöhen",S_18!$C$13="Nutzungsintensität u Düngung reduzieren",S_18!$C$13="Schnittzahl reduzieren",S_18!$C$14="Nutzungsintensität u Düngung erhöhen",S_18!$C$14="Nutzungsintensität u Düngung reduzieren",S_18!$C$14="Schnittzahl reduzieren",S_18!$C$15="Nutzungsintensität u Düngung erhöhen",S_18!$C$15="Nutzungsintensität u Düngung reduzieren",S_18!$C$15="Schnittzahl reduzieren"),S_18!$G$8="JA"),S_18!AE$13,0)</f>
        <v>0</v>
      </c>
      <c r="AQ85" s="1860">
        <f>IF(AND(OR(S_18!$C$13="Nutzungsintensität u Düngung erhöhen",S_18!$C$13="Nutzungsintensität u Düngung reduzieren",S_18!$C$13="Schnittzahl reduzieren",S_18!$C$14="Nutzungsintensität u Düngung erhöhen",S_18!$C$14="Nutzungsintensität u Düngung reduzieren",S_18!$C$14="Schnittzahl reduzieren",S_18!$C$15="Nutzungsintensität u Düngung erhöhen",S_18!$C$15="Nutzungsintensität u Düngung reduzieren",S_18!$C$15="Schnittzahl reduzieren"),S_18!$G$8="JA"),S_18!AF$13,0)</f>
        <v>0</v>
      </c>
      <c r="AR85" s="1860">
        <f>IF(AND(OR(S_18!$C$13="Nutzungsintensität u Düngung erhöhen",S_18!$C$13="Nutzungsintensität u Düngung reduzieren",S_18!$C$13="Schnittzahl reduzieren",S_18!$C$14="Nutzungsintensität u Düngung erhöhen",S_18!$C$14="Nutzungsintensität u Düngung reduzieren",S_18!$C$14="Schnittzahl reduzieren",S_18!$C$15="Nutzungsintensität u Düngung erhöhen",S_18!$C$15="Nutzungsintensität u Düngung reduzieren",S_18!$C$15="Schnittzahl reduzieren"),S_18!$G$8="JA"),S_18!AG$13,0)</f>
        <v>0</v>
      </c>
      <c r="AS85" s="1860">
        <f>IF(AND(OR(S_18!$C$13="Nutzungsintensität u Düngung erhöhen",S_18!$C$13="Nutzungsintensität u Düngung reduzieren",S_18!$C$13="Schnittzahl reduzieren",S_18!$C$14="Nutzungsintensität u Düngung erhöhen",S_18!$C$14="Nutzungsintensität u Düngung reduzieren",S_18!$C$14="Schnittzahl reduzieren",S_18!$C$15="Nutzungsintensität u Düngung erhöhen",S_18!$C$15="Nutzungsintensität u Düngung reduzieren",S_18!$C$15="Schnittzahl reduzieren"),S_18!$G$8="JA"),S_18!AH$13,0)</f>
        <v>0</v>
      </c>
      <c r="AT85" s="1860">
        <f>IF(AND(OR(S_18!$C$13="Nutzungsintensität u Düngung erhöhen",S_18!$C$13="Nutzungsintensität u Düngung reduzieren",S_18!$C$13="Schnittzahl reduzieren",S_18!$C$14="Nutzungsintensität u Düngung erhöhen",S_18!$C$14="Nutzungsintensität u Düngung reduzieren",S_18!$C$14="Schnittzahl reduzieren",S_18!$C$15="Nutzungsintensität u Düngung erhöhen",S_18!$C$15="Nutzungsintensität u Düngung reduzieren",S_18!$C$15="Schnittzahl reduzieren"),S_18!$G$8="JA"),S_18!AI$13,0)</f>
        <v>0</v>
      </c>
      <c r="AU85" s="1860">
        <f>IF(AND(OR(S_18!$C$13="Nutzungsintensität u Düngung erhöhen",S_18!$C$13="Nutzungsintensität u Düngung reduzieren",S_18!$C$13="Schnittzahl reduzieren",S_18!$C$14="Nutzungsintensität u Düngung erhöhen",S_18!$C$14="Nutzungsintensität u Düngung reduzieren",S_18!$C$14="Schnittzahl reduzieren",S_18!$C$15="Nutzungsintensität u Düngung erhöhen",S_18!$C$15="Nutzungsintensität u Düngung reduzieren",S_18!$C$15="Schnittzahl reduzieren"),S_18!$G$8="JA"),S_18!AJ$13,0)</f>
        <v>0</v>
      </c>
      <c r="AV85" s="1860"/>
      <c r="AW85" s="1860">
        <f t="shared" si="227"/>
        <v>0</v>
      </c>
      <c r="AX85" s="2116">
        <f>IF(AND(OR(S_18!$C$13="Nutzungsintensität u Düngung erhöhen",S_18!$C$13="Nutzungsintensität u Düngung reduzieren",S_18!$C$13="Schnittzahl reduzieren",S_18!$C$14="Nutzungsintensität u Düngung erhöhen",S_18!$C$14="Nutzungsintensität u Düngung reduzieren",S_18!$C$14="Schnittzahl reduzieren",S_18!$C$15="Nutzungsintensität u Düngung erhöhen",S_18!$C$15="Nutzungsintensität u Düngung reduzieren",S_18!$C$15="Schnittzahl reduzieren"),S_18!$G$8="JA"),S_18!AM$13,0)</f>
        <v>0</v>
      </c>
      <c r="BA85" s="1860" t="str">
        <f t="shared" si="228"/>
        <v/>
      </c>
      <c r="BB85" s="1860" t="str">
        <f t="shared" si="229"/>
        <v/>
      </c>
      <c r="BC85" s="1860" t="str">
        <f t="shared" si="230"/>
        <v/>
      </c>
      <c r="BD85" s="1860" t="str">
        <f t="shared" si="231"/>
        <v/>
      </c>
      <c r="BE85" s="1860" t="str">
        <f t="shared" si="232"/>
        <v/>
      </c>
      <c r="BF85" s="1860" t="str">
        <f t="shared" si="233"/>
        <v/>
      </c>
      <c r="BG85" s="1860"/>
      <c r="BH85" s="1860">
        <f>IF(AND(OR(S_18!$C$13="Dauerweidenutzung beenden",S_18!$C$14="Dauerweidenutzung beenden",S_18!$C$15="Dauerweidenutzung beenden"),S_18!$G$8="JA"),S_18!AL$13,0)</f>
        <v>0</v>
      </c>
      <c r="BK85" s="1860" t="str">
        <f t="shared" si="234"/>
        <v/>
      </c>
      <c r="BL85" s="1860" t="str">
        <f t="shared" si="234"/>
        <v/>
      </c>
      <c r="BM85" s="1860" t="str">
        <f t="shared" si="235"/>
        <v/>
      </c>
      <c r="BN85" s="1860" t="str">
        <f t="shared" si="235"/>
        <v/>
      </c>
      <c r="BO85" s="1860" t="str">
        <f t="shared" si="235"/>
        <v/>
      </c>
      <c r="BP85" s="1860" t="str">
        <f t="shared" si="235"/>
        <v/>
      </c>
      <c r="BQ85" s="1860"/>
      <c r="BR85" s="1860">
        <f>IF(AND(OR(S_18!$C$13="als Dauerweide führen",S_18!$C$14="als Dauerweide führen",S_18!$C$15="als Dauerweide führen"),S_18!$G$8="JA"),S_18!AM$13,0)</f>
        <v>0</v>
      </c>
    </row>
    <row r="86" spans="41:70">
      <c r="AO86" s="2129" t="s">
        <v>945</v>
      </c>
      <c r="AP86" s="1860">
        <f>IF(AND(OR(S_19!$C$13="Nutzungsintensität u Düngung erhöhen",S_19!$C$13="Nutzungsintensität u Düngung reduzieren",S_19!$C$13="Schnittzahl reduzieren",S_19!$C$14="Nutzungsintensität u Düngung erhöhen",S_19!$C$14="Nutzungsintensität u Düngung reduzieren",S_19!$C$14="Schnittzahl reduzieren",S_19!$C$15="Nutzungsintensität u Düngung erhöhen",S_19!$C$15="Nutzungsintensität u Düngung reduzieren",S_19!$C$15="Schnittzahl reduzieren"),S_19!$G$8="JA"),S_19!AE$13,0)</f>
        <v>0</v>
      </c>
      <c r="AQ86" s="1860">
        <f>IF(AND(OR(S_19!$C$13="Nutzungsintensität u Düngung erhöhen",S_19!$C$13="Nutzungsintensität u Düngung reduzieren",S_19!$C$13="Schnittzahl reduzieren",S_19!$C$14="Nutzungsintensität u Düngung erhöhen",S_19!$C$14="Nutzungsintensität u Düngung reduzieren",S_19!$C$14="Schnittzahl reduzieren",S_19!$C$15="Nutzungsintensität u Düngung erhöhen",S_19!$C$15="Nutzungsintensität u Düngung reduzieren",S_19!$C$15="Schnittzahl reduzieren"),S_19!$G$8="JA"),S_19!AF$13,0)</f>
        <v>0</v>
      </c>
      <c r="AR86" s="1860">
        <f>IF(AND(OR(S_19!$C$13="Nutzungsintensität u Düngung erhöhen",S_19!$C$13="Nutzungsintensität u Düngung reduzieren",S_19!$C$13="Schnittzahl reduzieren",S_19!$C$14="Nutzungsintensität u Düngung erhöhen",S_19!$C$14="Nutzungsintensität u Düngung reduzieren",S_19!$C$14="Schnittzahl reduzieren",S_19!$C$15="Nutzungsintensität u Düngung erhöhen",S_19!$C$15="Nutzungsintensität u Düngung reduzieren",S_19!$C$15="Schnittzahl reduzieren"),S_19!$G$8="JA"),S_19!AG$13,0)</f>
        <v>0</v>
      </c>
      <c r="AS86" s="1860">
        <f>IF(AND(OR(S_19!$C$13="Nutzungsintensität u Düngung erhöhen",S_19!$C$13="Nutzungsintensität u Düngung reduzieren",S_19!$C$13="Schnittzahl reduzieren",S_19!$C$14="Nutzungsintensität u Düngung erhöhen",S_19!$C$14="Nutzungsintensität u Düngung reduzieren",S_19!$C$14="Schnittzahl reduzieren",S_19!$C$15="Nutzungsintensität u Düngung erhöhen",S_19!$C$15="Nutzungsintensität u Düngung reduzieren",S_19!$C$15="Schnittzahl reduzieren"),S_19!$G$8="JA"),S_19!AH$13,0)</f>
        <v>0</v>
      </c>
      <c r="AT86" s="1860">
        <f>IF(AND(OR(S_19!$C$13="Nutzungsintensität u Düngung erhöhen",S_19!$C$13="Nutzungsintensität u Düngung reduzieren",S_19!$C$13="Schnittzahl reduzieren",S_19!$C$14="Nutzungsintensität u Düngung erhöhen",S_19!$C$14="Nutzungsintensität u Düngung reduzieren",S_19!$C$14="Schnittzahl reduzieren",S_19!$C$15="Nutzungsintensität u Düngung erhöhen",S_19!$C$15="Nutzungsintensität u Düngung reduzieren",S_19!$C$15="Schnittzahl reduzieren"),S_19!$G$8="JA"),S_19!AI$13,0)</f>
        <v>0</v>
      </c>
      <c r="AU86" s="1860">
        <f>IF(AND(OR(S_19!$C$13="Nutzungsintensität u Düngung erhöhen",S_19!$C$13="Nutzungsintensität u Düngung reduzieren",S_19!$C$13="Schnittzahl reduzieren",S_19!$C$14="Nutzungsintensität u Düngung erhöhen",S_19!$C$14="Nutzungsintensität u Düngung reduzieren",S_19!$C$14="Schnittzahl reduzieren",S_19!$C$15="Nutzungsintensität u Düngung erhöhen",S_19!$C$15="Nutzungsintensität u Düngung reduzieren",S_19!$C$15="Schnittzahl reduzieren"),S_19!$G$8="JA"),S_19!AJ$13,0)</f>
        <v>0</v>
      </c>
      <c r="AV86" s="1860"/>
      <c r="AW86" s="1860">
        <f t="shared" si="227"/>
        <v>0</v>
      </c>
      <c r="AX86" s="2116">
        <f>IF(AND(OR(S_19!$C$13="Nutzungsintensität u Düngung erhöhen",S_19!$C$13="Nutzungsintensität u Düngung reduzieren",S_19!$C$13="Schnittzahl reduzieren",S_19!$C$14="Nutzungsintensität u Düngung erhöhen",S_19!$C$14="Nutzungsintensität u Düngung reduzieren",S_19!$C$14="Schnittzahl reduzieren",S_19!$C$15="Nutzungsintensität u Düngung erhöhen",S_19!$C$15="Nutzungsintensität u Düngung reduzieren",S_19!$C$15="Schnittzahl reduzieren"),S_19!$G$8="JA"),S_19!AM$13,0)</f>
        <v>0</v>
      </c>
      <c r="BA86" s="1860" t="str">
        <f t="shared" si="228"/>
        <v/>
      </c>
      <c r="BB86" s="1860" t="str">
        <f t="shared" si="229"/>
        <v/>
      </c>
      <c r="BC86" s="1860" t="str">
        <f t="shared" si="230"/>
        <v/>
      </c>
      <c r="BD86" s="1860" t="str">
        <f t="shared" si="231"/>
        <v/>
      </c>
      <c r="BE86" s="1860" t="str">
        <f t="shared" si="232"/>
        <v/>
      </c>
      <c r="BF86" s="1860" t="str">
        <f t="shared" si="233"/>
        <v/>
      </c>
      <c r="BG86" s="1860"/>
      <c r="BH86" s="1860">
        <f>IF(AND(OR(S_19!$C$13="Dauerweidenutzung beenden",S_19!$C$14="Dauerweidenutzung beenden",S_19!$C$15="Dauerweidenutzung beenden"),S_19!$G$8="JA"),S_19!AL$13,0)</f>
        <v>0</v>
      </c>
      <c r="BK86" s="1860" t="str">
        <f t="shared" si="234"/>
        <v/>
      </c>
      <c r="BL86" s="1860" t="str">
        <f t="shared" si="234"/>
        <v/>
      </c>
      <c r="BM86" s="1860" t="str">
        <f t="shared" si="235"/>
        <v/>
      </c>
      <c r="BN86" s="1860" t="str">
        <f t="shared" si="235"/>
        <v/>
      </c>
      <c r="BO86" s="1860" t="str">
        <f t="shared" si="235"/>
        <v/>
      </c>
      <c r="BP86" s="1860" t="str">
        <f t="shared" si="235"/>
        <v/>
      </c>
      <c r="BQ86" s="1860"/>
      <c r="BR86" s="1860">
        <f>IF(AND(OR(S_19!$C$13="als Dauerweide führen",S_19!$C$14="als Dauerweide führen",S_19!$C$15="als Dauerweide führen"),S_19!$G$8="JA"),S_19!AM$13,0)</f>
        <v>0</v>
      </c>
    </row>
    <row r="87" spans="41:70">
      <c r="AO87" s="2129" t="s">
        <v>946</v>
      </c>
      <c r="AP87" s="1860">
        <f>IF(AND(OR(S_20!$C$13="Nutzungsintensität u Düngung erhöhen",S_20!$C$13="Nutzungsintensität u Düngung reduzieren",S_20!$C$13="Schnittzahl reduzieren",S_20!$C$14="Nutzungsintensität u Düngung erhöhen",S_20!$C$14="Nutzungsintensität u Düngung reduzieren",S_20!$C$14="Schnittzahl reduzieren",S_20!$C$15="Nutzungsintensität u Düngung erhöhen",S_20!$C$15="Nutzungsintensität u Düngung reduzieren",S_20!$C$15="Schnittzahl reduzieren"),S_20!$G$8="JA"),S_20!AE$13,0)</f>
        <v>0</v>
      </c>
      <c r="AQ87" s="1860">
        <f>IF(AND(OR(S_20!$C$13="Nutzungsintensität u Düngung erhöhen",S_20!$C$13="Nutzungsintensität u Düngung reduzieren",S_20!$C$13="Schnittzahl reduzieren",S_20!$C$14="Nutzungsintensität u Düngung erhöhen",S_20!$C$14="Nutzungsintensität u Düngung reduzieren",S_20!$C$14="Schnittzahl reduzieren",S_20!$C$15="Nutzungsintensität u Düngung erhöhen",S_20!$C$15="Nutzungsintensität u Düngung reduzieren",S_20!$C$15="Schnittzahl reduzieren"),S_20!$G$8="JA"),S_20!AF$13,0)</f>
        <v>0</v>
      </c>
      <c r="AR87" s="1860">
        <f>IF(AND(OR(S_20!$C$13="Nutzungsintensität u Düngung erhöhen",S_20!$C$13="Nutzungsintensität u Düngung reduzieren",S_20!$C$13="Schnittzahl reduzieren",S_20!$C$14="Nutzungsintensität u Düngung erhöhen",S_20!$C$14="Nutzungsintensität u Düngung reduzieren",S_20!$C$14="Schnittzahl reduzieren",S_20!$C$15="Nutzungsintensität u Düngung erhöhen",S_20!$C$15="Nutzungsintensität u Düngung reduzieren",S_20!$C$15="Schnittzahl reduzieren"),S_20!$G$8="JA"),S_20!AG$13,0)</f>
        <v>0</v>
      </c>
      <c r="AS87" s="1860">
        <f>IF(AND(OR(S_20!$C$13="Nutzungsintensität u Düngung erhöhen",S_20!$C$13="Nutzungsintensität u Düngung reduzieren",S_20!$C$13="Schnittzahl reduzieren",S_20!$C$14="Nutzungsintensität u Düngung erhöhen",S_20!$C$14="Nutzungsintensität u Düngung reduzieren",S_20!$C$14="Schnittzahl reduzieren",S_20!$C$15="Nutzungsintensität u Düngung erhöhen",S_20!$C$15="Nutzungsintensität u Düngung reduzieren",S_20!$C$15="Schnittzahl reduzieren"),S_20!$G$8="JA"),S_20!AH$13,0)</f>
        <v>0</v>
      </c>
      <c r="AT87" s="1860">
        <f>IF(AND(OR(S_20!$C$13="Nutzungsintensität u Düngung erhöhen",S_20!$C$13="Nutzungsintensität u Düngung reduzieren",S_20!$C$13="Schnittzahl reduzieren",S_20!$C$14="Nutzungsintensität u Düngung erhöhen",S_20!$C$14="Nutzungsintensität u Düngung reduzieren",S_20!$C$14="Schnittzahl reduzieren",S_20!$C$15="Nutzungsintensität u Düngung erhöhen",S_20!$C$15="Nutzungsintensität u Düngung reduzieren",S_20!$C$15="Schnittzahl reduzieren"),S_20!$G$8="JA"),S_20!AI$13,0)</f>
        <v>0</v>
      </c>
      <c r="AU87" s="1860">
        <f>IF(AND(OR(S_20!$C$13="Nutzungsintensität u Düngung erhöhen",S_20!$C$13="Nutzungsintensität u Düngung reduzieren",S_20!$C$13="Schnittzahl reduzieren",S_20!$C$14="Nutzungsintensität u Düngung erhöhen",S_20!$C$14="Nutzungsintensität u Düngung reduzieren",S_20!$C$14="Schnittzahl reduzieren",S_20!$C$15="Nutzungsintensität u Düngung erhöhen",S_20!$C$15="Nutzungsintensität u Düngung reduzieren",S_20!$C$15="Schnittzahl reduzieren"),S_20!$G$8="JA"),S_20!AJ$13,0)</f>
        <v>0</v>
      </c>
      <c r="AV87" s="1860"/>
      <c r="AW87" s="1860">
        <f t="shared" si="227"/>
        <v>0</v>
      </c>
      <c r="AX87" s="2116">
        <f>IF(AND(OR(S_20!$C$13="Nutzungsintensität u Düngung erhöhen",S_20!$C$13="Nutzungsintensität u Düngung reduzieren",S_20!$C$13="Schnittzahl reduzieren",S_20!$C$14="Nutzungsintensität u Düngung erhöhen",S_20!$C$14="Nutzungsintensität u Düngung reduzieren",S_20!$C$14="Schnittzahl reduzieren",S_20!$C$15="Nutzungsintensität u Düngung erhöhen",S_20!$C$15="Nutzungsintensität u Düngung reduzieren",S_20!$C$15="Schnittzahl reduzieren"),S_20!$G$8="JA"),S_20!AM$13,0)</f>
        <v>0</v>
      </c>
      <c r="BA87" s="1860" t="str">
        <f t="shared" si="228"/>
        <v/>
      </c>
      <c r="BB87" s="1860" t="str">
        <f t="shared" si="229"/>
        <v/>
      </c>
      <c r="BC87" s="1860" t="str">
        <f t="shared" si="230"/>
        <v/>
      </c>
      <c r="BD87" s="1860" t="str">
        <f t="shared" si="231"/>
        <v/>
      </c>
      <c r="BE87" s="1860" t="str">
        <f t="shared" si="232"/>
        <v/>
      </c>
      <c r="BF87" s="1860" t="str">
        <f t="shared" si="233"/>
        <v/>
      </c>
      <c r="BG87" s="1860"/>
      <c r="BH87" s="1860">
        <f>IF(AND(OR(S_20!$C$13="Dauerweidenutzung beenden",S_20!$C$14="Dauerweidenutzung beenden",S_20!$C$15="Dauerweidenutzung beenden"),S_20!$G$8="JA"),S_20!AL$13,0)</f>
        <v>0</v>
      </c>
      <c r="BK87" s="1860" t="str">
        <f t="shared" si="234"/>
        <v/>
      </c>
      <c r="BL87" s="1860" t="str">
        <f t="shared" si="234"/>
        <v/>
      </c>
      <c r="BM87" s="1860" t="str">
        <f t="shared" si="235"/>
        <v/>
      </c>
      <c r="BN87" s="1860" t="str">
        <f t="shared" si="235"/>
        <v/>
      </c>
      <c r="BO87" s="1860" t="str">
        <f t="shared" si="235"/>
        <v/>
      </c>
      <c r="BP87" s="1860" t="str">
        <f t="shared" si="235"/>
        <v/>
      </c>
      <c r="BQ87" s="1860"/>
      <c r="BR87" s="1860">
        <f>IF(AND(OR(S_20!$C$13="als Dauerweide führen",S_20!$C$14="als Dauerweide führen",S_20!$C$15="als Dauerweide führen"),S_20!$G$8="JA"),S_20!AM$13,0)</f>
        <v>0</v>
      </c>
    </row>
    <row r="88" spans="41:70">
      <c r="AO88" s="2129" t="s">
        <v>947</v>
      </c>
      <c r="AP88" s="1860">
        <f>IF(AND(OR(S_21!$C$13="Nutzungsintensität u Düngung erhöhen",S_21!$C$13="Nutzungsintensität u Düngung reduzieren",S_21!$C$13="Schnittzahl reduzieren",S_21!$C$14="Nutzungsintensität u Düngung erhöhen",S_21!$C$14="Nutzungsintensität u Düngung reduzieren",S_21!$C$14="Schnittzahl reduzieren",S_21!$C$15="Nutzungsintensität u Düngung erhöhen",S_21!$C$15="Nutzungsintensität u Düngung reduzieren",S_21!$C$15="Schnittzahl reduzieren"),S_21!$G$8="JA"),S_21!AE$13,0)</f>
        <v>0</v>
      </c>
      <c r="AQ88" s="1860">
        <f>IF(AND(OR(S_21!$C$13="Nutzungsintensität u Düngung erhöhen",S_21!$C$13="Nutzungsintensität u Düngung reduzieren",S_21!$C$13="Schnittzahl reduzieren",S_21!$C$14="Nutzungsintensität u Düngung erhöhen",S_21!$C$14="Nutzungsintensität u Düngung reduzieren",S_21!$C$14="Schnittzahl reduzieren",S_21!$C$15="Nutzungsintensität u Düngung erhöhen",S_21!$C$15="Nutzungsintensität u Düngung reduzieren",S_21!$C$15="Schnittzahl reduzieren"),S_21!$G$8="JA"),S_21!AF$13,0)</f>
        <v>0</v>
      </c>
      <c r="AR88" s="1860">
        <f>IF(AND(OR(S_21!$C$13="Nutzungsintensität u Düngung erhöhen",S_21!$C$13="Nutzungsintensität u Düngung reduzieren",S_21!$C$13="Schnittzahl reduzieren",S_21!$C$14="Nutzungsintensität u Düngung erhöhen",S_21!$C$14="Nutzungsintensität u Düngung reduzieren",S_21!$C$14="Schnittzahl reduzieren",S_21!$C$15="Nutzungsintensität u Düngung erhöhen",S_21!$C$15="Nutzungsintensität u Düngung reduzieren",S_21!$C$15="Schnittzahl reduzieren"),S_21!$G$8="JA"),S_21!AG$13,0)</f>
        <v>0</v>
      </c>
      <c r="AS88" s="1860">
        <f>IF(AND(OR(S_21!$C$13="Nutzungsintensität u Düngung erhöhen",S_21!$C$13="Nutzungsintensität u Düngung reduzieren",S_21!$C$13="Schnittzahl reduzieren",S_21!$C$14="Nutzungsintensität u Düngung erhöhen",S_21!$C$14="Nutzungsintensität u Düngung reduzieren",S_21!$C$14="Schnittzahl reduzieren",S_21!$C$15="Nutzungsintensität u Düngung erhöhen",S_21!$C$15="Nutzungsintensität u Düngung reduzieren",S_21!$C$15="Schnittzahl reduzieren"),S_21!$G$8="JA"),S_21!AH$13,0)</f>
        <v>0</v>
      </c>
      <c r="AT88" s="1860">
        <f>IF(AND(OR(S_21!$C$13="Nutzungsintensität u Düngung erhöhen",S_21!$C$13="Nutzungsintensität u Düngung reduzieren",S_21!$C$13="Schnittzahl reduzieren",S_21!$C$14="Nutzungsintensität u Düngung erhöhen",S_21!$C$14="Nutzungsintensität u Düngung reduzieren",S_21!$C$14="Schnittzahl reduzieren",S_21!$C$15="Nutzungsintensität u Düngung erhöhen",S_21!$C$15="Nutzungsintensität u Düngung reduzieren",S_21!$C$15="Schnittzahl reduzieren"),S_21!$G$8="JA"),S_21!AI$13,0)</f>
        <v>0</v>
      </c>
      <c r="AU88" s="1860">
        <f>IF(AND(OR(S_21!$C$13="Nutzungsintensität u Düngung erhöhen",S_21!$C$13="Nutzungsintensität u Düngung reduzieren",S_21!$C$13="Schnittzahl reduzieren",S_21!$C$14="Nutzungsintensität u Düngung erhöhen",S_21!$C$14="Nutzungsintensität u Düngung reduzieren",S_21!$C$14="Schnittzahl reduzieren",S_21!$C$15="Nutzungsintensität u Düngung erhöhen",S_21!$C$15="Nutzungsintensität u Düngung reduzieren",S_21!$C$15="Schnittzahl reduzieren"),S_21!$G$8="JA"),S_21!AJ$13,0)</f>
        <v>0</v>
      </c>
      <c r="AV88" s="1860"/>
      <c r="AW88" s="1860">
        <f t="shared" si="227"/>
        <v>0</v>
      </c>
      <c r="AX88" s="2116">
        <f>IF(AND(OR(S_21!$C$13="Nutzungsintensität u Düngung erhöhen",S_21!$C$13="Nutzungsintensität u Düngung reduzieren",S_21!$C$13="Schnittzahl reduzieren",S_21!$C$14="Nutzungsintensität u Düngung erhöhen",S_21!$C$14="Nutzungsintensität u Düngung reduzieren",S_21!$C$14="Schnittzahl reduzieren",S_21!$C$15="Nutzungsintensität u Düngung erhöhen",S_21!$C$15="Nutzungsintensität u Düngung reduzieren",S_21!$C$15="Schnittzahl reduzieren"),S_21!$G$8="JA"),S_21!AM$13,0)</f>
        <v>0</v>
      </c>
      <c r="BA88" s="1860" t="str">
        <f t="shared" si="228"/>
        <v/>
      </c>
      <c r="BB88" s="1860" t="str">
        <f t="shared" si="229"/>
        <v/>
      </c>
      <c r="BC88" s="1860" t="str">
        <f t="shared" si="230"/>
        <v/>
      </c>
      <c r="BD88" s="1860" t="str">
        <f t="shared" si="231"/>
        <v/>
      </c>
      <c r="BE88" s="1860" t="str">
        <f t="shared" si="232"/>
        <v/>
      </c>
      <c r="BF88" s="1860" t="str">
        <f t="shared" si="233"/>
        <v/>
      </c>
      <c r="BG88" s="1860"/>
      <c r="BH88" s="1860">
        <f>IF(AND(OR(S_21!$C$13="Dauerweidenutzung beenden",S_21!$C$14="Dauerweidenutzung beenden",S_21!$C$15="Dauerweidenutzung beenden"),S_21!$G$8="JA"),S_21!AL$13,0)</f>
        <v>0</v>
      </c>
      <c r="BK88" s="1860" t="str">
        <f t="shared" si="234"/>
        <v/>
      </c>
      <c r="BL88" s="1860" t="str">
        <f t="shared" si="234"/>
        <v/>
      </c>
      <c r="BM88" s="1860" t="str">
        <f t="shared" si="235"/>
        <v/>
      </c>
      <c r="BN88" s="1860" t="str">
        <f t="shared" si="235"/>
        <v/>
      </c>
      <c r="BO88" s="1860" t="str">
        <f t="shared" si="235"/>
        <v/>
      </c>
      <c r="BP88" s="1860" t="str">
        <f t="shared" si="235"/>
        <v/>
      </c>
      <c r="BQ88" s="1860"/>
      <c r="BR88" s="1860">
        <f>IF(AND(OR(S_21!$C$13="als Dauerweide führen",S_21!$C$14="als Dauerweide führen",S_21!$C$15="als Dauerweide führen"),S_21!$G$8="JA"),S_21!AM$13,0)</f>
        <v>0</v>
      </c>
    </row>
    <row r="89" spans="41:70">
      <c r="AO89" s="2129" t="s">
        <v>948</v>
      </c>
      <c r="AP89" s="1860">
        <f>IF(AND(OR(S_22!$C$13="Nutzungsintensität u Düngung erhöhen",S_22!$C$13="Nutzungsintensität u Düngung reduzieren",S_22!$C$13="Schnittzahl reduzieren",S_22!$C$14="Nutzungsintensität u Düngung erhöhen",S_22!$C$14="Nutzungsintensität u Düngung reduzieren",S_22!$C$14="Schnittzahl reduzieren",S_22!$C$15="Nutzungsintensität u Düngung erhöhen",S_22!$C$15="Nutzungsintensität u Düngung reduzieren",S_22!$C$15="Schnittzahl reduzieren"),S_22!$G$8="JA"),S_22!AE$13,0)</f>
        <v>0</v>
      </c>
      <c r="AQ89" s="1860">
        <f>IF(AND(OR(S_22!$C$13="Nutzungsintensität u Düngung erhöhen",S_22!$C$13="Nutzungsintensität u Düngung reduzieren",S_22!$C$13="Schnittzahl reduzieren",S_22!$C$14="Nutzungsintensität u Düngung erhöhen",S_22!$C$14="Nutzungsintensität u Düngung reduzieren",S_22!$C$14="Schnittzahl reduzieren",S_22!$C$15="Nutzungsintensität u Düngung erhöhen",S_22!$C$15="Nutzungsintensität u Düngung reduzieren",S_22!$C$15="Schnittzahl reduzieren"),S_22!$G$8="JA"),S_22!AF$13,0)</f>
        <v>0</v>
      </c>
      <c r="AR89" s="1860">
        <f>IF(AND(OR(S_22!$C$13="Nutzungsintensität u Düngung erhöhen",S_22!$C$13="Nutzungsintensität u Düngung reduzieren",S_22!$C$13="Schnittzahl reduzieren",S_22!$C$14="Nutzungsintensität u Düngung erhöhen",S_22!$C$14="Nutzungsintensität u Düngung reduzieren",S_22!$C$14="Schnittzahl reduzieren",S_22!$C$15="Nutzungsintensität u Düngung erhöhen",S_22!$C$15="Nutzungsintensität u Düngung reduzieren",S_22!$C$15="Schnittzahl reduzieren"),S_22!$G$8="JA"),S_22!AG$13,0)</f>
        <v>0</v>
      </c>
      <c r="AS89" s="1860">
        <f>IF(AND(OR(S_22!$C$13="Nutzungsintensität u Düngung erhöhen",S_22!$C$13="Nutzungsintensität u Düngung reduzieren",S_22!$C$13="Schnittzahl reduzieren",S_22!$C$14="Nutzungsintensität u Düngung erhöhen",S_22!$C$14="Nutzungsintensität u Düngung reduzieren",S_22!$C$14="Schnittzahl reduzieren",S_22!$C$15="Nutzungsintensität u Düngung erhöhen",S_22!$C$15="Nutzungsintensität u Düngung reduzieren",S_22!$C$15="Schnittzahl reduzieren"),S_22!$G$8="JA"),S_22!AH$13,0)</f>
        <v>0</v>
      </c>
      <c r="AT89" s="1860">
        <f>IF(AND(OR(S_22!$C$13="Nutzungsintensität u Düngung erhöhen",S_22!$C$13="Nutzungsintensität u Düngung reduzieren",S_22!$C$13="Schnittzahl reduzieren",S_22!$C$14="Nutzungsintensität u Düngung erhöhen",S_22!$C$14="Nutzungsintensität u Düngung reduzieren",S_22!$C$14="Schnittzahl reduzieren",S_22!$C$15="Nutzungsintensität u Düngung erhöhen",S_22!$C$15="Nutzungsintensität u Düngung reduzieren",S_22!$C$15="Schnittzahl reduzieren"),S_22!$G$8="JA"),S_22!AI$13,0)</f>
        <v>0</v>
      </c>
      <c r="AU89" s="1860">
        <f>IF(AND(OR(S_22!$C$13="Nutzungsintensität u Düngung erhöhen",S_22!$C$13="Nutzungsintensität u Düngung reduzieren",S_22!$C$13="Schnittzahl reduzieren",S_22!$C$14="Nutzungsintensität u Düngung erhöhen",S_22!$C$14="Nutzungsintensität u Düngung reduzieren",S_22!$C$14="Schnittzahl reduzieren",S_22!$C$15="Nutzungsintensität u Düngung erhöhen",S_22!$C$15="Nutzungsintensität u Düngung reduzieren",S_22!$C$15="Schnittzahl reduzieren"),S_22!$G$8="JA"),S_22!AJ$13,0)</f>
        <v>0</v>
      </c>
      <c r="AV89" s="1860"/>
      <c r="AW89" s="1860">
        <f t="shared" si="227"/>
        <v>0</v>
      </c>
      <c r="AX89" s="2116">
        <f>IF(AND(OR(S_22!$C$13="Nutzungsintensität u Düngung erhöhen",S_22!$C$13="Nutzungsintensität u Düngung reduzieren",S_22!$C$13="Schnittzahl reduzieren",S_22!$C$14="Nutzungsintensität u Düngung erhöhen",S_22!$C$14="Nutzungsintensität u Düngung reduzieren",S_22!$C$14="Schnittzahl reduzieren",S_22!$C$15="Nutzungsintensität u Düngung erhöhen",S_22!$C$15="Nutzungsintensität u Düngung reduzieren",S_22!$C$15="Schnittzahl reduzieren"),S_22!$G$8="JA"),S_22!AM$13,0)</f>
        <v>0</v>
      </c>
      <c r="BA89" s="1860" t="str">
        <f t="shared" si="228"/>
        <v/>
      </c>
      <c r="BB89" s="1860" t="str">
        <f t="shared" si="229"/>
        <v/>
      </c>
      <c r="BC89" s="1860" t="str">
        <f t="shared" si="230"/>
        <v/>
      </c>
      <c r="BD89" s="1860" t="str">
        <f t="shared" si="231"/>
        <v/>
      </c>
      <c r="BE89" s="1860" t="str">
        <f t="shared" si="232"/>
        <v/>
      </c>
      <c r="BF89" s="1860" t="str">
        <f t="shared" si="233"/>
        <v/>
      </c>
      <c r="BG89" s="1860"/>
      <c r="BH89" s="1860">
        <f>IF(AND(OR(S_22!$C$13="Dauerweidenutzung beenden",S_22!$C$14="Dauerweidenutzung beenden",S_22!$C$15="Dauerweidenutzung beenden"),S_22!$G$8="JA"),S_22!AL$13,0)</f>
        <v>0</v>
      </c>
      <c r="BK89" s="1860" t="str">
        <f t="shared" si="234"/>
        <v/>
      </c>
      <c r="BL89" s="1860" t="str">
        <f t="shared" si="234"/>
        <v/>
      </c>
      <c r="BM89" s="1860" t="str">
        <f t="shared" si="235"/>
        <v/>
      </c>
      <c r="BN89" s="1860" t="str">
        <f t="shared" si="235"/>
        <v/>
      </c>
      <c r="BO89" s="1860" t="str">
        <f t="shared" si="235"/>
        <v/>
      </c>
      <c r="BP89" s="1860" t="str">
        <f t="shared" si="235"/>
        <v/>
      </c>
      <c r="BQ89" s="1860"/>
      <c r="BR89" s="1860">
        <f>IF(AND(OR(S_22!$C$13="als Dauerweide führen",S_22!$C$14="als Dauerweide führen",S_22!$C$15="als Dauerweide führen"),S_22!$G$8="JA"),S_22!AM$13,0)</f>
        <v>0</v>
      </c>
    </row>
    <row r="90" spans="41:70">
      <c r="AO90" s="2129" t="s">
        <v>949</v>
      </c>
      <c r="AP90" s="1860">
        <f>IF(AND(OR(S_23!$C$13="Nutzungsintensität u Düngung erhöhen",S_23!$C$13="Nutzungsintensität u Düngung reduzieren",S_23!$C$13="Schnittzahl reduzieren",S_23!$C$14="Nutzungsintensität u Düngung erhöhen",S_23!$C$14="Nutzungsintensität u Düngung reduzieren",S_23!$C$14="Schnittzahl reduzieren",S_23!$C$15="Nutzungsintensität u Düngung erhöhen",S_23!$C$15="Nutzungsintensität u Düngung reduzieren",S_23!$C$15="Schnittzahl reduzieren"),S_23!$G$8="JA"),S_23!AE$13,0)</f>
        <v>0</v>
      </c>
      <c r="AQ90" s="1860">
        <f>IF(AND(OR(S_23!$C$13="Nutzungsintensität u Düngung erhöhen",S_23!$C$13="Nutzungsintensität u Düngung reduzieren",S_23!$C$13="Schnittzahl reduzieren",S_23!$C$14="Nutzungsintensität u Düngung erhöhen",S_23!$C$14="Nutzungsintensität u Düngung reduzieren",S_23!$C$14="Schnittzahl reduzieren",S_23!$C$15="Nutzungsintensität u Düngung erhöhen",S_23!$C$15="Nutzungsintensität u Düngung reduzieren",S_23!$C$15="Schnittzahl reduzieren"),S_23!$G$8="JA"),S_23!AF$13,0)</f>
        <v>0</v>
      </c>
      <c r="AR90" s="1860">
        <f>IF(AND(OR(S_23!$C$13="Nutzungsintensität u Düngung erhöhen",S_23!$C$13="Nutzungsintensität u Düngung reduzieren",S_23!$C$13="Schnittzahl reduzieren",S_23!$C$14="Nutzungsintensität u Düngung erhöhen",S_23!$C$14="Nutzungsintensität u Düngung reduzieren",S_23!$C$14="Schnittzahl reduzieren",S_23!$C$15="Nutzungsintensität u Düngung erhöhen",S_23!$C$15="Nutzungsintensität u Düngung reduzieren",S_23!$C$15="Schnittzahl reduzieren"),S_23!$G$8="JA"),S_23!AG$13,0)</f>
        <v>0</v>
      </c>
      <c r="AS90" s="1860">
        <f>IF(AND(OR(S_23!$C$13="Nutzungsintensität u Düngung erhöhen",S_23!$C$13="Nutzungsintensität u Düngung reduzieren",S_23!$C$13="Schnittzahl reduzieren",S_23!$C$14="Nutzungsintensität u Düngung erhöhen",S_23!$C$14="Nutzungsintensität u Düngung reduzieren",S_23!$C$14="Schnittzahl reduzieren",S_23!$C$15="Nutzungsintensität u Düngung erhöhen",S_23!$C$15="Nutzungsintensität u Düngung reduzieren",S_23!$C$15="Schnittzahl reduzieren"),S_23!$G$8="JA"),S_23!AH$13,0)</f>
        <v>0</v>
      </c>
      <c r="AT90" s="1860">
        <f>IF(AND(OR(S_23!$C$13="Nutzungsintensität u Düngung erhöhen",S_23!$C$13="Nutzungsintensität u Düngung reduzieren",S_23!$C$13="Schnittzahl reduzieren",S_23!$C$14="Nutzungsintensität u Düngung erhöhen",S_23!$C$14="Nutzungsintensität u Düngung reduzieren",S_23!$C$14="Schnittzahl reduzieren",S_23!$C$15="Nutzungsintensität u Düngung erhöhen",S_23!$C$15="Nutzungsintensität u Düngung reduzieren",S_23!$C$15="Schnittzahl reduzieren"),S_23!$G$8="JA"),S_23!AI$13,0)</f>
        <v>0</v>
      </c>
      <c r="AU90" s="1860">
        <f>IF(AND(OR(S_23!$C$13="Nutzungsintensität u Düngung erhöhen",S_23!$C$13="Nutzungsintensität u Düngung reduzieren",S_23!$C$13="Schnittzahl reduzieren",S_23!$C$14="Nutzungsintensität u Düngung erhöhen",S_23!$C$14="Nutzungsintensität u Düngung reduzieren",S_23!$C$14="Schnittzahl reduzieren",S_23!$C$15="Nutzungsintensität u Düngung erhöhen",S_23!$C$15="Nutzungsintensität u Düngung reduzieren",S_23!$C$15="Schnittzahl reduzieren"),S_23!$G$8="JA"),S_23!AJ$13,0)</f>
        <v>0</v>
      </c>
      <c r="AV90" s="1860"/>
      <c r="AW90" s="1860">
        <f t="shared" si="227"/>
        <v>0</v>
      </c>
      <c r="AX90" s="2116">
        <f>IF(AND(OR(S_23!$C$13="Nutzungsintensität u Düngung erhöhen",S_23!$C$13="Nutzungsintensität u Düngung reduzieren",S_23!$C$13="Schnittzahl reduzieren",S_23!$C$14="Nutzungsintensität u Düngung erhöhen",S_23!$C$14="Nutzungsintensität u Düngung reduzieren",S_23!$C$14="Schnittzahl reduzieren",S_23!$C$15="Nutzungsintensität u Düngung erhöhen",S_23!$C$15="Nutzungsintensität u Düngung reduzieren",S_23!$C$15="Schnittzahl reduzieren"),S_23!$G$8="JA"),S_23!AM$13,0)</f>
        <v>0</v>
      </c>
      <c r="BA90" s="1860" t="str">
        <f t="shared" si="228"/>
        <v/>
      </c>
      <c r="BB90" s="1860" t="str">
        <f t="shared" si="229"/>
        <v/>
      </c>
      <c r="BC90" s="1860" t="str">
        <f t="shared" si="230"/>
        <v/>
      </c>
      <c r="BD90" s="1860" t="str">
        <f t="shared" si="231"/>
        <v/>
      </c>
      <c r="BE90" s="1860" t="str">
        <f t="shared" si="232"/>
        <v/>
      </c>
      <c r="BF90" s="1860" t="str">
        <f t="shared" si="233"/>
        <v/>
      </c>
      <c r="BG90" s="1860"/>
      <c r="BH90" s="1860">
        <f>IF(AND(OR(S_23!$C$13="Dauerweidenutzung beenden",S_23!$C$14="Dauerweidenutzung beenden",S_23!$C$15="Dauerweidenutzung beenden"),S_23!$G$8="JA"),S_23!AL$13,0)</f>
        <v>0</v>
      </c>
      <c r="BK90" s="1860" t="str">
        <f t="shared" si="234"/>
        <v/>
      </c>
      <c r="BL90" s="1860" t="str">
        <f t="shared" si="234"/>
        <v/>
      </c>
      <c r="BM90" s="1860" t="str">
        <f t="shared" si="235"/>
        <v/>
      </c>
      <c r="BN90" s="1860" t="str">
        <f t="shared" si="235"/>
        <v/>
      </c>
      <c r="BO90" s="1860" t="str">
        <f t="shared" si="235"/>
        <v/>
      </c>
      <c r="BP90" s="1860" t="str">
        <f t="shared" si="235"/>
        <v/>
      </c>
      <c r="BQ90" s="1860"/>
      <c r="BR90" s="1860">
        <f>IF(AND(OR(S_23!$C$13="als Dauerweide führen",S_23!$C$14="als Dauerweide führen",S_23!$C$15="als Dauerweide führen"),S_23!$G$8="JA"),S_23!AM$13,0)</f>
        <v>0</v>
      </c>
    </row>
    <row r="91" spans="41:70">
      <c r="AO91" s="2129" t="s">
        <v>950</v>
      </c>
      <c r="AP91" s="1860">
        <f>IF(AND(OR(S_24!$C$13="Nutzungsintensität u Düngung erhöhen",S_24!$C$13="Nutzungsintensität u Düngung reduzieren",S_24!$C$13="Schnittzahl reduzieren",S_24!$C$14="Nutzungsintensität u Düngung erhöhen",S_24!$C$14="Nutzungsintensität u Düngung reduzieren",S_24!$C$14="Schnittzahl reduzieren",S_24!$C$15="Nutzungsintensität u Düngung erhöhen",S_24!$C$15="Nutzungsintensität u Düngung reduzieren",S_24!$C$15="Schnittzahl reduzieren"),S_24!$G$8="JA"),S_24!AE$13,0)</f>
        <v>0</v>
      </c>
      <c r="AQ91" s="1860">
        <f>IF(AND(OR(S_24!$C$13="Nutzungsintensität u Düngung erhöhen",S_24!$C$13="Nutzungsintensität u Düngung reduzieren",S_24!$C$13="Schnittzahl reduzieren",S_24!$C$14="Nutzungsintensität u Düngung erhöhen",S_24!$C$14="Nutzungsintensität u Düngung reduzieren",S_24!$C$14="Schnittzahl reduzieren",S_24!$C$15="Nutzungsintensität u Düngung erhöhen",S_24!$C$15="Nutzungsintensität u Düngung reduzieren",S_24!$C$15="Schnittzahl reduzieren"),S_24!$G$8="JA"),S_24!AF$13,0)</f>
        <v>0</v>
      </c>
      <c r="AR91" s="1860">
        <f>IF(AND(OR(S_24!$C$13="Nutzungsintensität u Düngung erhöhen",S_24!$C$13="Nutzungsintensität u Düngung reduzieren",S_24!$C$13="Schnittzahl reduzieren",S_24!$C$14="Nutzungsintensität u Düngung erhöhen",S_24!$C$14="Nutzungsintensität u Düngung reduzieren",S_24!$C$14="Schnittzahl reduzieren",S_24!$C$15="Nutzungsintensität u Düngung erhöhen",S_24!$C$15="Nutzungsintensität u Düngung reduzieren",S_24!$C$15="Schnittzahl reduzieren"),S_24!$G$8="JA"),S_24!AG$13,0)</f>
        <v>0</v>
      </c>
      <c r="AS91" s="1860">
        <f>IF(AND(OR(S_24!$C$13="Nutzungsintensität u Düngung erhöhen",S_24!$C$13="Nutzungsintensität u Düngung reduzieren",S_24!$C$13="Schnittzahl reduzieren",S_24!$C$14="Nutzungsintensität u Düngung erhöhen",S_24!$C$14="Nutzungsintensität u Düngung reduzieren",S_24!$C$14="Schnittzahl reduzieren",S_24!$C$15="Nutzungsintensität u Düngung erhöhen",S_24!$C$15="Nutzungsintensität u Düngung reduzieren",S_24!$C$15="Schnittzahl reduzieren"),S_24!$G$8="JA"),S_24!AH$13,0)</f>
        <v>0</v>
      </c>
      <c r="AT91" s="1860">
        <f>IF(AND(OR(S_24!$C$13="Nutzungsintensität u Düngung erhöhen",S_24!$C$13="Nutzungsintensität u Düngung reduzieren",S_24!$C$13="Schnittzahl reduzieren",S_24!$C$14="Nutzungsintensität u Düngung erhöhen",S_24!$C$14="Nutzungsintensität u Düngung reduzieren",S_24!$C$14="Schnittzahl reduzieren",S_24!$C$15="Nutzungsintensität u Düngung erhöhen",S_24!$C$15="Nutzungsintensität u Düngung reduzieren",S_24!$C$15="Schnittzahl reduzieren"),S_24!$G$8="JA"),S_24!AI$13,0)</f>
        <v>0</v>
      </c>
      <c r="AU91" s="1860">
        <f>IF(AND(OR(S_24!$C$13="Nutzungsintensität u Düngung erhöhen",S_24!$C$13="Nutzungsintensität u Düngung reduzieren",S_24!$C$13="Schnittzahl reduzieren",S_24!$C$14="Nutzungsintensität u Düngung erhöhen",S_24!$C$14="Nutzungsintensität u Düngung reduzieren",S_24!$C$14="Schnittzahl reduzieren",S_24!$C$15="Nutzungsintensität u Düngung erhöhen",S_24!$C$15="Nutzungsintensität u Düngung reduzieren",S_24!$C$15="Schnittzahl reduzieren"),S_24!$G$8="JA"),S_24!AJ$13,0)</f>
        <v>0</v>
      </c>
      <c r="AV91" s="1860"/>
      <c r="AW91" s="1860">
        <f t="shared" si="227"/>
        <v>0</v>
      </c>
      <c r="AX91" s="2116">
        <f>IF(AND(OR(S_24!$C$13="Nutzungsintensität u Düngung erhöhen",S_24!$C$13="Nutzungsintensität u Düngung reduzieren",S_24!$C$13="Schnittzahl reduzieren",S_24!$C$14="Nutzungsintensität u Düngung erhöhen",S_24!$C$14="Nutzungsintensität u Düngung reduzieren",S_24!$C$14="Schnittzahl reduzieren",S_24!$C$15="Nutzungsintensität u Düngung erhöhen",S_24!$C$15="Nutzungsintensität u Düngung reduzieren",S_24!$C$15="Schnittzahl reduzieren"),S_24!$G$8="JA"),S_24!AM$13,0)</f>
        <v>0</v>
      </c>
      <c r="BA91" s="1860" t="str">
        <f t="shared" si="228"/>
        <v/>
      </c>
      <c r="BB91" s="1860" t="str">
        <f t="shared" si="229"/>
        <v/>
      </c>
      <c r="BC91" s="1860" t="str">
        <f t="shared" si="230"/>
        <v/>
      </c>
      <c r="BD91" s="1860" t="str">
        <f t="shared" si="231"/>
        <v/>
      </c>
      <c r="BE91" s="1860" t="str">
        <f t="shared" si="232"/>
        <v/>
      </c>
      <c r="BF91" s="1860" t="str">
        <f t="shared" si="233"/>
        <v/>
      </c>
      <c r="BG91" s="1860"/>
      <c r="BH91" s="1860">
        <f>IF(AND(OR(S_24!$C$13="Dauerweidenutzung beenden",S_24!$C$14="Dauerweidenutzung beenden",S_24!$C$15="Dauerweidenutzung beenden"),S_24!$G$8="JA"),S_24!AL$13,0)</f>
        <v>0</v>
      </c>
      <c r="BK91" s="1860" t="str">
        <f t="shared" si="234"/>
        <v/>
      </c>
      <c r="BL91" s="1860" t="str">
        <f t="shared" si="234"/>
        <v/>
      </c>
      <c r="BM91" s="1860" t="str">
        <f t="shared" si="235"/>
        <v/>
      </c>
      <c r="BN91" s="1860" t="str">
        <f t="shared" si="235"/>
        <v/>
      </c>
      <c r="BO91" s="1860" t="str">
        <f t="shared" si="235"/>
        <v/>
      </c>
      <c r="BP91" s="1860" t="str">
        <f t="shared" si="235"/>
        <v/>
      </c>
      <c r="BQ91" s="1860"/>
      <c r="BR91" s="1860">
        <f>IF(AND(OR(S_24!$C$13="als Dauerweide führen",S_24!$C$14="als Dauerweide führen",S_24!$C$15="als Dauerweide führen"),S_24!$G$8="JA"),S_24!AM$13,0)</f>
        <v>0</v>
      </c>
    </row>
    <row r="92" spans="41:70">
      <c r="AO92" s="2129" t="s">
        <v>951</v>
      </c>
      <c r="AP92" s="1860">
        <f>IF(AND(OR(S_25!$C$13="Nutzungsintensität u Düngung erhöhen",S_25!$C$13="Nutzungsintensität u Düngung reduzieren",S_25!$C$13="Schnittzahl reduzieren",S_25!$C$14="Nutzungsintensität u Düngung erhöhen",S_25!$C$14="Nutzungsintensität u Düngung reduzieren",S_25!$C$14="Schnittzahl reduzieren",S_25!$C$15="Nutzungsintensität u Düngung erhöhen",S_25!$C$15="Nutzungsintensität u Düngung reduzieren",S_25!$C$15="Schnittzahl reduzieren"),S_25!$G$8="JA"),S_25!AE$13,0)</f>
        <v>0</v>
      </c>
      <c r="AQ92" s="1860">
        <f>IF(AND(OR(S_25!$C$13="Nutzungsintensität u Düngung erhöhen",S_25!$C$13="Nutzungsintensität u Düngung reduzieren",S_25!$C$13="Schnittzahl reduzieren",S_25!$C$14="Nutzungsintensität u Düngung erhöhen",S_25!$C$14="Nutzungsintensität u Düngung reduzieren",S_25!$C$14="Schnittzahl reduzieren",S_25!$C$15="Nutzungsintensität u Düngung erhöhen",S_25!$C$15="Nutzungsintensität u Düngung reduzieren",S_25!$C$15="Schnittzahl reduzieren"),S_25!$G$8="JA"),S_25!AF$13,0)</f>
        <v>0</v>
      </c>
      <c r="AR92" s="1860">
        <f>IF(AND(OR(S_25!$C$13="Nutzungsintensität u Düngung erhöhen",S_25!$C$13="Nutzungsintensität u Düngung reduzieren",S_25!$C$13="Schnittzahl reduzieren",S_25!$C$14="Nutzungsintensität u Düngung erhöhen",S_25!$C$14="Nutzungsintensität u Düngung reduzieren",S_25!$C$14="Schnittzahl reduzieren",S_25!$C$15="Nutzungsintensität u Düngung erhöhen",S_25!$C$15="Nutzungsintensität u Düngung reduzieren",S_25!$C$15="Schnittzahl reduzieren"),S_25!$G$8="JA"),S_25!AG$13,0)</f>
        <v>0</v>
      </c>
      <c r="AS92" s="1860">
        <f>IF(AND(OR(S_25!$C$13="Nutzungsintensität u Düngung erhöhen",S_25!$C$13="Nutzungsintensität u Düngung reduzieren",S_25!$C$13="Schnittzahl reduzieren",S_25!$C$14="Nutzungsintensität u Düngung erhöhen",S_25!$C$14="Nutzungsintensität u Düngung reduzieren",S_25!$C$14="Schnittzahl reduzieren",S_25!$C$15="Nutzungsintensität u Düngung erhöhen",S_25!$C$15="Nutzungsintensität u Düngung reduzieren",S_25!$C$15="Schnittzahl reduzieren"),S_25!$G$8="JA"),S_25!AH$13,0)</f>
        <v>0</v>
      </c>
      <c r="AT92" s="1860">
        <f>IF(AND(OR(S_25!$C$13="Nutzungsintensität u Düngung erhöhen",S_25!$C$13="Nutzungsintensität u Düngung reduzieren",S_25!$C$13="Schnittzahl reduzieren",S_25!$C$14="Nutzungsintensität u Düngung erhöhen",S_25!$C$14="Nutzungsintensität u Düngung reduzieren",S_25!$C$14="Schnittzahl reduzieren",S_25!$C$15="Nutzungsintensität u Düngung erhöhen",S_25!$C$15="Nutzungsintensität u Düngung reduzieren",S_25!$C$15="Schnittzahl reduzieren"),S_25!$G$8="JA"),S_25!AI$13,0)</f>
        <v>0</v>
      </c>
      <c r="AU92" s="1860">
        <f>IF(AND(OR(S_25!$C$13="Nutzungsintensität u Düngung erhöhen",S_25!$C$13="Nutzungsintensität u Düngung reduzieren",S_25!$C$13="Schnittzahl reduzieren",S_25!$C$14="Nutzungsintensität u Düngung erhöhen",S_25!$C$14="Nutzungsintensität u Düngung reduzieren",S_25!$C$14="Schnittzahl reduzieren",S_25!$C$15="Nutzungsintensität u Düngung erhöhen",S_25!$C$15="Nutzungsintensität u Düngung reduzieren",S_25!$C$15="Schnittzahl reduzieren"),S_25!$G$8="JA"),S_25!AJ$13,0)</f>
        <v>0</v>
      </c>
      <c r="AV92" s="1860"/>
      <c r="AW92" s="1860">
        <f t="shared" si="227"/>
        <v>0</v>
      </c>
      <c r="AX92" s="2116">
        <f>IF(AND(OR(S_25!$C$13="Nutzungsintensität u Düngung erhöhen",S_25!$C$13="Nutzungsintensität u Düngung reduzieren",S_25!$C$13="Schnittzahl reduzieren",S_25!$C$14="Nutzungsintensität u Düngung erhöhen",S_25!$C$14="Nutzungsintensität u Düngung reduzieren",S_25!$C$14="Schnittzahl reduzieren",S_25!$C$15="Nutzungsintensität u Düngung erhöhen",S_25!$C$15="Nutzungsintensität u Düngung reduzieren",S_25!$C$15="Schnittzahl reduzieren"),S_25!$G$8="JA"),S_25!AM$13,0)</f>
        <v>0</v>
      </c>
      <c r="BA92" s="1860" t="str">
        <f t="shared" si="228"/>
        <v/>
      </c>
      <c r="BB92" s="1860" t="str">
        <f t="shared" si="229"/>
        <v/>
      </c>
      <c r="BC92" s="1860" t="str">
        <f t="shared" si="230"/>
        <v/>
      </c>
      <c r="BD92" s="1860" t="str">
        <f t="shared" si="231"/>
        <v/>
      </c>
      <c r="BE92" s="1860" t="str">
        <f t="shared" si="232"/>
        <v/>
      </c>
      <c r="BF92" s="1860" t="str">
        <f t="shared" si="233"/>
        <v/>
      </c>
      <c r="BG92" s="1860"/>
      <c r="BH92" s="1860">
        <f>IF(AND(OR(S_25!$C$13="Dauerweidenutzung beenden",S_25!$C$14="Dauerweidenutzung beenden",S_25!$C$15="Dauerweidenutzung beenden"),S_25!$G$8="JA"),S_25!AL$13,0)</f>
        <v>0</v>
      </c>
      <c r="BK92" s="1860" t="str">
        <f t="shared" si="234"/>
        <v/>
      </c>
      <c r="BL92" s="1860" t="str">
        <f t="shared" si="234"/>
        <v/>
      </c>
      <c r="BM92" s="1860" t="str">
        <f t="shared" si="235"/>
        <v/>
      </c>
      <c r="BN92" s="1860" t="str">
        <f t="shared" si="235"/>
        <v/>
      </c>
      <c r="BO92" s="1860" t="str">
        <f t="shared" si="235"/>
        <v/>
      </c>
      <c r="BP92" s="1860" t="str">
        <f t="shared" si="235"/>
        <v/>
      </c>
      <c r="BQ92" s="1860"/>
      <c r="BR92" s="1860">
        <f>IF(AND(OR(S_25!$C$13="als Dauerweide führen",S_25!$C$14="als Dauerweide führen",S_25!$C$15="als Dauerweide führen"),S_25!$G$8="JA"),S_25!AM$13,0)</f>
        <v>0</v>
      </c>
    </row>
    <row r="93" spans="41:70">
      <c r="AO93" s="2129" t="s">
        <v>952</v>
      </c>
      <c r="AP93" s="1860">
        <f>IF(AND(OR(S_26!$C$13="Nutzungsintensität u Düngung erhöhen",S_26!$C$13="Nutzungsintensität u Düngung reduzieren",S_26!$C$13="Schnittzahl reduzieren",S_26!$C$14="Nutzungsintensität u Düngung erhöhen",S_26!$C$14="Nutzungsintensität u Düngung reduzieren",S_26!$C$14="Schnittzahl reduzieren",S_26!$C$15="Nutzungsintensität u Düngung erhöhen",S_26!$C$15="Nutzungsintensität u Düngung reduzieren",S_26!$C$15="Schnittzahl reduzieren"),S_26!$G$8="JA"),S_26!AE$13,0)</f>
        <v>0</v>
      </c>
      <c r="AQ93" s="1860">
        <f>IF(AND(OR(S_26!$C$13="Nutzungsintensität u Düngung erhöhen",S_26!$C$13="Nutzungsintensität u Düngung reduzieren",S_26!$C$13="Schnittzahl reduzieren",S_26!$C$14="Nutzungsintensität u Düngung erhöhen",S_26!$C$14="Nutzungsintensität u Düngung reduzieren",S_26!$C$14="Schnittzahl reduzieren",S_26!$C$15="Nutzungsintensität u Düngung erhöhen",S_26!$C$15="Nutzungsintensität u Düngung reduzieren",S_26!$C$15="Schnittzahl reduzieren"),S_26!$G$8="JA"),S_26!AF$13,0)</f>
        <v>0</v>
      </c>
      <c r="AR93" s="1860">
        <f>IF(AND(OR(S_26!$C$13="Nutzungsintensität u Düngung erhöhen",S_26!$C$13="Nutzungsintensität u Düngung reduzieren",S_26!$C$13="Schnittzahl reduzieren",S_26!$C$14="Nutzungsintensität u Düngung erhöhen",S_26!$C$14="Nutzungsintensität u Düngung reduzieren",S_26!$C$14="Schnittzahl reduzieren",S_26!$C$15="Nutzungsintensität u Düngung erhöhen",S_26!$C$15="Nutzungsintensität u Düngung reduzieren",S_26!$C$15="Schnittzahl reduzieren"),S_26!$G$8="JA"),S_26!AG$13,0)</f>
        <v>0</v>
      </c>
      <c r="AS93" s="1860">
        <f>IF(AND(OR(S_26!$C$13="Nutzungsintensität u Düngung erhöhen",S_26!$C$13="Nutzungsintensität u Düngung reduzieren",S_26!$C$13="Schnittzahl reduzieren",S_26!$C$14="Nutzungsintensität u Düngung erhöhen",S_26!$C$14="Nutzungsintensität u Düngung reduzieren",S_26!$C$14="Schnittzahl reduzieren",S_26!$C$15="Nutzungsintensität u Düngung erhöhen",S_26!$C$15="Nutzungsintensität u Düngung reduzieren",S_26!$C$15="Schnittzahl reduzieren"),S_26!$G$8="JA"),S_26!AH$13,0)</f>
        <v>0</v>
      </c>
      <c r="AT93" s="1860">
        <f>IF(AND(OR(S_26!$C$13="Nutzungsintensität u Düngung erhöhen",S_26!$C$13="Nutzungsintensität u Düngung reduzieren",S_26!$C$13="Schnittzahl reduzieren",S_26!$C$14="Nutzungsintensität u Düngung erhöhen",S_26!$C$14="Nutzungsintensität u Düngung reduzieren",S_26!$C$14="Schnittzahl reduzieren",S_26!$C$15="Nutzungsintensität u Düngung erhöhen",S_26!$C$15="Nutzungsintensität u Düngung reduzieren",S_26!$C$15="Schnittzahl reduzieren"),S_26!$G$8="JA"),S_26!AI$13,0)</f>
        <v>0</v>
      </c>
      <c r="AU93" s="1860">
        <f>IF(AND(OR(S_26!$C$13="Nutzungsintensität u Düngung erhöhen",S_26!$C$13="Nutzungsintensität u Düngung reduzieren",S_26!$C$13="Schnittzahl reduzieren",S_26!$C$14="Nutzungsintensität u Düngung erhöhen",S_26!$C$14="Nutzungsintensität u Düngung reduzieren",S_26!$C$14="Schnittzahl reduzieren",S_26!$C$15="Nutzungsintensität u Düngung erhöhen",S_26!$C$15="Nutzungsintensität u Düngung reduzieren",S_26!$C$15="Schnittzahl reduzieren"),S_26!$G$8="JA"),S_26!AJ$13,0)</f>
        <v>0</v>
      </c>
      <c r="AV93" s="1860"/>
      <c r="AW93" s="1860">
        <f t="shared" si="227"/>
        <v>0</v>
      </c>
      <c r="AX93" s="2116">
        <f>IF(AND(OR(S_26!$C$13="Nutzungsintensität u Düngung erhöhen",S_26!$C$13="Nutzungsintensität u Düngung reduzieren",S_26!$C$13="Schnittzahl reduzieren",S_26!$C$14="Nutzungsintensität u Düngung erhöhen",S_26!$C$14="Nutzungsintensität u Düngung reduzieren",S_26!$C$14="Schnittzahl reduzieren",S_26!$C$15="Nutzungsintensität u Düngung erhöhen",S_26!$C$15="Nutzungsintensität u Düngung reduzieren",S_26!$C$15="Schnittzahl reduzieren"),S_26!$G$8="JA"),S_26!AM$13,0)</f>
        <v>0</v>
      </c>
      <c r="BA93" s="1860" t="str">
        <f t="shared" si="228"/>
        <v/>
      </c>
      <c r="BB93" s="1860" t="str">
        <f t="shared" si="229"/>
        <v/>
      </c>
      <c r="BC93" s="1860" t="str">
        <f t="shared" si="230"/>
        <v/>
      </c>
      <c r="BD93" s="1860" t="str">
        <f t="shared" si="231"/>
        <v/>
      </c>
      <c r="BE93" s="1860" t="str">
        <f t="shared" si="232"/>
        <v/>
      </c>
      <c r="BF93" s="1860" t="str">
        <f t="shared" si="233"/>
        <v/>
      </c>
      <c r="BG93" s="1860"/>
      <c r="BH93" s="1860">
        <f>IF(AND(OR(S_26!$C$13="Dauerweidenutzung beenden",S_26!$C$14="Dauerweidenutzung beenden",S_26!$C$15="Dauerweidenutzung beenden"),S_26!$G$8="JA"),S_26!AL$13,0)</f>
        <v>0</v>
      </c>
      <c r="BK93" s="1860" t="str">
        <f t="shared" si="234"/>
        <v/>
      </c>
      <c r="BL93" s="1860" t="str">
        <f t="shared" si="234"/>
        <v/>
      </c>
      <c r="BM93" s="1860" t="str">
        <f t="shared" si="235"/>
        <v/>
      </c>
      <c r="BN93" s="1860" t="str">
        <f t="shared" si="235"/>
        <v/>
      </c>
      <c r="BO93" s="1860" t="str">
        <f t="shared" si="235"/>
        <v/>
      </c>
      <c r="BP93" s="1860" t="str">
        <f t="shared" si="235"/>
        <v/>
      </c>
      <c r="BQ93" s="1860"/>
      <c r="BR93" s="1860">
        <f>IF(AND(OR(S_26!$C$13="als Dauerweide führen",S_26!$C$14="als Dauerweide führen",S_26!$C$15="als Dauerweide führen"),S_26!$G$8="JA"),S_26!AM$13,0)</f>
        <v>0</v>
      </c>
    </row>
    <row r="94" spans="41:70">
      <c r="AO94" s="2129" t="s">
        <v>953</v>
      </c>
      <c r="AP94" s="1860">
        <f>IF(AND(OR(S_27!$C$13="Nutzungsintensität u Düngung erhöhen",S_27!$C$13="Nutzungsintensität u Düngung reduzieren",S_27!$C$13="Schnittzahl reduzieren",S_27!$C$14="Nutzungsintensität u Düngung erhöhen",S_27!$C$14="Nutzungsintensität u Düngung reduzieren",S_27!$C$14="Schnittzahl reduzieren",S_27!$C$15="Nutzungsintensität u Düngung erhöhen",S_27!$C$15="Nutzungsintensität u Düngung reduzieren",S_27!$C$15="Schnittzahl reduzieren"),S_27!$G$8="JA"),S_27!AE$13,0)</f>
        <v>0</v>
      </c>
      <c r="AQ94" s="1860">
        <f>IF(AND(OR(S_27!$C$13="Nutzungsintensität u Düngung erhöhen",S_27!$C$13="Nutzungsintensität u Düngung reduzieren",S_27!$C$13="Schnittzahl reduzieren",S_27!$C$14="Nutzungsintensität u Düngung erhöhen",S_27!$C$14="Nutzungsintensität u Düngung reduzieren",S_27!$C$14="Schnittzahl reduzieren",S_27!$C$15="Nutzungsintensität u Düngung erhöhen",S_27!$C$15="Nutzungsintensität u Düngung reduzieren",S_27!$C$15="Schnittzahl reduzieren"),S_27!$G$8="JA"),S_27!AF$13,0)</f>
        <v>0</v>
      </c>
      <c r="AR94" s="1860">
        <f>IF(AND(OR(S_27!$C$13="Nutzungsintensität u Düngung erhöhen",S_27!$C$13="Nutzungsintensität u Düngung reduzieren",S_27!$C$13="Schnittzahl reduzieren",S_27!$C$14="Nutzungsintensität u Düngung erhöhen",S_27!$C$14="Nutzungsintensität u Düngung reduzieren",S_27!$C$14="Schnittzahl reduzieren",S_27!$C$15="Nutzungsintensität u Düngung erhöhen",S_27!$C$15="Nutzungsintensität u Düngung reduzieren",S_27!$C$15="Schnittzahl reduzieren"),S_27!$G$8="JA"),S_27!AG$13,0)</f>
        <v>0</v>
      </c>
      <c r="AS94" s="1860">
        <f>IF(AND(OR(S_27!$C$13="Nutzungsintensität u Düngung erhöhen",S_27!$C$13="Nutzungsintensität u Düngung reduzieren",S_27!$C$13="Schnittzahl reduzieren",S_27!$C$14="Nutzungsintensität u Düngung erhöhen",S_27!$C$14="Nutzungsintensität u Düngung reduzieren",S_27!$C$14="Schnittzahl reduzieren",S_27!$C$15="Nutzungsintensität u Düngung erhöhen",S_27!$C$15="Nutzungsintensität u Düngung reduzieren",S_27!$C$15="Schnittzahl reduzieren"),S_27!$G$8="JA"),S_27!AH$13,0)</f>
        <v>0</v>
      </c>
      <c r="AT94" s="1860">
        <f>IF(AND(OR(S_27!$C$13="Nutzungsintensität u Düngung erhöhen",S_27!$C$13="Nutzungsintensität u Düngung reduzieren",S_27!$C$13="Schnittzahl reduzieren",S_27!$C$14="Nutzungsintensität u Düngung erhöhen",S_27!$C$14="Nutzungsintensität u Düngung reduzieren",S_27!$C$14="Schnittzahl reduzieren",S_27!$C$15="Nutzungsintensität u Düngung erhöhen",S_27!$C$15="Nutzungsintensität u Düngung reduzieren",S_27!$C$15="Schnittzahl reduzieren"),S_27!$G$8="JA"),S_27!AI$13,0)</f>
        <v>0</v>
      </c>
      <c r="AU94" s="1860">
        <f>IF(AND(OR(S_27!$C$13="Nutzungsintensität u Düngung erhöhen",S_27!$C$13="Nutzungsintensität u Düngung reduzieren",S_27!$C$13="Schnittzahl reduzieren",S_27!$C$14="Nutzungsintensität u Düngung erhöhen",S_27!$C$14="Nutzungsintensität u Düngung reduzieren",S_27!$C$14="Schnittzahl reduzieren",S_27!$C$15="Nutzungsintensität u Düngung erhöhen",S_27!$C$15="Nutzungsintensität u Düngung reduzieren",S_27!$C$15="Schnittzahl reduzieren"),S_27!$G$8="JA"),S_27!AJ$13,0)</f>
        <v>0</v>
      </c>
      <c r="AV94" s="1860"/>
      <c r="AW94" s="1860">
        <f t="shared" si="227"/>
        <v>0</v>
      </c>
      <c r="AX94" s="2116">
        <f>IF(AND(OR(S_27!$C$13="Nutzungsintensität u Düngung erhöhen",S_27!$C$13="Nutzungsintensität u Düngung reduzieren",S_27!$C$13="Schnittzahl reduzieren",S_27!$C$14="Nutzungsintensität u Düngung erhöhen",S_27!$C$14="Nutzungsintensität u Düngung reduzieren",S_27!$C$14="Schnittzahl reduzieren",S_27!$C$15="Nutzungsintensität u Düngung erhöhen",S_27!$C$15="Nutzungsintensität u Düngung reduzieren",S_27!$C$15="Schnittzahl reduzieren"),S_27!$G$8="JA"),S_27!AM$13,0)</f>
        <v>0</v>
      </c>
      <c r="BA94" s="1860" t="str">
        <f t="shared" si="228"/>
        <v/>
      </c>
      <c r="BB94" s="1860" t="str">
        <f t="shared" si="229"/>
        <v/>
      </c>
      <c r="BC94" s="1860" t="str">
        <f t="shared" si="230"/>
        <v/>
      </c>
      <c r="BD94" s="1860" t="str">
        <f t="shared" si="231"/>
        <v/>
      </c>
      <c r="BE94" s="1860" t="str">
        <f t="shared" si="232"/>
        <v/>
      </c>
      <c r="BF94" s="1860" t="str">
        <f t="shared" si="233"/>
        <v/>
      </c>
      <c r="BG94" s="1860"/>
      <c r="BH94" s="1860">
        <f>IF(AND(OR(S_27!$C$13="Dauerweidenutzung beenden",S_27!$C$14="Dauerweidenutzung beenden",S_27!$C$15="Dauerweidenutzung beenden"),S_27!$G$8="JA"),S_27!AL$13,0)</f>
        <v>0</v>
      </c>
      <c r="BK94" s="1860" t="str">
        <f t="shared" si="234"/>
        <v/>
      </c>
      <c r="BL94" s="1860" t="str">
        <f t="shared" si="234"/>
        <v/>
      </c>
      <c r="BM94" s="1860" t="str">
        <f t="shared" si="235"/>
        <v/>
      </c>
      <c r="BN94" s="1860" t="str">
        <f t="shared" si="235"/>
        <v/>
      </c>
      <c r="BO94" s="1860" t="str">
        <f t="shared" si="235"/>
        <v/>
      </c>
      <c r="BP94" s="1860" t="str">
        <f t="shared" si="235"/>
        <v/>
      </c>
      <c r="BQ94" s="1860"/>
      <c r="BR94" s="1860">
        <f>IF(AND(OR(S_27!$C$13="als Dauerweide führen",S_27!$C$14="als Dauerweide führen",S_27!$C$15="als Dauerweide führen"),S_27!$G$8="JA"),S_27!AM$13,0)</f>
        <v>0</v>
      </c>
    </row>
    <row r="95" spans="41:70">
      <c r="AO95" s="2129" t="s">
        <v>954</v>
      </c>
      <c r="AP95" s="1860">
        <f>IF(AND(OR(S_28!$C$13="Nutzungsintensität u Düngung erhöhen",S_28!$C$13="Nutzungsintensität u Düngung reduzieren",S_28!$C$13="Schnittzahl reduzieren",S_28!$C$14="Nutzungsintensität u Düngung erhöhen",S_28!$C$14="Nutzungsintensität u Düngung reduzieren",S_28!$C$14="Schnittzahl reduzieren",S_28!$C$15="Nutzungsintensität u Düngung erhöhen",S_28!$C$15="Nutzungsintensität u Düngung reduzieren",S_28!$C$15="Schnittzahl reduzieren"),S_28!$G$8="JA"),S_28!AE$13,0)</f>
        <v>0</v>
      </c>
      <c r="AQ95" s="1860">
        <f>IF(AND(OR(S_28!$C$13="Nutzungsintensität u Düngung erhöhen",S_28!$C$13="Nutzungsintensität u Düngung reduzieren",S_28!$C$13="Schnittzahl reduzieren",S_28!$C$14="Nutzungsintensität u Düngung erhöhen",S_28!$C$14="Nutzungsintensität u Düngung reduzieren",S_28!$C$14="Schnittzahl reduzieren",S_28!$C$15="Nutzungsintensität u Düngung erhöhen",S_28!$C$15="Nutzungsintensität u Düngung reduzieren",S_28!$C$15="Schnittzahl reduzieren"),S_28!$G$8="JA"),S_28!AF$13,0)</f>
        <v>0</v>
      </c>
      <c r="AR95" s="1860">
        <f>IF(AND(OR(S_28!$C$13="Nutzungsintensität u Düngung erhöhen",S_28!$C$13="Nutzungsintensität u Düngung reduzieren",S_28!$C$13="Schnittzahl reduzieren",S_28!$C$14="Nutzungsintensität u Düngung erhöhen",S_28!$C$14="Nutzungsintensität u Düngung reduzieren",S_28!$C$14="Schnittzahl reduzieren",S_28!$C$15="Nutzungsintensität u Düngung erhöhen",S_28!$C$15="Nutzungsintensität u Düngung reduzieren",S_28!$C$15="Schnittzahl reduzieren"),S_28!$G$8="JA"),S_28!AG$13,0)</f>
        <v>0</v>
      </c>
      <c r="AS95" s="1860">
        <f>IF(AND(OR(S_28!$C$13="Nutzungsintensität u Düngung erhöhen",S_28!$C$13="Nutzungsintensität u Düngung reduzieren",S_28!$C$13="Schnittzahl reduzieren",S_28!$C$14="Nutzungsintensität u Düngung erhöhen",S_28!$C$14="Nutzungsintensität u Düngung reduzieren",S_28!$C$14="Schnittzahl reduzieren",S_28!$C$15="Nutzungsintensität u Düngung erhöhen",S_28!$C$15="Nutzungsintensität u Düngung reduzieren",S_28!$C$15="Schnittzahl reduzieren"),S_28!$G$8="JA"),S_28!AH$13,0)</f>
        <v>0</v>
      </c>
      <c r="AT95" s="1860">
        <f>IF(AND(OR(S_28!$C$13="Nutzungsintensität u Düngung erhöhen",S_28!$C$13="Nutzungsintensität u Düngung reduzieren",S_28!$C$13="Schnittzahl reduzieren",S_28!$C$14="Nutzungsintensität u Düngung erhöhen",S_28!$C$14="Nutzungsintensität u Düngung reduzieren",S_28!$C$14="Schnittzahl reduzieren",S_28!$C$15="Nutzungsintensität u Düngung erhöhen",S_28!$C$15="Nutzungsintensität u Düngung reduzieren",S_28!$C$15="Schnittzahl reduzieren"),S_28!$G$8="JA"),S_28!AI$13,0)</f>
        <v>0</v>
      </c>
      <c r="AU95" s="1860">
        <f>IF(AND(OR(S_28!$C$13="Nutzungsintensität u Düngung erhöhen",S_28!$C$13="Nutzungsintensität u Düngung reduzieren",S_28!$C$13="Schnittzahl reduzieren",S_28!$C$14="Nutzungsintensität u Düngung erhöhen",S_28!$C$14="Nutzungsintensität u Düngung reduzieren",S_28!$C$14="Schnittzahl reduzieren",S_28!$C$15="Nutzungsintensität u Düngung erhöhen",S_28!$C$15="Nutzungsintensität u Düngung reduzieren",S_28!$C$15="Schnittzahl reduzieren"),S_28!$G$8="JA"),S_28!AJ$13,0)</f>
        <v>0</v>
      </c>
      <c r="AV95" s="1860"/>
      <c r="AW95" s="1860">
        <f t="shared" si="227"/>
        <v>0</v>
      </c>
      <c r="AX95" s="2116">
        <f>IF(AND(OR(S_28!$C$13="Nutzungsintensität u Düngung erhöhen",S_28!$C$13="Nutzungsintensität u Düngung reduzieren",S_28!$C$13="Schnittzahl reduzieren",S_28!$C$14="Nutzungsintensität u Düngung erhöhen",S_28!$C$14="Nutzungsintensität u Düngung reduzieren",S_28!$C$14="Schnittzahl reduzieren",S_28!$C$15="Nutzungsintensität u Düngung erhöhen",S_28!$C$15="Nutzungsintensität u Düngung reduzieren",S_28!$C$15="Schnittzahl reduzieren"),S_28!$G$8="JA"),S_28!AM$13,0)</f>
        <v>0</v>
      </c>
      <c r="BA95" s="1860" t="str">
        <f t="shared" si="228"/>
        <v/>
      </c>
      <c r="BB95" s="1860" t="str">
        <f t="shared" si="229"/>
        <v/>
      </c>
      <c r="BC95" s="1860" t="str">
        <f t="shared" si="230"/>
        <v/>
      </c>
      <c r="BD95" s="1860" t="str">
        <f t="shared" si="231"/>
        <v/>
      </c>
      <c r="BE95" s="1860" t="str">
        <f t="shared" si="232"/>
        <v/>
      </c>
      <c r="BF95" s="1860" t="str">
        <f t="shared" si="233"/>
        <v/>
      </c>
      <c r="BG95" s="1860"/>
      <c r="BH95" s="1860">
        <f>IF(AND(OR(S_28!$C$13="Dauerweidenutzung beenden",S_28!$C$14="Dauerweidenutzung beenden",S_28!$C$15="Dauerweidenutzung beenden"),S_28!$G$8="JA"),S_28!AL$13,0)</f>
        <v>0</v>
      </c>
      <c r="BK95" s="1860" t="str">
        <f t="shared" si="234"/>
        <v/>
      </c>
      <c r="BL95" s="1860" t="str">
        <f t="shared" si="234"/>
        <v/>
      </c>
      <c r="BM95" s="1860" t="str">
        <f t="shared" si="235"/>
        <v/>
      </c>
      <c r="BN95" s="1860" t="str">
        <f t="shared" si="235"/>
        <v/>
      </c>
      <c r="BO95" s="1860" t="str">
        <f t="shared" si="235"/>
        <v/>
      </c>
      <c r="BP95" s="1860" t="str">
        <f t="shared" si="235"/>
        <v/>
      </c>
      <c r="BQ95" s="1860"/>
      <c r="BR95" s="1860">
        <f>IF(AND(OR(S_28!$C$13="als Dauerweide führen",S_28!$C$14="als Dauerweide führen",S_28!$C$15="als Dauerweide führen"),S_28!$G$8="JA"),S_28!AM$13,0)</f>
        <v>0</v>
      </c>
    </row>
    <row r="96" spans="41:70">
      <c r="AO96" s="2129" t="s">
        <v>955</v>
      </c>
      <c r="AP96" s="1860">
        <f>IF(AND(OR(S_29!$C$13="Nutzungsintensität u Düngung erhöhen",S_29!$C$13="Nutzungsintensität u Düngung reduzieren",S_29!$C$13="Schnittzahl reduzieren",S_29!$C$14="Nutzungsintensität u Düngung erhöhen",S_29!$C$14="Nutzungsintensität u Düngung reduzieren",S_29!$C$14="Schnittzahl reduzieren",S_29!$C$15="Nutzungsintensität u Düngung erhöhen",S_29!$C$15="Nutzungsintensität u Düngung reduzieren",S_29!$C$15="Schnittzahl reduzieren"),S_29!$G$8="JA"),S_29!AE$13,0)</f>
        <v>0</v>
      </c>
      <c r="AQ96" s="1860">
        <f>IF(AND(OR(S_29!$C$13="Nutzungsintensität u Düngung erhöhen",S_29!$C$13="Nutzungsintensität u Düngung reduzieren",S_29!$C$13="Schnittzahl reduzieren",S_29!$C$14="Nutzungsintensität u Düngung erhöhen",S_29!$C$14="Nutzungsintensität u Düngung reduzieren",S_29!$C$14="Schnittzahl reduzieren",S_29!$C$15="Nutzungsintensität u Düngung erhöhen",S_29!$C$15="Nutzungsintensität u Düngung reduzieren",S_29!$C$15="Schnittzahl reduzieren"),S_29!$G$8="JA"),S_29!AF$13,0)</f>
        <v>0</v>
      </c>
      <c r="AR96" s="1860">
        <f>IF(AND(OR(S_29!$C$13="Nutzungsintensität u Düngung erhöhen",S_29!$C$13="Nutzungsintensität u Düngung reduzieren",S_29!$C$13="Schnittzahl reduzieren",S_29!$C$14="Nutzungsintensität u Düngung erhöhen",S_29!$C$14="Nutzungsintensität u Düngung reduzieren",S_29!$C$14="Schnittzahl reduzieren",S_29!$C$15="Nutzungsintensität u Düngung erhöhen",S_29!$C$15="Nutzungsintensität u Düngung reduzieren",S_29!$C$15="Schnittzahl reduzieren"),S_29!$G$8="JA"),S_29!AG$13,0)</f>
        <v>0</v>
      </c>
      <c r="AS96" s="1860">
        <f>IF(AND(OR(S_29!$C$13="Nutzungsintensität u Düngung erhöhen",S_29!$C$13="Nutzungsintensität u Düngung reduzieren",S_29!$C$13="Schnittzahl reduzieren",S_29!$C$14="Nutzungsintensität u Düngung erhöhen",S_29!$C$14="Nutzungsintensität u Düngung reduzieren",S_29!$C$14="Schnittzahl reduzieren",S_29!$C$15="Nutzungsintensität u Düngung erhöhen",S_29!$C$15="Nutzungsintensität u Düngung reduzieren",S_29!$C$15="Schnittzahl reduzieren"),S_29!$G$8="JA"),S_29!AH$13,0)</f>
        <v>0</v>
      </c>
      <c r="AT96" s="1860">
        <f>IF(AND(OR(S_29!$C$13="Nutzungsintensität u Düngung erhöhen",S_29!$C$13="Nutzungsintensität u Düngung reduzieren",S_29!$C$13="Schnittzahl reduzieren",S_29!$C$14="Nutzungsintensität u Düngung erhöhen",S_29!$C$14="Nutzungsintensität u Düngung reduzieren",S_29!$C$14="Schnittzahl reduzieren",S_29!$C$15="Nutzungsintensität u Düngung erhöhen",S_29!$C$15="Nutzungsintensität u Düngung reduzieren",S_29!$C$15="Schnittzahl reduzieren"),S_29!$G$8="JA"),S_29!AI$13,0)</f>
        <v>0</v>
      </c>
      <c r="AU96" s="1860">
        <f>IF(AND(OR(S_29!$C$13="Nutzungsintensität u Düngung erhöhen",S_29!$C$13="Nutzungsintensität u Düngung reduzieren",S_29!$C$13="Schnittzahl reduzieren",S_29!$C$14="Nutzungsintensität u Düngung erhöhen",S_29!$C$14="Nutzungsintensität u Düngung reduzieren",S_29!$C$14="Schnittzahl reduzieren",S_29!$C$15="Nutzungsintensität u Düngung erhöhen",S_29!$C$15="Nutzungsintensität u Düngung reduzieren",S_29!$C$15="Schnittzahl reduzieren"),S_29!$G$8="JA"),S_29!AJ$13,0)</f>
        <v>0</v>
      </c>
      <c r="AV96" s="1860"/>
      <c r="AW96" s="1860">
        <f t="shared" si="227"/>
        <v>0</v>
      </c>
      <c r="AX96" s="2116">
        <f>IF(AND(OR(S_29!$C$13="Nutzungsintensität u Düngung erhöhen",S_29!$C$13="Nutzungsintensität u Düngung reduzieren",S_29!$C$13="Schnittzahl reduzieren",S_29!$C$14="Nutzungsintensität u Düngung erhöhen",S_29!$C$14="Nutzungsintensität u Düngung reduzieren",S_29!$C$14="Schnittzahl reduzieren",S_29!$C$15="Nutzungsintensität u Düngung erhöhen",S_29!$C$15="Nutzungsintensität u Düngung reduzieren",S_29!$C$15="Schnittzahl reduzieren"),S_29!$G$8="JA"),S_29!AM$13,0)</f>
        <v>0</v>
      </c>
      <c r="BA96" s="1860" t="str">
        <f t="shared" si="228"/>
        <v/>
      </c>
      <c r="BB96" s="1860" t="str">
        <f t="shared" si="229"/>
        <v/>
      </c>
      <c r="BC96" s="1860" t="str">
        <f t="shared" si="230"/>
        <v/>
      </c>
      <c r="BD96" s="1860" t="str">
        <f t="shared" si="231"/>
        <v/>
      </c>
      <c r="BE96" s="1860" t="str">
        <f t="shared" si="232"/>
        <v/>
      </c>
      <c r="BF96" s="1860" t="str">
        <f t="shared" si="233"/>
        <v/>
      </c>
      <c r="BG96" s="1860"/>
      <c r="BH96" s="1860">
        <f>IF(AND(OR(S_29!$C$13="Dauerweidenutzung beenden",S_29!$C$14="Dauerweidenutzung beenden",S_29!$C$15="Dauerweidenutzung beenden"),S_29!$G$8="JA"),S_29!AL$13,0)</f>
        <v>0</v>
      </c>
      <c r="BK96" s="1860" t="str">
        <f t="shared" si="234"/>
        <v/>
      </c>
      <c r="BL96" s="1860" t="str">
        <f t="shared" si="234"/>
        <v/>
      </c>
      <c r="BM96" s="1860" t="str">
        <f t="shared" si="235"/>
        <v/>
      </c>
      <c r="BN96" s="1860" t="str">
        <f t="shared" si="235"/>
        <v/>
      </c>
      <c r="BO96" s="1860" t="str">
        <f t="shared" si="235"/>
        <v/>
      </c>
      <c r="BP96" s="1860" t="str">
        <f t="shared" si="235"/>
        <v/>
      </c>
      <c r="BQ96" s="1860"/>
      <c r="BR96" s="1860">
        <f>IF(AND(OR(S_29!$C$13="als Dauerweide führen",S_29!$C$14="als Dauerweide führen",S_29!$C$15="als Dauerweide führen"),S_29!$G$8="JA"),S_29!AM$13,0)</f>
        <v>0</v>
      </c>
    </row>
    <row r="97" spans="41:70">
      <c r="AO97" s="2129" t="s">
        <v>956</v>
      </c>
      <c r="AP97" s="1860">
        <f>IF(AND(OR(S_30!$C$13="Nutzungsintensität u Düngung erhöhen",S_30!$C$13="Nutzungsintensität u Düngung reduzieren",S_30!$C$13="Schnittzahl reduzieren",S_30!$C$14="Nutzungsintensität u Düngung erhöhen",S_30!$C$14="Nutzungsintensität u Düngung reduzieren",S_30!$C$14="Schnittzahl reduzieren",S_30!$C$15="Nutzungsintensität u Düngung erhöhen",S_30!$C$15="Nutzungsintensität u Düngung reduzieren",S_30!$C$15="Schnittzahl reduzieren"),S_30!$G$8="JA"),S_30!AE$13,0)</f>
        <v>0</v>
      </c>
      <c r="AQ97" s="1860">
        <f>IF(AND(OR(S_30!$C$13="Nutzungsintensität u Düngung erhöhen",S_30!$C$13="Nutzungsintensität u Düngung reduzieren",S_30!$C$13="Schnittzahl reduzieren",S_30!$C$14="Nutzungsintensität u Düngung erhöhen",S_30!$C$14="Nutzungsintensität u Düngung reduzieren",S_30!$C$14="Schnittzahl reduzieren",S_30!$C$15="Nutzungsintensität u Düngung erhöhen",S_30!$C$15="Nutzungsintensität u Düngung reduzieren",S_30!$C$15="Schnittzahl reduzieren"),S_30!$G$8="JA"),S_30!AF$13,0)</f>
        <v>0</v>
      </c>
      <c r="AR97" s="1860">
        <f>IF(AND(OR(S_30!$C$13="Nutzungsintensität u Düngung erhöhen",S_30!$C$13="Nutzungsintensität u Düngung reduzieren",S_30!$C$13="Schnittzahl reduzieren",S_30!$C$14="Nutzungsintensität u Düngung erhöhen",S_30!$C$14="Nutzungsintensität u Düngung reduzieren",S_30!$C$14="Schnittzahl reduzieren",S_30!$C$15="Nutzungsintensität u Düngung erhöhen",S_30!$C$15="Nutzungsintensität u Düngung reduzieren",S_30!$C$15="Schnittzahl reduzieren"),S_30!$G$8="JA"),S_30!AG$13,0)</f>
        <v>0</v>
      </c>
      <c r="AS97" s="1860">
        <f>IF(AND(OR(S_30!$C$13="Nutzungsintensität u Düngung erhöhen",S_30!$C$13="Nutzungsintensität u Düngung reduzieren",S_30!$C$13="Schnittzahl reduzieren",S_30!$C$14="Nutzungsintensität u Düngung erhöhen",S_30!$C$14="Nutzungsintensität u Düngung reduzieren",S_30!$C$14="Schnittzahl reduzieren",S_30!$C$15="Nutzungsintensität u Düngung erhöhen",S_30!$C$15="Nutzungsintensität u Düngung reduzieren",S_30!$C$15="Schnittzahl reduzieren"),S_30!$G$8="JA"),S_30!AH$13,0)</f>
        <v>0</v>
      </c>
      <c r="AT97" s="1860">
        <f>IF(AND(OR(S_30!$C$13="Nutzungsintensität u Düngung erhöhen",S_30!$C$13="Nutzungsintensität u Düngung reduzieren",S_30!$C$13="Schnittzahl reduzieren",S_30!$C$14="Nutzungsintensität u Düngung erhöhen",S_30!$C$14="Nutzungsintensität u Düngung reduzieren",S_30!$C$14="Schnittzahl reduzieren",S_30!$C$15="Nutzungsintensität u Düngung erhöhen",S_30!$C$15="Nutzungsintensität u Düngung reduzieren",S_30!$C$15="Schnittzahl reduzieren"),S_30!$G$8="JA"),S_30!AI$13,0)</f>
        <v>0</v>
      </c>
      <c r="AU97" s="1860">
        <f>IF(AND(OR(S_30!$C$13="Nutzungsintensität u Düngung erhöhen",S_30!$C$13="Nutzungsintensität u Düngung reduzieren",S_30!$C$13="Schnittzahl reduzieren",S_30!$C$14="Nutzungsintensität u Düngung erhöhen",S_30!$C$14="Nutzungsintensität u Düngung reduzieren",S_30!$C$14="Schnittzahl reduzieren",S_30!$C$15="Nutzungsintensität u Düngung erhöhen",S_30!$C$15="Nutzungsintensität u Düngung reduzieren",S_30!$C$15="Schnittzahl reduzieren"),S_30!$G$8="JA"),S_30!AJ$13,0)</f>
        <v>0</v>
      </c>
      <c r="AV97" s="1860"/>
      <c r="AW97" s="1860">
        <f t="shared" si="227"/>
        <v>0</v>
      </c>
      <c r="AX97" s="2116">
        <f>IF(AND(OR(S_30!$C$13="Nutzungsintensität u Düngung erhöhen",S_30!$C$13="Nutzungsintensität u Düngung reduzieren",S_30!$C$13="Schnittzahl reduzieren",S_30!$C$14="Nutzungsintensität u Düngung erhöhen",S_30!$C$14="Nutzungsintensität u Düngung reduzieren",S_30!$C$14="Schnittzahl reduzieren",S_30!$C$15="Nutzungsintensität u Düngung erhöhen",S_30!$C$15="Nutzungsintensität u Düngung reduzieren",S_30!$C$15="Schnittzahl reduzieren"),S_30!$G$8="JA"),S_30!AM$13,0)</f>
        <v>0</v>
      </c>
      <c r="BA97" s="1860" t="str">
        <f t="shared" si="228"/>
        <v/>
      </c>
      <c r="BB97" s="1860" t="str">
        <f t="shared" si="229"/>
        <v/>
      </c>
      <c r="BC97" s="1860" t="str">
        <f t="shared" si="230"/>
        <v/>
      </c>
      <c r="BD97" s="1860" t="str">
        <f t="shared" si="231"/>
        <v/>
      </c>
      <c r="BE97" s="1860" t="str">
        <f t="shared" si="232"/>
        <v/>
      </c>
      <c r="BF97" s="1860" t="str">
        <f t="shared" si="233"/>
        <v/>
      </c>
      <c r="BG97" s="1860"/>
      <c r="BH97" s="1860">
        <f>IF(AND(OR(S_30!$C$13="Dauerweidenutzung beenden",S_30!$C$14="Dauerweidenutzung beenden",S_30!$C$15="Dauerweidenutzung beenden"),S_30!$G$8="JA"),S_30!AL$13,0)</f>
        <v>0</v>
      </c>
      <c r="BK97" s="1860" t="str">
        <f t="shared" si="234"/>
        <v/>
      </c>
      <c r="BL97" s="1860" t="str">
        <f t="shared" si="234"/>
        <v/>
      </c>
      <c r="BM97" s="1860" t="str">
        <f t="shared" si="235"/>
        <v/>
      </c>
      <c r="BN97" s="1860" t="str">
        <f t="shared" si="235"/>
        <v/>
      </c>
      <c r="BO97" s="1860" t="str">
        <f t="shared" si="235"/>
        <v/>
      </c>
      <c r="BP97" s="1860" t="str">
        <f t="shared" si="235"/>
        <v/>
      </c>
      <c r="BQ97" s="1860"/>
      <c r="BR97" s="1860">
        <f>IF(AND(OR(S_30!$C$13="als Dauerweide führen",S_30!$C$14="als Dauerweide führen",S_30!$C$15="als Dauerweide führen"),S_30!$G$8="JA"),S_30!AM$13,0)</f>
        <v>0</v>
      </c>
    </row>
    <row r="98" spans="41:70">
      <c r="AO98" s="2129"/>
    </row>
    <row r="99" spans="41:70">
      <c r="AO99" s="2129"/>
    </row>
    <row r="100" spans="41:70">
      <c r="AO100" s="2129"/>
      <c r="BA100" s="2111" t="s">
        <v>1043</v>
      </c>
      <c r="BK100" s="2111" t="s">
        <v>1043</v>
      </c>
    </row>
    <row r="101" spans="41:70">
      <c r="AO101" s="2129"/>
      <c r="BA101" s="1860">
        <f>IF(AND(OR(S_1!$C$13="Nutzungsintensität u Düngung erhöhen",S_1!$C$13="Nutzungsintensität u Düngung reduzieren",S_1!$C$13="Schnittzahl reduzieren",S_1!$C$13="Dauerweidenutzung beenden",S_1!$C$14="Nutzungsintensität u Düngung erhöhen",S_1!$C$14="Nutzungsintensität u Düngung reduzieren",S_1!$C$14="Schnittzahl reduzieren",S_1!$C$14="Dauerweidenutzung beenden",S_1!$C$15="Nutzungsintensität u Düngung erhöhen",S_1!$C$15="Nutzungsintensität u Düngung reduzieren",S_1!$C$15="Schnittzahl reduzieren",S_1!$C$15="Dauerweidenutzung beenden"),S_1!$G$8="JA"),S_1!AE$13,0)</f>
        <v>0</v>
      </c>
      <c r="BB101" s="1860">
        <f>IF(AND(OR(S_1!$C$13="Nutzungsintensität u Düngung erhöhen",S_1!$C$13="Nutzungsintensität u Düngung reduzieren",S_1!$C$13="Schnittzahl reduzieren",S_1!$C$13="Dauerweidenutzung beenden",S_1!$C$14="Nutzungsintensität u Düngung erhöhen",S_1!$C$14="Nutzungsintensität u Düngung reduzieren",S_1!$C$14="Schnittzahl reduzieren",S_1!$C$14="Dauerweidenutzung beenden",S_1!$C$15="Nutzungsintensität u Düngung erhöhen",S_1!$C$15="Nutzungsintensität u Düngung reduzieren",S_1!$C$15="Schnittzahl reduzieren",S_1!$C$15="Dauerweidenutzung beenden"),S_1!$G$8="JA"),S_1!AF$13,0)</f>
        <v>0</v>
      </c>
      <c r="BC101" s="1860">
        <f>IF(AND(OR(S_1!$C$13="Nutzungsintensität u Düngung erhöhen",S_1!$C$13="Nutzungsintensität u Düngung reduzieren",S_1!$C$13="Schnittzahl reduzieren",S_1!$C$13="Dauerweidenutzung beenden",S_1!$C$14="Nutzungsintensität u Düngung erhöhen",S_1!$C$14="Nutzungsintensität u Düngung reduzieren",S_1!$C$14="Schnittzahl reduzieren",S_1!$C$14="Dauerweidenutzung beenden",S_1!$C$15="Nutzungsintensität u Düngung erhöhen",S_1!$C$15="Nutzungsintensität u Düngung reduzieren",S_1!$C$15="Schnittzahl reduzieren",S_1!$C$15="Dauerweidenutzung beenden"),S_1!$G$8="JA"),S_1!AG$13,0)</f>
        <v>0</v>
      </c>
      <c r="BD101" s="1860">
        <f>IF(AND(OR(S_1!$C$13="Nutzungsintensität u Düngung erhöhen",S_1!$C$13="Nutzungsintensität u Düngung reduzieren",S_1!$C$13="Schnittzahl reduzieren",S_1!$C$13="Dauerweidenutzung beenden",S_1!$C$14="Nutzungsintensität u Düngung erhöhen",S_1!$C$14="Nutzungsintensität u Düngung reduzieren",S_1!$C$14="Schnittzahl reduzieren",S_1!$C$14="Dauerweidenutzung beenden",S_1!$C$15="Nutzungsintensität u Düngung erhöhen",S_1!$C$15="Nutzungsintensität u Düngung reduzieren",S_1!$C$15="Schnittzahl reduzieren",S_1!$C$15="Dauerweidenutzung beenden"),S_1!$G$8="JA"),S_1!AH$13,0)</f>
        <v>0</v>
      </c>
      <c r="BE101" s="1860">
        <f>IF(AND(OR(S_1!$C$13="Nutzungsintensität u Düngung erhöhen",S_1!$C$13="Nutzungsintensität u Düngung reduzieren",S_1!$C$13="Schnittzahl reduzieren",S_1!$C$13="Dauerweidenutzung beenden",S_1!$C$14="Nutzungsintensität u Düngung erhöhen",S_1!$C$14="Nutzungsintensität u Düngung reduzieren",S_1!$C$14="Schnittzahl reduzieren",S_1!$C$14="Dauerweidenutzung beenden",S_1!$C$15="Nutzungsintensität u Düngung erhöhen",S_1!$C$15="Nutzungsintensität u Düngung reduzieren",S_1!$C$15="Schnittzahl reduzieren",S_1!$C$15="Dauerweidenutzung beenden"),S_1!$G$8="JA"),S_1!AI$13,0)</f>
        <v>0</v>
      </c>
      <c r="BF101" s="1860">
        <f>IF(AND(OR(S_1!$C$13="Nutzungsintensität u Düngung erhöhen",S_1!$C$13="Nutzungsintensität u Düngung reduzieren",S_1!$C$13="Schnittzahl reduzieren",S_1!$C$13="Dauerweidenutzung beenden",S_1!$C$14="Nutzungsintensität u Düngung erhöhen",S_1!$C$14="Nutzungsintensität u Düngung reduzieren",S_1!$C$14="Schnittzahl reduzieren",S_1!$C$14="Dauerweidenutzung beenden",S_1!$C$15="Nutzungsintensität u Düngung erhöhen",S_1!$C$15="Nutzungsintensität u Düngung reduzieren",S_1!$C$15="Schnittzahl reduzieren",S_1!$C$15="Dauerweidenutzung beenden"),S_1!$G$8="JA"),S_1!AJ$13,0)</f>
        <v>0</v>
      </c>
      <c r="BG101" s="1860"/>
      <c r="BH101" s="1860">
        <f>IF(AND(OR(S_1!$C$13="Dauerweidenutzung beenden",S_1!$C$14="Dauerweidenutzung beenden",S_1!$C$15="Dauerweidenutzung beenden"),S_1!$G$8="JA"),S_1!AL$13,0)</f>
        <v>0</v>
      </c>
      <c r="BI101" s="1865"/>
      <c r="BK101" s="1860">
        <f>IF(AND(OR(S_1!$C$13="als Dauerweide führen",S_1!$C$14="als Dauerweide führen",S_1!$C$15="als Dauerweide führen"),S_1!$G$8="JA"),S_1!AE$13,0)</f>
        <v>0</v>
      </c>
      <c r="BL101" s="1860">
        <f>IF(AND(OR(S_1!$C$13="als Dauerweide führen",S_1!$C$14="als Dauerweide führen",S_1!$C$15="als Dauerweide führen"),S_1!$G$8="JA"),S_1!AF$13,0)</f>
        <v>0</v>
      </c>
      <c r="BM101" s="1860">
        <f>IF(AND(OR(S_1!$C$13="als Dauerweide führen",S_1!$C$14="als Dauerweide führen",S_1!$C$15="als Dauerweide führen"),S_1!$G$8="JA"),S_1!AG$13,0)</f>
        <v>0</v>
      </c>
      <c r="BN101" s="1860">
        <f>IF(AND(OR(S_1!$C$13="als Dauerweide führen",S_1!$C$14="als Dauerweide führen",S_1!$C$15="als Dauerweide führen"),S_1!$G$8="JA"),S_1!AH$13,0)</f>
        <v>0</v>
      </c>
      <c r="BO101" s="1860">
        <f>IF(AND(OR(S_1!$C$13="als Dauerweide führen",S_1!$C$14="als Dauerweide führen",S_1!$C$15="als Dauerweide führen"),S_1!$G$8="JA"),S_1!AI$13,0)</f>
        <v>0</v>
      </c>
      <c r="BP101" s="1860">
        <f>IF(AND(OR(S_1!$C$13="als Dauerweide führen",S_1!$C$14="als Dauerweide führen",S_1!$C$15="als Dauerweide führen"),S_1!$G$8="JA"),S_1!AJ$13,0)</f>
        <v>0</v>
      </c>
      <c r="BQ101" s="1860"/>
      <c r="BR101" s="1860">
        <f>IF(AND(OR(S_1!$C$13="als Dauerweide führen",S_1!$C$14="als Dauerweide führen",S_1!$C$15="als Dauerweide führen"),S_1!$G$8="JA"),S_1!AM$13,0)</f>
        <v>0</v>
      </c>
    </row>
    <row r="102" spans="41:70">
      <c r="AO102" s="2129"/>
      <c r="BA102" s="1860">
        <f>IF(AND(OR(S_2!$C$13="Nutzungsintensität u Düngung erhöhen",S_2!$C$13="Nutzungsintensität u Düngung reduzieren",S_2!$C$13="Schnittzahl reduzieren",S_2!$C$13="Dauerweidenutzung beenden",S_2!$C$14="Nutzungsintensität u Düngung erhöhen",S_2!$C$14="Nutzungsintensität u Düngung reduzieren",S_2!$C$14="Schnittzahl reduzieren",S_2!$C$14="Dauerweidenutzung beenden",S_2!$C$15="Nutzungsintensität u Düngung erhöhen",S_2!$C$15="Nutzungsintensität u Düngung reduzieren",S_2!$C$15="Schnittzahl reduzieren",S_2!$C$15="Dauerweidenutzung beenden"),S_2!$G$8="JA"),S_2!AE$13,0)</f>
        <v>0</v>
      </c>
      <c r="BB102" s="1860">
        <f>IF(AND(OR(S_2!$C$13="Nutzungsintensität u Düngung erhöhen",S_2!$C$13="Nutzungsintensität u Düngung reduzieren",S_2!$C$13="Schnittzahl reduzieren",S_2!$C$13="Dauerweidenutzung beenden",S_2!$C$14="Nutzungsintensität u Düngung erhöhen",S_2!$C$14="Nutzungsintensität u Düngung reduzieren",S_2!$C$14="Schnittzahl reduzieren",S_2!$C$14="Dauerweidenutzung beenden",S_2!$C$15="Nutzungsintensität u Düngung erhöhen",S_2!$C$15="Nutzungsintensität u Düngung reduzieren",S_2!$C$15="Schnittzahl reduzieren",S_2!$C$15="Dauerweidenutzung beenden"),S_2!$G$8="JA"),S_2!AF$13,0)</f>
        <v>0</v>
      </c>
      <c r="BC102" s="1860">
        <f>IF(AND(OR(S_2!$C$13="Nutzungsintensität u Düngung erhöhen",S_2!$C$13="Nutzungsintensität u Düngung reduzieren",S_2!$C$13="Schnittzahl reduzieren",S_2!$C$13="Dauerweidenutzung beenden",S_2!$C$14="Nutzungsintensität u Düngung erhöhen",S_2!$C$14="Nutzungsintensität u Düngung reduzieren",S_2!$C$14="Schnittzahl reduzieren",S_2!$C$14="Dauerweidenutzung beenden",S_2!$C$15="Nutzungsintensität u Düngung erhöhen",S_2!$C$15="Nutzungsintensität u Düngung reduzieren",S_2!$C$15="Schnittzahl reduzieren",S_2!$C$15="Dauerweidenutzung beenden"),S_2!$G$8="JA"),S_2!AG$13,0)</f>
        <v>0</v>
      </c>
      <c r="BD102" s="1860">
        <f>IF(AND(OR(S_2!$C$13="Nutzungsintensität u Düngung erhöhen",S_2!$C$13="Nutzungsintensität u Düngung reduzieren",S_2!$C$13="Schnittzahl reduzieren",S_2!$C$13="Dauerweidenutzung beenden",S_2!$C$14="Nutzungsintensität u Düngung erhöhen",S_2!$C$14="Nutzungsintensität u Düngung reduzieren",S_2!$C$14="Schnittzahl reduzieren",S_2!$C$14="Dauerweidenutzung beenden",S_2!$C$15="Nutzungsintensität u Düngung erhöhen",S_2!$C$15="Nutzungsintensität u Düngung reduzieren",S_2!$C$15="Schnittzahl reduzieren",S_2!$C$15="Dauerweidenutzung beenden"),S_2!$G$8="JA"),S_2!AH$13,0)</f>
        <v>0</v>
      </c>
      <c r="BE102" s="1860">
        <f>IF(AND(OR(S_2!$C$13="Nutzungsintensität u Düngung erhöhen",S_2!$C$13="Nutzungsintensität u Düngung reduzieren",S_2!$C$13="Schnittzahl reduzieren",S_2!$C$13="Dauerweidenutzung beenden",S_2!$C$14="Nutzungsintensität u Düngung erhöhen",S_2!$C$14="Nutzungsintensität u Düngung reduzieren",S_2!$C$14="Schnittzahl reduzieren",S_2!$C$14="Dauerweidenutzung beenden",S_2!$C$15="Nutzungsintensität u Düngung erhöhen",S_2!$C$15="Nutzungsintensität u Düngung reduzieren",S_2!$C$15="Schnittzahl reduzieren",S_2!$C$15="Dauerweidenutzung beenden"),S_2!$G$8="JA"),S_2!AI$13,0)</f>
        <v>0</v>
      </c>
      <c r="BF102" s="1860">
        <f>IF(AND(OR(S_2!$C$13="Nutzungsintensität u Düngung erhöhen",S_2!$C$13="Nutzungsintensität u Düngung reduzieren",S_2!$C$13="Schnittzahl reduzieren",S_2!$C$13="Dauerweidenutzung beenden",S_2!$C$14="Nutzungsintensität u Düngung erhöhen",S_2!$C$14="Nutzungsintensität u Düngung reduzieren",S_2!$C$14="Schnittzahl reduzieren",S_2!$C$14="Dauerweidenutzung beenden",S_2!$C$15="Nutzungsintensität u Düngung erhöhen",S_2!$C$15="Nutzungsintensität u Düngung reduzieren",S_2!$C$15="Schnittzahl reduzieren",S_2!$C$15="Dauerweidenutzung beenden"),S_2!$G$8="JA"),S_2!AJ$13,0)</f>
        <v>0</v>
      </c>
      <c r="BG102" s="1860"/>
      <c r="BH102" s="1860">
        <f>IF(AND(OR(S_2!$C$13="Dauerweidenutzung beenden",S_2!$C$14="Dauerweidenutzung beenden",S_2!$C$15="Dauerweidenutzung beenden"),S_2!$G$8="JA"),S_2!AL$13,0)</f>
        <v>0</v>
      </c>
      <c r="BI102" s="1865"/>
      <c r="BK102" s="1860">
        <f>IF(AND(OR(S_2!$C$13="als Dauerweide führen",S_2!$C$14="als Dauerweide führen",S_2!$C$15="als Dauerweide führen"),S_2!$G$8="JA"),S_2!AE$13,0)</f>
        <v>0</v>
      </c>
      <c r="BL102" s="1860">
        <f>IF(AND(OR(S_2!$C$13="als Dauerweide führen",S_2!$C$14="als Dauerweide führen",S_2!$C$15="als Dauerweide führen"),S_2!$G$8="JA"),S_2!AF$13,0)</f>
        <v>0</v>
      </c>
      <c r="BM102" s="1860">
        <f>IF(AND(OR(S_2!$C$13="als Dauerweide führen",S_2!$C$14="als Dauerweide führen",S_2!$C$15="als Dauerweide führen"),S_2!$G$8="JA"),S_2!AG$13,0)</f>
        <v>0</v>
      </c>
      <c r="BN102" s="1860">
        <f>IF(AND(OR(S_2!$C$13="als Dauerweide führen",S_2!$C$14="als Dauerweide führen",S_2!$C$15="als Dauerweide führen"),S_2!$G$8="JA"),S_2!AH$13,0)</f>
        <v>0</v>
      </c>
      <c r="BO102" s="1860">
        <f>IF(AND(OR(S_2!$C$13="als Dauerweide führen",S_2!$C$14="als Dauerweide führen",S_2!$C$15="als Dauerweide führen"),S_2!$G$8="JA"),S_2!AI$13,0)</f>
        <v>0</v>
      </c>
      <c r="BP102" s="1860">
        <f>IF(AND(OR(S_2!$C$13="als Dauerweide führen",S_2!$C$14="als Dauerweide führen",S_2!$C$15="als Dauerweide führen"),S_2!$G$8="JA"),S_2!AJ$13,0)</f>
        <v>0</v>
      </c>
      <c r="BQ102" s="1860"/>
      <c r="BR102" s="1860">
        <f>IF(AND(OR(S_2!$C$13="als Dauerweide führen",S_2!$C$14="als Dauerweide führen",S_2!$C$15="als Dauerweide führen"),S_2!$G$8="JA"),S_2!AM$13,0)</f>
        <v>0</v>
      </c>
    </row>
    <row r="103" spans="41:70">
      <c r="BA103" s="1860">
        <f>IF(AND(OR(S_3!$C$13="Nutzungsintensität u Düngung erhöhen",S_3!$C$13="Nutzungsintensität u Düngung reduzieren",S_3!$C$13="Schnittzahl reduzieren",S_3!$C$13="Dauerweidenutzung beenden",S_3!$C$14="Nutzungsintensität u Düngung erhöhen",S_3!$C$14="Nutzungsintensität u Düngung reduzieren",S_3!$C$14="Schnittzahl reduzieren",S_3!$C$14="Dauerweidenutzung beenden",S_3!$C$15="Nutzungsintensität u Düngung erhöhen",S_3!$C$15="Nutzungsintensität u Düngung reduzieren",S_3!$C$15="Schnittzahl reduzieren",S_3!$C$15="Dauerweidenutzung beenden"),S_3!$G$8="JA"),S_3!AE$13,0)</f>
        <v>0</v>
      </c>
      <c r="BB103" s="1860">
        <f>IF(AND(OR(S_3!$C$13="Nutzungsintensität u Düngung erhöhen",S_3!$C$13="Nutzungsintensität u Düngung reduzieren",S_3!$C$13="Schnittzahl reduzieren",S_3!$C$13="Dauerweidenutzung beenden",S_3!$C$14="Nutzungsintensität u Düngung erhöhen",S_3!$C$14="Nutzungsintensität u Düngung reduzieren",S_3!$C$14="Schnittzahl reduzieren",S_3!$C$14="Dauerweidenutzung beenden",S_3!$C$15="Nutzungsintensität u Düngung erhöhen",S_3!$C$15="Nutzungsintensität u Düngung reduzieren",S_3!$C$15="Schnittzahl reduzieren",S_3!$C$15="Dauerweidenutzung beenden"),S_3!$G$8="JA"),S_3!AF$13,0)</f>
        <v>0</v>
      </c>
      <c r="BC103" s="1860">
        <f>IF(AND(OR(S_3!$C$13="Nutzungsintensität u Düngung erhöhen",S_3!$C$13="Nutzungsintensität u Düngung reduzieren",S_3!$C$13="Schnittzahl reduzieren",S_3!$C$13="Dauerweidenutzung beenden",S_3!$C$14="Nutzungsintensität u Düngung erhöhen",S_3!$C$14="Nutzungsintensität u Düngung reduzieren",S_3!$C$14="Schnittzahl reduzieren",S_3!$C$14="Dauerweidenutzung beenden",S_3!$C$15="Nutzungsintensität u Düngung erhöhen",S_3!$C$15="Nutzungsintensität u Düngung reduzieren",S_3!$C$15="Schnittzahl reduzieren",S_3!$C$15="Dauerweidenutzung beenden"),S_3!$G$8="JA"),S_3!AG$13,0)</f>
        <v>0</v>
      </c>
      <c r="BD103" s="1860">
        <f>IF(AND(OR(S_3!$C$13="Nutzungsintensität u Düngung erhöhen",S_3!$C$13="Nutzungsintensität u Düngung reduzieren",S_3!$C$13="Schnittzahl reduzieren",S_3!$C$13="Dauerweidenutzung beenden",S_3!$C$14="Nutzungsintensität u Düngung erhöhen",S_3!$C$14="Nutzungsintensität u Düngung reduzieren",S_3!$C$14="Schnittzahl reduzieren",S_3!$C$14="Dauerweidenutzung beenden",S_3!$C$15="Nutzungsintensität u Düngung erhöhen",S_3!$C$15="Nutzungsintensität u Düngung reduzieren",S_3!$C$15="Schnittzahl reduzieren",S_3!$C$15="Dauerweidenutzung beenden"),S_3!$G$8="JA"),S_3!AH$13,0)</f>
        <v>0</v>
      </c>
      <c r="BE103" s="1860">
        <f>IF(AND(OR(S_3!$C$13="Nutzungsintensität u Düngung erhöhen",S_3!$C$13="Nutzungsintensität u Düngung reduzieren",S_3!$C$13="Schnittzahl reduzieren",S_3!$C$13="Dauerweidenutzung beenden",S_3!$C$14="Nutzungsintensität u Düngung erhöhen",S_3!$C$14="Nutzungsintensität u Düngung reduzieren",S_3!$C$14="Schnittzahl reduzieren",S_3!$C$14="Dauerweidenutzung beenden",S_3!$C$15="Nutzungsintensität u Düngung erhöhen",S_3!$C$15="Nutzungsintensität u Düngung reduzieren",S_3!$C$15="Schnittzahl reduzieren",S_3!$C$15="Dauerweidenutzung beenden"),S_3!$G$8="JA"),S_3!AI$13,0)</f>
        <v>0</v>
      </c>
      <c r="BF103" s="1860">
        <f>IF(AND(OR(S_3!$C$13="Nutzungsintensität u Düngung erhöhen",S_3!$C$13="Nutzungsintensität u Düngung reduzieren",S_3!$C$13="Schnittzahl reduzieren",S_3!$C$13="Dauerweidenutzung beenden",S_3!$C$14="Nutzungsintensität u Düngung erhöhen",S_3!$C$14="Nutzungsintensität u Düngung reduzieren",S_3!$C$14="Schnittzahl reduzieren",S_3!$C$14="Dauerweidenutzung beenden",S_3!$C$15="Nutzungsintensität u Düngung erhöhen",S_3!$C$15="Nutzungsintensität u Düngung reduzieren",S_3!$C$15="Schnittzahl reduzieren",S_3!$C$15="Dauerweidenutzung beenden"),S_3!$G$8="JA"),S_3!AJ$13,0)</f>
        <v>0</v>
      </c>
      <c r="BG103" s="1860"/>
      <c r="BH103" s="1860">
        <f>IF(AND(OR(S_3!$C$13="Dauerweidenutzung beenden",S_3!$C$14="Dauerweidenutzung beenden",S_3!$C$15="Dauerweidenutzung beenden"),S_3!$G$8="JA"),S_3!AL$13,0)</f>
        <v>0</v>
      </c>
      <c r="BI103" s="1865"/>
      <c r="BK103" s="1860">
        <f>IF(AND(OR(S_3!$C$13="als Dauerweide führen",S_3!$C$14="als Dauerweide führen",S_3!$C$15="als Dauerweide führen"),S_3!$G$8="JA"),S_3!AE$13,0)</f>
        <v>0</v>
      </c>
      <c r="BL103" s="1860">
        <f>IF(AND(OR(S_3!$C$13="als Dauerweide führen",S_3!$C$14="als Dauerweide führen",S_3!$C$15="als Dauerweide führen"),S_3!$G$8="JA"),S_3!AF$13,0)</f>
        <v>0</v>
      </c>
      <c r="BM103" s="1860">
        <f>IF(AND(OR(S_3!$C$13="als Dauerweide führen",S_3!$C$14="als Dauerweide führen",S_3!$C$15="als Dauerweide führen"),S_3!$G$8="JA"),S_3!AG$13,0)</f>
        <v>0</v>
      </c>
      <c r="BN103" s="1860">
        <f>IF(AND(OR(S_3!$C$13="als Dauerweide führen",S_3!$C$14="als Dauerweide führen",S_3!$C$15="als Dauerweide führen"),S_3!$G$8="JA"),S_3!AH$13,0)</f>
        <v>0</v>
      </c>
      <c r="BO103" s="1860">
        <f>IF(AND(OR(S_3!$C$13="als Dauerweide führen",S_3!$C$14="als Dauerweide führen",S_3!$C$15="als Dauerweide führen"),S_3!$G$8="JA"),S_3!AI$13,0)</f>
        <v>0</v>
      </c>
      <c r="BP103" s="1860">
        <f>IF(AND(OR(S_3!$C$13="als Dauerweide führen",S_3!$C$14="als Dauerweide führen",S_3!$C$15="als Dauerweide führen"),S_3!$G$8="JA"),S_3!AJ$13,0)</f>
        <v>0</v>
      </c>
      <c r="BQ103" s="1860"/>
      <c r="BR103" s="1860">
        <f>IF(AND(OR(S_3!$C$13="als Dauerweide führen",S_3!$C$14="als Dauerweide führen",S_3!$C$15="als Dauerweide führen"),S_3!$G$8="JA"),S_3!AM$13,0)</f>
        <v>0</v>
      </c>
    </row>
    <row r="104" spans="41:70">
      <c r="BA104" s="1860">
        <f>IF(AND(OR(S_4!$C$13="Nutzungsintensität u Düngung erhöhen",S_4!$C$13="Nutzungsintensität u Düngung reduzieren",S_4!$C$13="Schnittzahl reduzieren",S_4!$C$13="Dauerweidenutzung beenden",S_4!$C$14="Nutzungsintensität u Düngung erhöhen",S_4!$C$14="Nutzungsintensität u Düngung reduzieren",S_4!$C$14="Schnittzahl reduzieren",S_4!$C$14="Dauerweidenutzung beenden",S_4!$C$15="Nutzungsintensität u Düngung erhöhen",S_4!$C$15="Nutzungsintensität u Düngung reduzieren",S_4!$C$15="Schnittzahl reduzieren",S_4!$C$15="Dauerweidenutzung beenden"),S_4!$G$8="JA"),S_4!AE$13,0)</f>
        <v>0</v>
      </c>
      <c r="BB104" s="1860">
        <f>IF(AND(OR(S_4!$C$13="Nutzungsintensität u Düngung erhöhen",S_4!$C$13="Nutzungsintensität u Düngung reduzieren",S_4!$C$13="Schnittzahl reduzieren",S_4!$C$13="Dauerweidenutzung beenden",S_4!$C$14="Nutzungsintensität u Düngung erhöhen",S_4!$C$14="Nutzungsintensität u Düngung reduzieren",S_4!$C$14="Schnittzahl reduzieren",S_4!$C$14="Dauerweidenutzung beenden",S_4!$C$15="Nutzungsintensität u Düngung erhöhen",S_4!$C$15="Nutzungsintensität u Düngung reduzieren",S_4!$C$15="Schnittzahl reduzieren",S_4!$C$15="Dauerweidenutzung beenden"),S_4!$G$8="JA"),S_4!AF$13,0)</f>
        <v>0</v>
      </c>
      <c r="BC104" s="1860">
        <f>IF(AND(OR(S_4!$C$13="Nutzungsintensität u Düngung erhöhen",S_4!$C$13="Nutzungsintensität u Düngung reduzieren",S_4!$C$13="Schnittzahl reduzieren",S_4!$C$13="Dauerweidenutzung beenden",S_4!$C$14="Nutzungsintensität u Düngung erhöhen",S_4!$C$14="Nutzungsintensität u Düngung reduzieren",S_4!$C$14="Schnittzahl reduzieren",S_4!$C$14="Dauerweidenutzung beenden",S_4!$C$15="Nutzungsintensität u Düngung erhöhen",S_4!$C$15="Nutzungsintensität u Düngung reduzieren",S_4!$C$15="Schnittzahl reduzieren",S_4!$C$15="Dauerweidenutzung beenden"),S_4!$G$8="JA"),S_4!AG$13,0)</f>
        <v>0</v>
      </c>
      <c r="BD104" s="1860">
        <f>IF(AND(OR(S_4!$C$13="Nutzungsintensität u Düngung erhöhen",S_4!$C$13="Nutzungsintensität u Düngung reduzieren",S_4!$C$13="Schnittzahl reduzieren",S_4!$C$13="Dauerweidenutzung beenden",S_4!$C$14="Nutzungsintensität u Düngung erhöhen",S_4!$C$14="Nutzungsintensität u Düngung reduzieren",S_4!$C$14="Schnittzahl reduzieren",S_4!$C$14="Dauerweidenutzung beenden",S_4!$C$15="Nutzungsintensität u Düngung erhöhen",S_4!$C$15="Nutzungsintensität u Düngung reduzieren",S_4!$C$15="Schnittzahl reduzieren",S_4!$C$15="Dauerweidenutzung beenden"),S_4!$G$8="JA"),S_4!AH$13,0)</f>
        <v>0</v>
      </c>
      <c r="BE104" s="1860">
        <f>IF(AND(OR(S_4!$C$13="Nutzungsintensität u Düngung erhöhen",S_4!$C$13="Nutzungsintensität u Düngung reduzieren",S_4!$C$13="Schnittzahl reduzieren",S_4!$C$13="Dauerweidenutzung beenden",S_4!$C$14="Nutzungsintensität u Düngung erhöhen",S_4!$C$14="Nutzungsintensität u Düngung reduzieren",S_4!$C$14="Schnittzahl reduzieren",S_4!$C$14="Dauerweidenutzung beenden",S_4!$C$15="Nutzungsintensität u Düngung erhöhen",S_4!$C$15="Nutzungsintensität u Düngung reduzieren",S_4!$C$15="Schnittzahl reduzieren",S_4!$C$15="Dauerweidenutzung beenden"),S_4!$G$8="JA"),S_4!AI$13,0)</f>
        <v>0</v>
      </c>
      <c r="BF104" s="1860">
        <f>IF(AND(OR(S_4!$C$13="Nutzungsintensität u Düngung erhöhen",S_4!$C$13="Nutzungsintensität u Düngung reduzieren",S_4!$C$13="Schnittzahl reduzieren",S_4!$C$13="Dauerweidenutzung beenden",S_4!$C$14="Nutzungsintensität u Düngung erhöhen",S_4!$C$14="Nutzungsintensität u Düngung reduzieren",S_4!$C$14="Schnittzahl reduzieren",S_4!$C$14="Dauerweidenutzung beenden",S_4!$C$15="Nutzungsintensität u Düngung erhöhen",S_4!$C$15="Nutzungsintensität u Düngung reduzieren",S_4!$C$15="Schnittzahl reduzieren",S_4!$C$15="Dauerweidenutzung beenden"),S_4!$G$8="JA"),S_4!AJ$13,0)</f>
        <v>0</v>
      </c>
      <c r="BG104" s="1860"/>
      <c r="BH104" s="1860">
        <f>IF(AND(OR(S_4!$C$13="Dauerweidenutzung beenden",S_4!$C$14="Dauerweidenutzung beenden",S_4!$C$15="Dauerweidenutzung beenden"),S_4!$G$8="JA"),S_4!AL$13,0)</f>
        <v>0</v>
      </c>
      <c r="BI104" s="1865"/>
      <c r="BK104" s="1860">
        <f>IF(AND(OR(S_4!$C$13="als Dauerweide führen",S_4!$C$14="als Dauerweide führen",S_4!$C$15="als Dauerweide führen"),S_4!$G$8="JA"),S_4!AE$13,0)</f>
        <v>0</v>
      </c>
      <c r="BL104" s="1860">
        <f>IF(AND(OR(S_4!$C$13="als Dauerweide führen",S_4!$C$14="als Dauerweide führen",S_4!$C$15="als Dauerweide führen"),S_4!$G$8="JA"),S_4!AF$13,0)</f>
        <v>0</v>
      </c>
      <c r="BM104" s="1860">
        <f>IF(AND(OR(S_4!$C$13="als Dauerweide führen",S_4!$C$14="als Dauerweide führen",S_4!$C$15="als Dauerweide führen"),S_4!$G$8="JA"),S_4!AG$13,0)</f>
        <v>0</v>
      </c>
      <c r="BN104" s="1860">
        <f>IF(AND(OR(S_4!$C$13="als Dauerweide führen",S_4!$C$14="als Dauerweide führen",S_4!$C$15="als Dauerweide führen"),S_4!$G$8="JA"),S_4!AH$13,0)</f>
        <v>0</v>
      </c>
      <c r="BO104" s="1860">
        <f>IF(AND(OR(S_4!$C$13="als Dauerweide führen",S_4!$C$14="als Dauerweide führen",S_4!$C$15="als Dauerweide führen"),S_4!$G$8="JA"),S_4!AI$13,0)</f>
        <v>0</v>
      </c>
      <c r="BP104" s="1860">
        <f>IF(AND(OR(S_4!$C$13="als Dauerweide führen",S_4!$C$14="als Dauerweide führen",S_4!$C$15="als Dauerweide führen"),S_4!$G$8="JA"),S_4!AJ$13,0)</f>
        <v>0</v>
      </c>
      <c r="BQ104" s="1860"/>
      <c r="BR104" s="1860">
        <f>IF(AND(OR(S_4!$C$13="als Dauerweide führen",S_4!$C$14="als Dauerweide führen",S_4!$C$15="als Dauerweide führen"),S_4!$G$8="JA"),S_4!AM$13,0)</f>
        <v>0</v>
      </c>
    </row>
    <row r="105" spans="41:70">
      <c r="BA105" s="1860">
        <f>IF(AND(OR(S_5!$C$13="Nutzungsintensität u Düngung erhöhen",S_5!$C$13="Nutzungsintensität u Düngung reduzieren",S_5!$C$13="Schnittzahl reduzieren",S_5!$C$13="Dauerweidenutzung beenden",S_5!$C$14="Nutzungsintensität u Düngung erhöhen",S_5!$C$14="Nutzungsintensität u Düngung reduzieren",S_5!$C$14="Schnittzahl reduzieren",S_5!$C$14="Dauerweidenutzung beenden",S_5!$C$15="Nutzungsintensität u Düngung erhöhen",S_5!$C$15="Nutzungsintensität u Düngung reduzieren",S_5!$C$15="Schnittzahl reduzieren",S_5!$C$15="Dauerweidenutzung beenden"),S_5!$G$8="JA"),S_5!AE$13,0)</f>
        <v>0</v>
      </c>
      <c r="BB105" s="1860">
        <f>IF(AND(OR(S_5!$C$13="Nutzungsintensität u Düngung erhöhen",S_5!$C$13="Nutzungsintensität u Düngung reduzieren",S_5!$C$13="Schnittzahl reduzieren",S_5!$C$13="Dauerweidenutzung beenden",S_5!$C$14="Nutzungsintensität u Düngung erhöhen",S_5!$C$14="Nutzungsintensität u Düngung reduzieren",S_5!$C$14="Schnittzahl reduzieren",S_5!$C$14="Dauerweidenutzung beenden",S_5!$C$15="Nutzungsintensität u Düngung erhöhen",S_5!$C$15="Nutzungsintensität u Düngung reduzieren",S_5!$C$15="Schnittzahl reduzieren",S_5!$C$15="Dauerweidenutzung beenden"),S_5!$G$8="JA"),S_5!AF$13,0)</f>
        <v>0</v>
      </c>
      <c r="BC105" s="1860">
        <f>IF(AND(OR(S_5!$C$13="Nutzungsintensität u Düngung erhöhen",S_5!$C$13="Nutzungsintensität u Düngung reduzieren",S_5!$C$13="Schnittzahl reduzieren",S_5!$C$13="Dauerweidenutzung beenden",S_5!$C$14="Nutzungsintensität u Düngung erhöhen",S_5!$C$14="Nutzungsintensität u Düngung reduzieren",S_5!$C$14="Schnittzahl reduzieren",S_5!$C$14="Dauerweidenutzung beenden",S_5!$C$15="Nutzungsintensität u Düngung erhöhen",S_5!$C$15="Nutzungsintensität u Düngung reduzieren",S_5!$C$15="Schnittzahl reduzieren",S_5!$C$15="Dauerweidenutzung beenden"),S_5!$G$8="JA"),S_5!AG$13,0)</f>
        <v>0</v>
      </c>
      <c r="BD105" s="1860">
        <f>IF(AND(OR(S_5!$C$13="Nutzungsintensität u Düngung erhöhen",S_5!$C$13="Nutzungsintensität u Düngung reduzieren",S_5!$C$13="Schnittzahl reduzieren",S_5!$C$13="Dauerweidenutzung beenden",S_5!$C$14="Nutzungsintensität u Düngung erhöhen",S_5!$C$14="Nutzungsintensität u Düngung reduzieren",S_5!$C$14="Schnittzahl reduzieren",S_5!$C$14="Dauerweidenutzung beenden",S_5!$C$15="Nutzungsintensität u Düngung erhöhen",S_5!$C$15="Nutzungsintensität u Düngung reduzieren",S_5!$C$15="Schnittzahl reduzieren",S_5!$C$15="Dauerweidenutzung beenden"),S_5!$G$8="JA"),S_5!AH$13,0)</f>
        <v>0</v>
      </c>
      <c r="BE105" s="1860">
        <f>IF(AND(OR(S_5!$C$13="Nutzungsintensität u Düngung erhöhen",S_5!$C$13="Nutzungsintensität u Düngung reduzieren",S_5!$C$13="Schnittzahl reduzieren",S_5!$C$13="Dauerweidenutzung beenden",S_5!$C$14="Nutzungsintensität u Düngung erhöhen",S_5!$C$14="Nutzungsintensität u Düngung reduzieren",S_5!$C$14="Schnittzahl reduzieren",S_5!$C$14="Dauerweidenutzung beenden",S_5!$C$15="Nutzungsintensität u Düngung erhöhen",S_5!$C$15="Nutzungsintensität u Düngung reduzieren",S_5!$C$15="Schnittzahl reduzieren",S_5!$C$15="Dauerweidenutzung beenden"),S_5!$G$8="JA"),S_5!AI$13,0)</f>
        <v>0</v>
      </c>
      <c r="BF105" s="1860">
        <f>IF(AND(OR(S_5!$C$13="Nutzungsintensität u Düngung erhöhen",S_5!$C$13="Nutzungsintensität u Düngung reduzieren",S_5!$C$13="Schnittzahl reduzieren",S_5!$C$13="Dauerweidenutzung beenden",S_5!$C$14="Nutzungsintensität u Düngung erhöhen",S_5!$C$14="Nutzungsintensität u Düngung reduzieren",S_5!$C$14="Schnittzahl reduzieren",S_5!$C$14="Dauerweidenutzung beenden",S_5!$C$15="Nutzungsintensität u Düngung erhöhen",S_5!$C$15="Nutzungsintensität u Düngung reduzieren",S_5!$C$15="Schnittzahl reduzieren",S_5!$C$15="Dauerweidenutzung beenden"),S_5!$G$8="JA"),S_5!AJ$13,0)</f>
        <v>0</v>
      </c>
      <c r="BG105" s="1860"/>
      <c r="BH105" s="1860">
        <f>IF(AND(OR(S_5!$C$13="Dauerweidenutzung beenden",S_5!$C$14="Dauerweidenutzung beenden",S_5!$C$15="Dauerweidenutzung beenden"),S_5!$G$8="JA"),S_5!AL$13,0)</f>
        <v>0</v>
      </c>
      <c r="BI105" s="1865"/>
      <c r="BK105" s="1860">
        <f>IF(AND(OR(S_5!$C$13="als Dauerweide führen",S_5!$C$14="als Dauerweide führen",S_5!$C$15="als Dauerweide führen"),S_5!$G$8="JA"),S_5!AE$13,0)</f>
        <v>0</v>
      </c>
      <c r="BL105" s="1860">
        <f>IF(AND(OR(S_5!$C$13="als Dauerweide führen",S_5!$C$14="als Dauerweide führen",S_5!$C$15="als Dauerweide führen"),S_5!$G$8="JA"),S_5!AF$13,0)</f>
        <v>0</v>
      </c>
      <c r="BM105" s="1860">
        <f>IF(AND(OR(S_5!$C$13="als Dauerweide führen",S_5!$C$14="als Dauerweide führen",S_5!$C$15="als Dauerweide führen"),S_5!$G$8="JA"),S_5!AG$13,0)</f>
        <v>0</v>
      </c>
      <c r="BN105" s="1860">
        <f>IF(AND(OR(S_5!$C$13="als Dauerweide führen",S_5!$C$14="als Dauerweide führen",S_5!$C$15="als Dauerweide führen"),S_5!$G$8="JA"),S_5!AH$13,0)</f>
        <v>0</v>
      </c>
      <c r="BO105" s="1860">
        <f>IF(AND(OR(S_5!$C$13="als Dauerweide führen",S_5!$C$14="als Dauerweide führen",S_5!$C$15="als Dauerweide führen"),S_5!$G$8="JA"),S_5!AI$13,0)</f>
        <v>0</v>
      </c>
      <c r="BP105" s="1860">
        <f>IF(AND(OR(S_5!$C$13="als Dauerweide führen",S_5!$C$14="als Dauerweide führen",S_5!$C$15="als Dauerweide führen"),S_5!$G$8="JA"),S_5!AJ$13,0)</f>
        <v>0</v>
      </c>
      <c r="BQ105" s="1860"/>
      <c r="BR105" s="1860">
        <f>IF(AND(OR(S_5!$C$13="als Dauerweide führen",S_5!$C$14="als Dauerweide führen",S_5!$C$15="als Dauerweide führen"),S_5!$G$8="JA"),S_5!AM$13,0)</f>
        <v>0</v>
      </c>
    </row>
    <row r="106" spans="41:70">
      <c r="BA106" s="1860">
        <f>IF(AND(OR(S_6!$C$13="Nutzungsintensität u Düngung erhöhen",S_6!$C$13="Nutzungsintensität u Düngung reduzieren",S_6!$C$13="Schnittzahl reduzieren",S_6!$C$13="Dauerweidenutzung beenden",S_6!$C$14="Nutzungsintensität u Düngung erhöhen",S_6!$C$14="Nutzungsintensität u Düngung reduzieren",S_6!$C$14="Schnittzahl reduzieren",S_6!$C$14="Dauerweidenutzung beenden",S_6!$C$15="Nutzungsintensität u Düngung erhöhen",S_6!$C$15="Nutzungsintensität u Düngung reduzieren",S_6!$C$15="Schnittzahl reduzieren",S_6!$C$15="Dauerweidenutzung beenden"),S_6!$G$8="JA"),S_6!AE$13,0)</f>
        <v>0</v>
      </c>
      <c r="BB106" s="1860">
        <f>IF(AND(OR(S_6!$C$13="Nutzungsintensität u Düngung erhöhen",S_6!$C$13="Nutzungsintensität u Düngung reduzieren",S_6!$C$13="Schnittzahl reduzieren",S_6!$C$13="Dauerweidenutzung beenden",S_6!$C$14="Nutzungsintensität u Düngung erhöhen",S_6!$C$14="Nutzungsintensität u Düngung reduzieren",S_6!$C$14="Schnittzahl reduzieren",S_6!$C$14="Dauerweidenutzung beenden",S_6!$C$15="Nutzungsintensität u Düngung erhöhen",S_6!$C$15="Nutzungsintensität u Düngung reduzieren",S_6!$C$15="Schnittzahl reduzieren",S_6!$C$15="Dauerweidenutzung beenden"),S_6!$G$8="JA"),S_6!AF$13,0)</f>
        <v>0</v>
      </c>
      <c r="BC106" s="1860">
        <f>IF(AND(OR(S_6!$C$13="Nutzungsintensität u Düngung erhöhen",S_6!$C$13="Nutzungsintensität u Düngung reduzieren",S_6!$C$13="Schnittzahl reduzieren",S_6!$C$13="Dauerweidenutzung beenden",S_6!$C$14="Nutzungsintensität u Düngung erhöhen",S_6!$C$14="Nutzungsintensität u Düngung reduzieren",S_6!$C$14="Schnittzahl reduzieren",S_6!$C$14="Dauerweidenutzung beenden",S_6!$C$15="Nutzungsintensität u Düngung erhöhen",S_6!$C$15="Nutzungsintensität u Düngung reduzieren",S_6!$C$15="Schnittzahl reduzieren",S_6!$C$15="Dauerweidenutzung beenden"),S_6!$G$8="JA"),S_6!AG$13,0)</f>
        <v>0</v>
      </c>
      <c r="BD106" s="1860">
        <f>IF(AND(OR(S_6!$C$13="Nutzungsintensität u Düngung erhöhen",S_6!$C$13="Nutzungsintensität u Düngung reduzieren",S_6!$C$13="Schnittzahl reduzieren",S_6!$C$13="Dauerweidenutzung beenden",S_6!$C$14="Nutzungsintensität u Düngung erhöhen",S_6!$C$14="Nutzungsintensität u Düngung reduzieren",S_6!$C$14="Schnittzahl reduzieren",S_6!$C$14="Dauerweidenutzung beenden",S_6!$C$15="Nutzungsintensität u Düngung erhöhen",S_6!$C$15="Nutzungsintensität u Düngung reduzieren",S_6!$C$15="Schnittzahl reduzieren",S_6!$C$15="Dauerweidenutzung beenden"),S_6!$G$8="JA"),S_6!AH$13,0)</f>
        <v>0</v>
      </c>
      <c r="BE106" s="1860">
        <f>IF(AND(OR(S_6!$C$13="Nutzungsintensität u Düngung erhöhen",S_6!$C$13="Nutzungsintensität u Düngung reduzieren",S_6!$C$13="Schnittzahl reduzieren",S_6!$C$13="Dauerweidenutzung beenden",S_6!$C$14="Nutzungsintensität u Düngung erhöhen",S_6!$C$14="Nutzungsintensität u Düngung reduzieren",S_6!$C$14="Schnittzahl reduzieren",S_6!$C$14="Dauerweidenutzung beenden",S_6!$C$15="Nutzungsintensität u Düngung erhöhen",S_6!$C$15="Nutzungsintensität u Düngung reduzieren",S_6!$C$15="Schnittzahl reduzieren",S_6!$C$15="Dauerweidenutzung beenden"),S_6!$G$8="JA"),S_6!AI$13,0)</f>
        <v>0</v>
      </c>
      <c r="BF106" s="1860">
        <f>IF(AND(OR(S_6!$C$13="Nutzungsintensität u Düngung erhöhen",S_6!$C$13="Nutzungsintensität u Düngung reduzieren",S_6!$C$13="Schnittzahl reduzieren",S_6!$C$13="Dauerweidenutzung beenden",S_6!$C$14="Nutzungsintensität u Düngung erhöhen",S_6!$C$14="Nutzungsintensität u Düngung reduzieren",S_6!$C$14="Schnittzahl reduzieren",S_6!$C$14="Dauerweidenutzung beenden",S_6!$C$15="Nutzungsintensität u Düngung erhöhen",S_6!$C$15="Nutzungsintensität u Düngung reduzieren",S_6!$C$15="Schnittzahl reduzieren",S_6!$C$15="Dauerweidenutzung beenden"),S_6!$G$8="JA"),S_6!AJ$13,0)</f>
        <v>0</v>
      </c>
      <c r="BG106" s="1860"/>
      <c r="BH106" s="1860">
        <f>IF(AND(OR(S_6!$C$13="Dauerweidenutzung beenden",S_6!$C$14="Dauerweidenutzung beenden",S_6!$C$15="Dauerweidenutzung beenden"),S_6!$G$8="JA"),S_6!AL$13,0)</f>
        <v>0</v>
      </c>
      <c r="BI106" s="1865"/>
      <c r="BK106" s="1860">
        <f>IF(AND(OR(S_6!$C$13="als Dauerweide führen",S_6!$C$14="als Dauerweide führen",S_6!$C$15="als Dauerweide führen"),S_6!$G$8="JA"),S_6!AE$13,0)</f>
        <v>0</v>
      </c>
      <c r="BL106" s="1860">
        <f>IF(AND(OR(S_6!$C$13="als Dauerweide führen",S_6!$C$14="als Dauerweide führen",S_6!$C$15="als Dauerweide führen"),S_6!$G$8="JA"),S_6!AF$13,0)</f>
        <v>0</v>
      </c>
      <c r="BM106" s="1860">
        <f>IF(AND(OR(S_6!$C$13="als Dauerweide führen",S_6!$C$14="als Dauerweide führen",S_6!$C$15="als Dauerweide führen"),S_6!$G$8="JA"),S_6!AG$13,0)</f>
        <v>0</v>
      </c>
      <c r="BN106" s="1860">
        <f>IF(AND(OR(S_6!$C$13="als Dauerweide führen",S_6!$C$14="als Dauerweide führen",S_6!$C$15="als Dauerweide führen"),S_6!$G$8="JA"),S_6!AH$13,0)</f>
        <v>0</v>
      </c>
      <c r="BO106" s="1860">
        <f>IF(AND(OR(S_6!$C$13="als Dauerweide führen",S_6!$C$14="als Dauerweide führen",S_6!$C$15="als Dauerweide führen"),S_6!$G$8="JA"),S_6!AI$13,0)</f>
        <v>0</v>
      </c>
      <c r="BP106" s="1860">
        <f>IF(AND(OR(S_6!$C$13="als Dauerweide führen",S_6!$C$14="als Dauerweide führen",S_6!$C$15="als Dauerweide führen"),S_6!$G$8="JA"),S_6!AJ$13,0)</f>
        <v>0</v>
      </c>
      <c r="BQ106" s="1860"/>
      <c r="BR106" s="1860">
        <f>IF(AND(OR(S_6!$C$13="als Dauerweide führen",S_6!$C$14="als Dauerweide führen",S_6!$C$15="als Dauerweide führen"),S_6!$G$8="JA"),S_6!AM$13,0)</f>
        <v>0</v>
      </c>
    </row>
    <row r="107" spans="41:70">
      <c r="BA107" s="1860">
        <f>IF(AND(OR(S_7!$C$13="Nutzungsintensität u Düngung erhöhen",S_7!$C$13="Nutzungsintensität u Düngung reduzieren",S_7!$C$13="Schnittzahl reduzieren",S_7!$C$13="Dauerweidenutzung beenden",S_7!$C$14="Nutzungsintensität u Düngung erhöhen",S_7!$C$14="Nutzungsintensität u Düngung reduzieren",S_7!$C$14="Schnittzahl reduzieren",S_7!$C$14="Dauerweidenutzung beenden",S_7!$C$15="Nutzungsintensität u Düngung erhöhen",S_7!$C$15="Nutzungsintensität u Düngung reduzieren",S_7!$C$15="Schnittzahl reduzieren",S_7!$C$15="Dauerweidenutzung beenden"),S_7!$G$8="JA"),S_7!AE$13,0)</f>
        <v>0</v>
      </c>
      <c r="BB107" s="1860">
        <f>IF(AND(OR(S_7!$C$13="Nutzungsintensität u Düngung erhöhen",S_7!$C$13="Nutzungsintensität u Düngung reduzieren",S_7!$C$13="Schnittzahl reduzieren",S_7!$C$13="Dauerweidenutzung beenden",S_7!$C$14="Nutzungsintensität u Düngung erhöhen",S_7!$C$14="Nutzungsintensität u Düngung reduzieren",S_7!$C$14="Schnittzahl reduzieren",S_7!$C$14="Dauerweidenutzung beenden",S_7!$C$15="Nutzungsintensität u Düngung erhöhen",S_7!$C$15="Nutzungsintensität u Düngung reduzieren",S_7!$C$15="Schnittzahl reduzieren",S_7!$C$15="Dauerweidenutzung beenden"),S_7!$G$8="JA"),S_7!AF$13,0)</f>
        <v>0</v>
      </c>
      <c r="BC107" s="1860">
        <f>IF(AND(OR(S_7!$C$13="Nutzungsintensität u Düngung erhöhen",S_7!$C$13="Nutzungsintensität u Düngung reduzieren",S_7!$C$13="Schnittzahl reduzieren",S_7!$C$13="Dauerweidenutzung beenden",S_7!$C$14="Nutzungsintensität u Düngung erhöhen",S_7!$C$14="Nutzungsintensität u Düngung reduzieren",S_7!$C$14="Schnittzahl reduzieren",S_7!$C$14="Dauerweidenutzung beenden",S_7!$C$15="Nutzungsintensität u Düngung erhöhen",S_7!$C$15="Nutzungsintensität u Düngung reduzieren",S_7!$C$15="Schnittzahl reduzieren",S_7!$C$15="Dauerweidenutzung beenden"),S_7!$G$8="JA"),S_7!AG$13,0)</f>
        <v>0</v>
      </c>
      <c r="BD107" s="1860">
        <f>IF(AND(OR(S_7!$C$13="Nutzungsintensität u Düngung erhöhen",S_7!$C$13="Nutzungsintensität u Düngung reduzieren",S_7!$C$13="Schnittzahl reduzieren",S_7!$C$13="Dauerweidenutzung beenden",S_7!$C$14="Nutzungsintensität u Düngung erhöhen",S_7!$C$14="Nutzungsintensität u Düngung reduzieren",S_7!$C$14="Schnittzahl reduzieren",S_7!$C$14="Dauerweidenutzung beenden",S_7!$C$15="Nutzungsintensität u Düngung erhöhen",S_7!$C$15="Nutzungsintensität u Düngung reduzieren",S_7!$C$15="Schnittzahl reduzieren",S_7!$C$15="Dauerweidenutzung beenden"),S_7!$G$8="JA"),S_7!AH$13,0)</f>
        <v>0</v>
      </c>
      <c r="BE107" s="1860">
        <f>IF(AND(OR(S_7!$C$13="Nutzungsintensität u Düngung erhöhen",S_7!$C$13="Nutzungsintensität u Düngung reduzieren",S_7!$C$13="Schnittzahl reduzieren",S_7!$C$13="Dauerweidenutzung beenden",S_7!$C$14="Nutzungsintensität u Düngung erhöhen",S_7!$C$14="Nutzungsintensität u Düngung reduzieren",S_7!$C$14="Schnittzahl reduzieren",S_7!$C$14="Dauerweidenutzung beenden",S_7!$C$15="Nutzungsintensität u Düngung erhöhen",S_7!$C$15="Nutzungsintensität u Düngung reduzieren",S_7!$C$15="Schnittzahl reduzieren",S_7!$C$15="Dauerweidenutzung beenden"),S_7!$G$8="JA"),S_7!AI$13,0)</f>
        <v>0</v>
      </c>
      <c r="BF107" s="1860">
        <f>IF(AND(OR(S_7!$C$13="Nutzungsintensität u Düngung erhöhen",S_7!$C$13="Nutzungsintensität u Düngung reduzieren",S_7!$C$13="Schnittzahl reduzieren",S_7!$C$13="Dauerweidenutzung beenden",S_7!$C$14="Nutzungsintensität u Düngung erhöhen",S_7!$C$14="Nutzungsintensität u Düngung reduzieren",S_7!$C$14="Schnittzahl reduzieren",S_7!$C$14="Dauerweidenutzung beenden",S_7!$C$15="Nutzungsintensität u Düngung erhöhen",S_7!$C$15="Nutzungsintensität u Düngung reduzieren",S_7!$C$15="Schnittzahl reduzieren",S_7!$C$15="Dauerweidenutzung beenden"),S_7!$G$8="JA"),S_7!AJ$13,0)</f>
        <v>0</v>
      </c>
      <c r="BG107" s="1860"/>
      <c r="BH107" s="1860">
        <f>IF(AND(OR(S_7!$C$13="Dauerweidenutzung beenden",S_7!$C$14="Dauerweidenutzung beenden",S_7!$C$15="Dauerweidenutzung beenden"),S_7!$G$8="JA"),S_7!AL$13,0)</f>
        <v>0</v>
      </c>
      <c r="BI107" s="1865"/>
      <c r="BK107" s="1860">
        <f>IF(AND(OR(S_7!$C$13="als Dauerweide führen",S_7!$C$14="als Dauerweide führen",S_7!$C$15="als Dauerweide führen"),S_7!$G$8="JA"),S_7!AE$13,0)</f>
        <v>0</v>
      </c>
      <c r="BL107" s="1860">
        <f>IF(AND(OR(S_7!$C$13="als Dauerweide führen",S_7!$C$14="als Dauerweide führen",S_7!$C$15="als Dauerweide führen"),S_7!$G$8="JA"),S_7!AF$13,0)</f>
        <v>0</v>
      </c>
      <c r="BM107" s="1860">
        <f>IF(AND(OR(S_7!$C$13="als Dauerweide führen",S_7!$C$14="als Dauerweide führen",S_7!$C$15="als Dauerweide führen"),S_7!$G$8="JA"),S_7!AG$13,0)</f>
        <v>0</v>
      </c>
      <c r="BN107" s="1860">
        <f>IF(AND(OR(S_7!$C$13="als Dauerweide führen",S_7!$C$14="als Dauerweide führen",S_7!$C$15="als Dauerweide führen"),S_7!$G$8="JA"),S_7!AH$13,0)</f>
        <v>0</v>
      </c>
      <c r="BO107" s="1860">
        <f>IF(AND(OR(S_7!$C$13="als Dauerweide führen",S_7!$C$14="als Dauerweide führen",S_7!$C$15="als Dauerweide führen"),S_7!$G$8="JA"),S_7!AI$13,0)</f>
        <v>0</v>
      </c>
      <c r="BP107" s="1860">
        <f>IF(AND(OR(S_7!$C$13="als Dauerweide führen",S_7!$C$14="als Dauerweide führen",S_7!$C$15="als Dauerweide führen"),S_7!$G$8="JA"),S_7!AJ$13,0)</f>
        <v>0</v>
      </c>
      <c r="BQ107" s="1860"/>
      <c r="BR107" s="1860">
        <f>IF(AND(OR(S_7!$C$13="als Dauerweide führen",S_7!$C$14="als Dauerweide führen",S_7!$C$15="als Dauerweide führen"),S_7!$G$8="JA"),S_7!AM$13,0)</f>
        <v>0</v>
      </c>
    </row>
    <row r="108" spans="41:70">
      <c r="BA108" s="1860">
        <f>IF(AND(OR(S_8!$C$13="Nutzungsintensität u Düngung erhöhen",S_8!$C$13="Nutzungsintensität u Düngung reduzieren",S_8!$C$13="Schnittzahl reduzieren",S_8!$C$13="Dauerweidenutzung beenden",S_8!$C$14="Nutzungsintensität u Düngung erhöhen",S_8!$C$14="Nutzungsintensität u Düngung reduzieren",S_8!$C$14="Schnittzahl reduzieren",S_8!$C$14="Dauerweidenutzung beenden",S_8!$C$15="Nutzungsintensität u Düngung erhöhen",S_8!$C$15="Nutzungsintensität u Düngung reduzieren",S_8!$C$15="Schnittzahl reduzieren",S_8!$C$15="Dauerweidenutzung beenden"),S_8!$G$8="JA"),S_8!AE$13,0)</f>
        <v>0</v>
      </c>
      <c r="BB108" s="1860">
        <f>IF(AND(OR(S_8!$C$13="Nutzungsintensität u Düngung erhöhen",S_8!$C$13="Nutzungsintensität u Düngung reduzieren",S_8!$C$13="Schnittzahl reduzieren",S_8!$C$13="Dauerweidenutzung beenden",S_8!$C$14="Nutzungsintensität u Düngung erhöhen",S_8!$C$14="Nutzungsintensität u Düngung reduzieren",S_8!$C$14="Schnittzahl reduzieren",S_8!$C$14="Dauerweidenutzung beenden",S_8!$C$15="Nutzungsintensität u Düngung erhöhen",S_8!$C$15="Nutzungsintensität u Düngung reduzieren",S_8!$C$15="Schnittzahl reduzieren",S_8!$C$15="Dauerweidenutzung beenden"),S_8!$G$8="JA"),S_8!AF$13,0)</f>
        <v>0</v>
      </c>
      <c r="BC108" s="1860">
        <f>IF(AND(OR(S_8!$C$13="Nutzungsintensität u Düngung erhöhen",S_8!$C$13="Nutzungsintensität u Düngung reduzieren",S_8!$C$13="Schnittzahl reduzieren",S_8!$C$13="Dauerweidenutzung beenden",S_8!$C$14="Nutzungsintensität u Düngung erhöhen",S_8!$C$14="Nutzungsintensität u Düngung reduzieren",S_8!$C$14="Schnittzahl reduzieren",S_8!$C$14="Dauerweidenutzung beenden",S_8!$C$15="Nutzungsintensität u Düngung erhöhen",S_8!$C$15="Nutzungsintensität u Düngung reduzieren",S_8!$C$15="Schnittzahl reduzieren",S_8!$C$15="Dauerweidenutzung beenden"),S_8!$G$8="JA"),S_8!AG$13,0)</f>
        <v>0</v>
      </c>
      <c r="BD108" s="1860">
        <f>IF(AND(OR(S_8!$C$13="Nutzungsintensität u Düngung erhöhen",S_8!$C$13="Nutzungsintensität u Düngung reduzieren",S_8!$C$13="Schnittzahl reduzieren",S_8!$C$13="Dauerweidenutzung beenden",S_8!$C$14="Nutzungsintensität u Düngung erhöhen",S_8!$C$14="Nutzungsintensität u Düngung reduzieren",S_8!$C$14="Schnittzahl reduzieren",S_8!$C$14="Dauerweidenutzung beenden",S_8!$C$15="Nutzungsintensität u Düngung erhöhen",S_8!$C$15="Nutzungsintensität u Düngung reduzieren",S_8!$C$15="Schnittzahl reduzieren",S_8!$C$15="Dauerweidenutzung beenden"),S_8!$G$8="JA"),S_8!AH$13,0)</f>
        <v>0</v>
      </c>
      <c r="BE108" s="1860">
        <f>IF(AND(OR(S_8!$C$13="Nutzungsintensität u Düngung erhöhen",S_8!$C$13="Nutzungsintensität u Düngung reduzieren",S_8!$C$13="Schnittzahl reduzieren",S_8!$C$13="Dauerweidenutzung beenden",S_8!$C$14="Nutzungsintensität u Düngung erhöhen",S_8!$C$14="Nutzungsintensität u Düngung reduzieren",S_8!$C$14="Schnittzahl reduzieren",S_8!$C$14="Dauerweidenutzung beenden",S_8!$C$15="Nutzungsintensität u Düngung erhöhen",S_8!$C$15="Nutzungsintensität u Düngung reduzieren",S_8!$C$15="Schnittzahl reduzieren",S_8!$C$15="Dauerweidenutzung beenden"),S_8!$G$8="JA"),S_8!AI$13,0)</f>
        <v>0</v>
      </c>
      <c r="BF108" s="1860">
        <f>IF(AND(OR(S_8!$C$13="Nutzungsintensität u Düngung erhöhen",S_8!$C$13="Nutzungsintensität u Düngung reduzieren",S_8!$C$13="Schnittzahl reduzieren",S_8!$C$13="Dauerweidenutzung beenden",S_8!$C$14="Nutzungsintensität u Düngung erhöhen",S_8!$C$14="Nutzungsintensität u Düngung reduzieren",S_8!$C$14="Schnittzahl reduzieren",S_8!$C$14="Dauerweidenutzung beenden",S_8!$C$15="Nutzungsintensität u Düngung erhöhen",S_8!$C$15="Nutzungsintensität u Düngung reduzieren",S_8!$C$15="Schnittzahl reduzieren",S_8!$C$15="Dauerweidenutzung beenden"),S_8!$G$8="JA"),S_8!AJ$13,0)</f>
        <v>0</v>
      </c>
      <c r="BG108" s="1860"/>
      <c r="BH108" s="1860">
        <f>IF(AND(OR(S_8!$C$13="Dauerweidenutzung beenden",S_8!$C$14="Dauerweidenutzung beenden",S_8!$C$15="Dauerweidenutzung beenden"),S_8!$G$8="JA"),S_8!AL$13,0)</f>
        <v>0</v>
      </c>
      <c r="BK108" s="1860">
        <f>IF(AND(OR(S_8!$C$13="als Dauerweide führen",S_8!$C$14="als Dauerweide führen",S_8!$C$15="als Dauerweide führen"),S_8!$G$8="JA"),S_8!AE$13,0)</f>
        <v>0</v>
      </c>
      <c r="BL108" s="1860">
        <f>IF(AND(OR(S_8!$C$13="als Dauerweide führen",S_8!$C$14="als Dauerweide führen",S_8!$C$15="als Dauerweide führen"),S_8!$G$8="JA"),S_8!AF$13,0)</f>
        <v>0</v>
      </c>
      <c r="BM108" s="1860">
        <f>IF(AND(OR(S_8!$C$13="als Dauerweide führen",S_8!$C$14="als Dauerweide führen",S_8!$C$15="als Dauerweide führen"),S_8!$G$8="JA"),S_8!AG$13,0)</f>
        <v>0</v>
      </c>
      <c r="BN108" s="1860">
        <f>IF(AND(OR(S_8!$C$13="als Dauerweide führen",S_8!$C$14="als Dauerweide führen",S_8!$C$15="als Dauerweide führen"),S_8!$G$8="JA"),S_8!AH$13,0)</f>
        <v>0</v>
      </c>
      <c r="BO108" s="1860">
        <f>IF(AND(OR(S_8!$C$13="als Dauerweide führen",S_8!$C$14="als Dauerweide führen",S_8!$C$15="als Dauerweide führen"),S_8!$G$8="JA"),S_8!AI$13,0)</f>
        <v>0</v>
      </c>
      <c r="BP108" s="1860">
        <f>IF(AND(OR(S_8!$C$13="als Dauerweide führen",S_8!$C$14="als Dauerweide führen",S_8!$C$15="als Dauerweide führen"),S_8!$G$8="JA"),S_8!AJ$13,0)</f>
        <v>0</v>
      </c>
      <c r="BQ108" s="1860"/>
      <c r="BR108" s="1860">
        <f>IF(AND(OR(S_8!$C$13="als Dauerweide führen",S_8!$C$14="als Dauerweide führen",S_8!$C$15="als Dauerweide führen"),S_8!$G$8="JA"),S_8!AM$13,0)</f>
        <v>0</v>
      </c>
    </row>
    <row r="109" spans="41:70">
      <c r="BA109" s="1860">
        <f>IF(AND(OR(S_9!$C$13="Nutzungsintensität u Düngung erhöhen",S_9!$C$13="Nutzungsintensität u Düngung reduzieren",S_9!$C$13="Schnittzahl reduzieren",S_9!$C$13="Dauerweidenutzung beenden",S_9!$C$14="Nutzungsintensität u Düngung erhöhen",S_9!$C$14="Nutzungsintensität u Düngung reduzieren",S_9!$C$14="Schnittzahl reduzieren",S_9!$C$14="Dauerweidenutzung beenden",S_9!$C$15="Nutzungsintensität u Düngung erhöhen",S_9!$C$15="Nutzungsintensität u Düngung reduzieren",S_9!$C$15="Schnittzahl reduzieren",S_9!$C$15="Dauerweidenutzung beenden"),S_9!$G$8="JA"),S_9!AE$13,0)</f>
        <v>0</v>
      </c>
      <c r="BB109" s="1860">
        <f>IF(AND(OR(S_9!$C$13="Nutzungsintensität u Düngung erhöhen",S_9!$C$13="Nutzungsintensität u Düngung reduzieren",S_9!$C$13="Schnittzahl reduzieren",S_9!$C$13="Dauerweidenutzung beenden",S_9!$C$14="Nutzungsintensität u Düngung erhöhen",S_9!$C$14="Nutzungsintensität u Düngung reduzieren",S_9!$C$14="Schnittzahl reduzieren",S_9!$C$14="Dauerweidenutzung beenden",S_9!$C$15="Nutzungsintensität u Düngung erhöhen",S_9!$C$15="Nutzungsintensität u Düngung reduzieren",S_9!$C$15="Schnittzahl reduzieren",S_9!$C$15="Dauerweidenutzung beenden"),S_9!$G$8="JA"),S_9!AF$13,0)</f>
        <v>0</v>
      </c>
      <c r="BC109" s="1860">
        <f>IF(AND(OR(S_9!$C$13="Nutzungsintensität u Düngung erhöhen",S_9!$C$13="Nutzungsintensität u Düngung reduzieren",S_9!$C$13="Schnittzahl reduzieren",S_9!$C$13="Dauerweidenutzung beenden",S_9!$C$14="Nutzungsintensität u Düngung erhöhen",S_9!$C$14="Nutzungsintensität u Düngung reduzieren",S_9!$C$14="Schnittzahl reduzieren",S_9!$C$14="Dauerweidenutzung beenden",S_9!$C$15="Nutzungsintensität u Düngung erhöhen",S_9!$C$15="Nutzungsintensität u Düngung reduzieren",S_9!$C$15="Schnittzahl reduzieren",S_9!$C$15="Dauerweidenutzung beenden"),S_9!$G$8="JA"),S_9!AG$13,0)</f>
        <v>0</v>
      </c>
      <c r="BD109" s="1860">
        <f>IF(AND(OR(S_9!$C$13="Nutzungsintensität u Düngung erhöhen",S_9!$C$13="Nutzungsintensität u Düngung reduzieren",S_9!$C$13="Schnittzahl reduzieren",S_9!$C$13="Dauerweidenutzung beenden",S_9!$C$14="Nutzungsintensität u Düngung erhöhen",S_9!$C$14="Nutzungsintensität u Düngung reduzieren",S_9!$C$14="Schnittzahl reduzieren",S_9!$C$14="Dauerweidenutzung beenden",S_9!$C$15="Nutzungsintensität u Düngung erhöhen",S_9!$C$15="Nutzungsintensität u Düngung reduzieren",S_9!$C$15="Schnittzahl reduzieren",S_9!$C$15="Dauerweidenutzung beenden"),S_9!$G$8="JA"),S_9!AH$13,0)</f>
        <v>0</v>
      </c>
      <c r="BE109" s="1860">
        <f>IF(AND(OR(S_9!$C$13="Nutzungsintensität u Düngung erhöhen",S_9!$C$13="Nutzungsintensität u Düngung reduzieren",S_9!$C$13="Schnittzahl reduzieren",S_9!$C$13="Dauerweidenutzung beenden",S_9!$C$14="Nutzungsintensität u Düngung erhöhen",S_9!$C$14="Nutzungsintensität u Düngung reduzieren",S_9!$C$14="Schnittzahl reduzieren",S_9!$C$14="Dauerweidenutzung beenden",S_9!$C$15="Nutzungsintensität u Düngung erhöhen",S_9!$C$15="Nutzungsintensität u Düngung reduzieren",S_9!$C$15="Schnittzahl reduzieren",S_9!$C$15="Dauerweidenutzung beenden"),S_9!$G$8="JA"),S_9!AI$13,0)</f>
        <v>0</v>
      </c>
      <c r="BF109" s="1860">
        <f>IF(AND(OR(S_9!$C$13="Nutzungsintensität u Düngung erhöhen",S_9!$C$13="Nutzungsintensität u Düngung reduzieren",S_9!$C$13="Schnittzahl reduzieren",S_9!$C$13="Dauerweidenutzung beenden",S_9!$C$14="Nutzungsintensität u Düngung erhöhen",S_9!$C$14="Nutzungsintensität u Düngung reduzieren",S_9!$C$14="Schnittzahl reduzieren",S_9!$C$14="Dauerweidenutzung beenden",S_9!$C$15="Nutzungsintensität u Düngung erhöhen",S_9!$C$15="Nutzungsintensität u Düngung reduzieren",S_9!$C$15="Schnittzahl reduzieren",S_9!$C$15="Dauerweidenutzung beenden"),S_9!$G$8="JA"),S_9!AJ$13,0)</f>
        <v>0</v>
      </c>
      <c r="BG109" s="1860"/>
      <c r="BH109" s="1860">
        <f>IF(AND(OR(S_9!$C$13="Dauerweidenutzung beenden",S_9!$C$14="Dauerweidenutzung beenden",S_9!$C$15="Dauerweidenutzung beenden"),S_9!$G$8="JA"),S_9!AL$13,0)</f>
        <v>0</v>
      </c>
      <c r="BK109" s="1860">
        <f>IF(AND(OR(S_9!$C$13="als Dauerweide führen",S_9!$C$14="als Dauerweide führen",S_9!$C$15="als Dauerweide führen"),S_9!$G$8="JA"),S_9!AE$13,0)</f>
        <v>0</v>
      </c>
      <c r="BL109" s="1860">
        <f>IF(AND(OR(S_9!$C$13="als Dauerweide führen",S_9!$C$14="als Dauerweide führen",S_9!$C$15="als Dauerweide führen"),S_9!$G$8="JA"),S_9!AF$13,0)</f>
        <v>0</v>
      </c>
      <c r="BM109" s="1860">
        <f>IF(AND(OR(S_9!$C$13="als Dauerweide führen",S_9!$C$14="als Dauerweide führen",S_9!$C$15="als Dauerweide führen"),S_9!$G$8="JA"),S_9!AG$13,0)</f>
        <v>0</v>
      </c>
      <c r="BN109" s="1860">
        <f>IF(AND(OR(S_9!$C$13="als Dauerweide führen",S_9!$C$14="als Dauerweide führen",S_9!$C$15="als Dauerweide führen"),S_9!$G$8="JA"),S_9!AH$13,0)</f>
        <v>0</v>
      </c>
      <c r="BO109" s="1860">
        <f>IF(AND(OR(S_9!$C$13="als Dauerweide führen",S_9!$C$14="als Dauerweide führen",S_9!$C$15="als Dauerweide führen"),S_9!$G$8="JA"),S_9!AI$13,0)</f>
        <v>0</v>
      </c>
      <c r="BP109" s="1860">
        <f>IF(AND(OR(S_9!$C$13="als Dauerweide führen",S_9!$C$14="als Dauerweide führen",S_9!$C$15="als Dauerweide führen"),S_9!$G$8="JA"),S_9!AJ$13,0)</f>
        <v>0</v>
      </c>
      <c r="BQ109" s="1860"/>
      <c r="BR109" s="1860">
        <f>IF(AND(OR(S_9!$C$13="als Dauerweide führen",S_9!$C$14="als Dauerweide führen",S_9!$C$15="als Dauerweide führen"),S_9!$G$8="JA"),S_9!AM$13,0)</f>
        <v>0</v>
      </c>
    </row>
    <row r="110" spans="41:70">
      <c r="BA110" s="1860">
        <f>IF(AND(OR(S_10!$C$13="Nutzungsintensität u Düngung erhöhen",S_10!$C$13="Nutzungsintensität u Düngung reduzieren",S_10!$C$13="Schnittzahl reduzieren",S_10!$C$13="Dauerweidenutzung beenden",S_10!$C$14="Nutzungsintensität u Düngung erhöhen",S_10!$C$14="Nutzungsintensität u Düngung reduzieren",S_10!$C$14="Schnittzahl reduzieren",S_10!$C$14="Dauerweidenutzung beenden",S_10!$C$15="Nutzungsintensität u Düngung erhöhen",S_10!$C$15="Nutzungsintensität u Düngung reduzieren",S_10!$C$15="Schnittzahl reduzieren",S_10!$C$15="Dauerweidenutzung beenden"),S_10!$G$8="JA"),S_10!AE$13,0)</f>
        <v>0</v>
      </c>
      <c r="BB110" s="1860">
        <f>IF(AND(OR(S_10!$C$13="Nutzungsintensität u Düngung erhöhen",S_10!$C$13="Nutzungsintensität u Düngung reduzieren",S_10!$C$13="Schnittzahl reduzieren",S_10!$C$13="Dauerweidenutzung beenden",S_10!$C$14="Nutzungsintensität u Düngung erhöhen",S_10!$C$14="Nutzungsintensität u Düngung reduzieren",S_10!$C$14="Schnittzahl reduzieren",S_10!$C$14="Dauerweidenutzung beenden",S_10!$C$15="Nutzungsintensität u Düngung erhöhen",S_10!$C$15="Nutzungsintensität u Düngung reduzieren",S_10!$C$15="Schnittzahl reduzieren",S_10!$C$15="Dauerweidenutzung beenden"),S_10!$G$8="JA"),S_10!AF$13,0)</f>
        <v>0</v>
      </c>
      <c r="BC110" s="1860">
        <f>IF(AND(OR(S_10!$C$13="Nutzungsintensität u Düngung erhöhen",S_10!$C$13="Nutzungsintensität u Düngung reduzieren",S_10!$C$13="Schnittzahl reduzieren",S_10!$C$13="Dauerweidenutzung beenden",S_10!$C$14="Nutzungsintensität u Düngung erhöhen",S_10!$C$14="Nutzungsintensität u Düngung reduzieren",S_10!$C$14="Schnittzahl reduzieren",S_10!$C$14="Dauerweidenutzung beenden",S_10!$C$15="Nutzungsintensität u Düngung erhöhen",S_10!$C$15="Nutzungsintensität u Düngung reduzieren",S_10!$C$15="Schnittzahl reduzieren",S_10!$C$15="Dauerweidenutzung beenden"),S_10!$G$8="JA"),S_10!AG$13,0)</f>
        <v>0</v>
      </c>
      <c r="BD110" s="1860">
        <f>IF(AND(OR(S_10!$C$13="Nutzungsintensität u Düngung erhöhen",S_10!$C$13="Nutzungsintensität u Düngung reduzieren",S_10!$C$13="Schnittzahl reduzieren",S_10!$C$13="Dauerweidenutzung beenden",S_10!$C$14="Nutzungsintensität u Düngung erhöhen",S_10!$C$14="Nutzungsintensität u Düngung reduzieren",S_10!$C$14="Schnittzahl reduzieren",S_10!$C$14="Dauerweidenutzung beenden",S_10!$C$15="Nutzungsintensität u Düngung erhöhen",S_10!$C$15="Nutzungsintensität u Düngung reduzieren",S_10!$C$15="Schnittzahl reduzieren",S_10!$C$15="Dauerweidenutzung beenden"),S_10!$G$8="JA"),S_10!AH$13,0)</f>
        <v>0</v>
      </c>
      <c r="BE110" s="1860">
        <f>IF(AND(OR(S_10!$C$13="Nutzungsintensität u Düngung erhöhen",S_10!$C$13="Nutzungsintensität u Düngung reduzieren",S_10!$C$13="Schnittzahl reduzieren",S_10!$C$13="Dauerweidenutzung beenden",S_10!$C$14="Nutzungsintensität u Düngung erhöhen",S_10!$C$14="Nutzungsintensität u Düngung reduzieren",S_10!$C$14="Schnittzahl reduzieren",S_10!$C$14="Dauerweidenutzung beenden",S_10!$C$15="Nutzungsintensität u Düngung erhöhen",S_10!$C$15="Nutzungsintensität u Düngung reduzieren",S_10!$C$15="Schnittzahl reduzieren",S_10!$C$15="Dauerweidenutzung beenden"),S_10!$G$8="JA"),S_10!AI$13,0)</f>
        <v>0</v>
      </c>
      <c r="BF110" s="1860">
        <f>IF(AND(OR(S_10!$C$13="Nutzungsintensität u Düngung erhöhen",S_10!$C$13="Nutzungsintensität u Düngung reduzieren",S_10!$C$13="Schnittzahl reduzieren",S_10!$C$13="Dauerweidenutzung beenden",S_10!$C$14="Nutzungsintensität u Düngung erhöhen",S_10!$C$14="Nutzungsintensität u Düngung reduzieren",S_10!$C$14="Schnittzahl reduzieren",S_10!$C$14="Dauerweidenutzung beenden",S_10!$C$15="Nutzungsintensität u Düngung erhöhen",S_10!$C$15="Nutzungsintensität u Düngung reduzieren",S_10!$C$15="Schnittzahl reduzieren",S_10!$C$15="Dauerweidenutzung beenden"),S_10!$G$8="JA"),S_10!AJ$13,0)</f>
        <v>0</v>
      </c>
      <c r="BG110" s="1860"/>
      <c r="BH110" s="1860">
        <f>IF(AND(OR(S_10!$C$13="Dauerweidenutzung beenden",S_10!$C$14="Dauerweidenutzung beenden",S_10!$C$15="Dauerweidenutzung beenden"),S_10!$G$8="JA"),S_10!AL$13,0)</f>
        <v>0</v>
      </c>
      <c r="BK110" s="1860">
        <f>IF(AND(OR(S_10!$C$13="als Dauerweide führen",S_10!$C$14="als Dauerweide führen",S_10!$C$15="als Dauerweide führen"),S_10!$G$8="JA"),S_10!AE$13,0)</f>
        <v>0</v>
      </c>
      <c r="BL110" s="1860">
        <f>IF(AND(OR(S_10!$C$13="als Dauerweide führen",S_10!$C$14="als Dauerweide führen",S_10!$C$15="als Dauerweide führen"),S_10!$G$8="JA"),S_10!AF$13,0)</f>
        <v>0</v>
      </c>
      <c r="BM110" s="1860">
        <f>IF(AND(OR(S_10!$C$13="als Dauerweide führen",S_10!$C$14="als Dauerweide führen",S_10!$C$15="als Dauerweide führen"),S_10!$G$8="JA"),S_10!AG$13,0)</f>
        <v>0</v>
      </c>
      <c r="BN110" s="1860">
        <f>IF(AND(OR(S_10!$C$13="als Dauerweide führen",S_10!$C$14="als Dauerweide führen",S_10!$C$15="als Dauerweide führen"),S_10!$G$8="JA"),S_10!AH$13,0)</f>
        <v>0</v>
      </c>
      <c r="BO110" s="1860">
        <f>IF(AND(OR(S_10!$C$13="als Dauerweide führen",S_10!$C$14="als Dauerweide führen",S_10!$C$15="als Dauerweide führen"),S_10!$G$8="JA"),S_10!AI$13,0)</f>
        <v>0</v>
      </c>
      <c r="BP110" s="1860">
        <f>IF(AND(OR(S_10!$C$13="als Dauerweide führen",S_10!$C$14="als Dauerweide führen",S_10!$C$15="als Dauerweide führen"),S_10!$G$8="JA"),S_10!AJ$13,0)</f>
        <v>0</v>
      </c>
      <c r="BQ110" s="1860"/>
      <c r="BR110" s="1860">
        <f>IF(AND(OR(S_10!$C$13="als Dauerweide führen",S_10!$C$14="als Dauerweide führen",S_10!$C$15="als Dauerweide führen"),S_10!$G$8="JA"),S_10!AM$13,0)</f>
        <v>0</v>
      </c>
    </row>
    <row r="111" spans="41:70">
      <c r="BA111" s="1860">
        <f>IF(AND(OR(S_11!$C$13="Nutzungsintensität u Düngung erhöhen",S_11!$C$13="Nutzungsintensität u Düngung reduzieren",S_11!$C$13="Schnittzahl reduzieren",S_11!$C$13="Dauerweidenutzung beenden",S_11!$C$14="Nutzungsintensität u Düngung erhöhen",S_11!$C$14="Nutzungsintensität u Düngung reduzieren",S_11!$C$14="Schnittzahl reduzieren",S_11!$C$14="Dauerweidenutzung beenden",S_11!$C$15="Nutzungsintensität u Düngung erhöhen",S_11!$C$15="Nutzungsintensität u Düngung reduzieren",S_11!$C$15="Schnittzahl reduzieren",S_11!$C$15="Dauerweidenutzung beenden"),S_11!$G$8="JA"),S_11!AE$13,0)</f>
        <v>0</v>
      </c>
      <c r="BB111" s="1860">
        <f>IF(AND(OR(S_11!$C$13="Nutzungsintensität u Düngung erhöhen",S_11!$C$13="Nutzungsintensität u Düngung reduzieren",S_11!$C$13="Schnittzahl reduzieren",S_11!$C$13="Dauerweidenutzung beenden",S_11!$C$14="Nutzungsintensität u Düngung erhöhen",S_11!$C$14="Nutzungsintensität u Düngung reduzieren",S_11!$C$14="Schnittzahl reduzieren",S_11!$C$14="Dauerweidenutzung beenden",S_11!$C$15="Nutzungsintensität u Düngung erhöhen",S_11!$C$15="Nutzungsintensität u Düngung reduzieren",S_11!$C$15="Schnittzahl reduzieren",S_11!$C$15="Dauerweidenutzung beenden"),S_11!$G$8="JA"),S_11!AF$13,0)</f>
        <v>0</v>
      </c>
      <c r="BC111" s="1860">
        <f>IF(AND(OR(S_11!$C$13="Nutzungsintensität u Düngung erhöhen",S_11!$C$13="Nutzungsintensität u Düngung reduzieren",S_11!$C$13="Schnittzahl reduzieren",S_11!$C$13="Dauerweidenutzung beenden",S_11!$C$14="Nutzungsintensität u Düngung erhöhen",S_11!$C$14="Nutzungsintensität u Düngung reduzieren",S_11!$C$14="Schnittzahl reduzieren",S_11!$C$14="Dauerweidenutzung beenden",S_11!$C$15="Nutzungsintensität u Düngung erhöhen",S_11!$C$15="Nutzungsintensität u Düngung reduzieren",S_11!$C$15="Schnittzahl reduzieren",S_11!$C$15="Dauerweidenutzung beenden"),S_11!$G$8="JA"),S_11!AG$13,0)</f>
        <v>0</v>
      </c>
      <c r="BD111" s="1860">
        <f>IF(AND(OR(S_11!$C$13="Nutzungsintensität u Düngung erhöhen",S_11!$C$13="Nutzungsintensität u Düngung reduzieren",S_11!$C$13="Schnittzahl reduzieren",S_11!$C$13="Dauerweidenutzung beenden",S_11!$C$14="Nutzungsintensität u Düngung erhöhen",S_11!$C$14="Nutzungsintensität u Düngung reduzieren",S_11!$C$14="Schnittzahl reduzieren",S_11!$C$14="Dauerweidenutzung beenden",S_11!$C$15="Nutzungsintensität u Düngung erhöhen",S_11!$C$15="Nutzungsintensität u Düngung reduzieren",S_11!$C$15="Schnittzahl reduzieren",S_11!$C$15="Dauerweidenutzung beenden"),S_11!$G$8="JA"),S_11!AH$13,0)</f>
        <v>0</v>
      </c>
      <c r="BE111" s="1860">
        <f>IF(AND(OR(S_11!$C$13="Nutzungsintensität u Düngung erhöhen",S_11!$C$13="Nutzungsintensität u Düngung reduzieren",S_11!$C$13="Schnittzahl reduzieren",S_11!$C$13="Dauerweidenutzung beenden",S_11!$C$14="Nutzungsintensität u Düngung erhöhen",S_11!$C$14="Nutzungsintensität u Düngung reduzieren",S_11!$C$14="Schnittzahl reduzieren",S_11!$C$14="Dauerweidenutzung beenden",S_11!$C$15="Nutzungsintensität u Düngung erhöhen",S_11!$C$15="Nutzungsintensität u Düngung reduzieren",S_11!$C$15="Schnittzahl reduzieren",S_11!$C$15="Dauerweidenutzung beenden"),S_11!$G$8="JA"),S_11!AI$13,0)</f>
        <v>0</v>
      </c>
      <c r="BF111" s="1860">
        <f>IF(AND(OR(S_11!$C$13="Nutzungsintensität u Düngung erhöhen",S_11!$C$13="Nutzungsintensität u Düngung reduzieren",S_11!$C$13="Schnittzahl reduzieren",S_11!$C$13="Dauerweidenutzung beenden",S_11!$C$14="Nutzungsintensität u Düngung erhöhen",S_11!$C$14="Nutzungsintensität u Düngung reduzieren",S_11!$C$14="Schnittzahl reduzieren",S_11!$C$14="Dauerweidenutzung beenden",S_11!$C$15="Nutzungsintensität u Düngung erhöhen",S_11!$C$15="Nutzungsintensität u Düngung reduzieren",S_11!$C$15="Schnittzahl reduzieren",S_11!$C$15="Dauerweidenutzung beenden"),S_11!$G$8="JA"),S_11!AJ$13,0)</f>
        <v>0</v>
      </c>
      <c r="BG111" s="1860"/>
      <c r="BH111" s="1860">
        <f>IF(AND(OR(S_11!$C$13="Dauerweidenutzung beenden",S_11!$C$14="Dauerweidenutzung beenden",S_11!$C$15="Dauerweidenutzung beenden"),S_11!$G$8="JA"),S_11!AL$13,0)</f>
        <v>0</v>
      </c>
      <c r="BK111" s="1860">
        <f>IF(AND(OR(S_11!$C$13="als Dauerweide führen",S_11!$C$14="als Dauerweide führen",S_11!$C$15="als Dauerweide führen"),S_11!$G$8="JA"),S_11!AE$13,0)</f>
        <v>0</v>
      </c>
      <c r="BL111" s="1860">
        <f>IF(AND(OR(S_11!$C$13="als Dauerweide führen",S_11!$C$14="als Dauerweide führen",S_11!$C$15="als Dauerweide führen"),S_11!$G$8="JA"),S_11!AF$13,0)</f>
        <v>0</v>
      </c>
      <c r="BM111" s="1860">
        <f>IF(AND(OR(S_11!$C$13="als Dauerweide führen",S_11!$C$14="als Dauerweide führen",S_11!$C$15="als Dauerweide führen"),S_11!$G$8="JA"),S_11!AG$13,0)</f>
        <v>0</v>
      </c>
      <c r="BN111" s="1860">
        <f>IF(AND(OR(S_11!$C$13="als Dauerweide führen",S_11!$C$14="als Dauerweide führen",S_11!$C$15="als Dauerweide führen"),S_11!$G$8="JA"),S_11!AH$13,0)</f>
        <v>0</v>
      </c>
      <c r="BO111" s="1860">
        <f>IF(AND(OR(S_11!$C$13="als Dauerweide führen",S_11!$C$14="als Dauerweide führen",S_11!$C$15="als Dauerweide führen"),S_11!$G$8="JA"),S_11!AI$13,0)</f>
        <v>0</v>
      </c>
      <c r="BP111" s="1860">
        <f>IF(AND(OR(S_11!$C$13="als Dauerweide führen",S_11!$C$14="als Dauerweide führen",S_11!$C$15="als Dauerweide führen"),S_11!$G$8="JA"),S_11!AJ$13,0)</f>
        <v>0</v>
      </c>
      <c r="BQ111" s="1860"/>
      <c r="BR111" s="1860">
        <f>IF(AND(OR(S_11!$C$13="als Dauerweide führen",S_11!$C$14="als Dauerweide führen",S_11!$C$15="als Dauerweide führen"),S_11!$G$8="JA"),S_11!AM$13,0)</f>
        <v>0</v>
      </c>
    </row>
    <row r="112" spans="41:70">
      <c r="BA112" s="1860">
        <f>IF(AND(OR(S_12!$C$13="Nutzungsintensität u Düngung erhöhen",S_12!$C$13="Nutzungsintensität u Düngung reduzieren",S_12!$C$13="Schnittzahl reduzieren",S_12!$C$13="Dauerweidenutzung beenden",S_12!$C$14="Nutzungsintensität u Düngung erhöhen",S_12!$C$14="Nutzungsintensität u Düngung reduzieren",S_12!$C$14="Schnittzahl reduzieren",S_12!$C$14="Dauerweidenutzung beenden",S_12!$C$15="Nutzungsintensität u Düngung erhöhen",S_12!$C$15="Nutzungsintensität u Düngung reduzieren",S_12!$C$15="Schnittzahl reduzieren",S_12!$C$15="Dauerweidenutzung beenden"),S_12!$G$8="JA"),S_12!AE$13,0)</f>
        <v>0</v>
      </c>
      <c r="BB112" s="1860">
        <f>IF(AND(OR(S_12!$C$13="Nutzungsintensität u Düngung erhöhen",S_12!$C$13="Nutzungsintensität u Düngung reduzieren",S_12!$C$13="Schnittzahl reduzieren",S_12!$C$13="Dauerweidenutzung beenden",S_12!$C$14="Nutzungsintensität u Düngung erhöhen",S_12!$C$14="Nutzungsintensität u Düngung reduzieren",S_12!$C$14="Schnittzahl reduzieren",S_12!$C$14="Dauerweidenutzung beenden",S_12!$C$15="Nutzungsintensität u Düngung erhöhen",S_12!$C$15="Nutzungsintensität u Düngung reduzieren",S_12!$C$15="Schnittzahl reduzieren",S_12!$C$15="Dauerweidenutzung beenden"),S_12!$G$8="JA"),S_12!AF$13,0)</f>
        <v>0</v>
      </c>
      <c r="BC112" s="1860">
        <f>IF(AND(OR(S_12!$C$13="Nutzungsintensität u Düngung erhöhen",S_12!$C$13="Nutzungsintensität u Düngung reduzieren",S_12!$C$13="Schnittzahl reduzieren",S_12!$C$13="Dauerweidenutzung beenden",S_12!$C$14="Nutzungsintensität u Düngung erhöhen",S_12!$C$14="Nutzungsintensität u Düngung reduzieren",S_12!$C$14="Schnittzahl reduzieren",S_12!$C$14="Dauerweidenutzung beenden",S_12!$C$15="Nutzungsintensität u Düngung erhöhen",S_12!$C$15="Nutzungsintensität u Düngung reduzieren",S_12!$C$15="Schnittzahl reduzieren",S_12!$C$15="Dauerweidenutzung beenden"),S_12!$G$8="JA"),S_12!AG$13,0)</f>
        <v>0</v>
      </c>
      <c r="BD112" s="1860">
        <f>IF(AND(OR(S_12!$C$13="Nutzungsintensität u Düngung erhöhen",S_12!$C$13="Nutzungsintensität u Düngung reduzieren",S_12!$C$13="Schnittzahl reduzieren",S_12!$C$13="Dauerweidenutzung beenden",S_12!$C$14="Nutzungsintensität u Düngung erhöhen",S_12!$C$14="Nutzungsintensität u Düngung reduzieren",S_12!$C$14="Schnittzahl reduzieren",S_12!$C$14="Dauerweidenutzung beenden",S_12!$C$15="Nutzungsintensität u Düngung erhöhen",S_12!$C$15="Nutzungsintensität u Düngung reduzieren",S_12!$C$15="Schnittzahl reduzieren",S_12!$C$15="Dauerweidenutzung beenden"),S_12!$G$8="JA"),S_12!AH$13,0)</f>
        <v>0</v>
      </c>
      <c r="BE112" s="1860">
        <f>IF(AND(OR(S_12!$C$13="Nutzungsintensität u Düngung erhöhen",S_12!$C$13="Nutzungsintensität u Düngung reduzieren",S_12!$C$13="Schnittzahl reduzieren",S_12!$C$13="Dauerweidenutzung beenden",S_12!$C$14="Nutzungsintensität u Düngung erhöhen",S_12!$C$14="Nutzungsintensität u Düngung reduzieren",S_12!$C$14="Schnittzahl reduzieren",S_12!$C$14="Dauerweidenutzung beenden",S_12!$C$15="Nutzungsintensität u Düngung erhöhen",S_12!$C$15="Nutzungsintensität u Düngung reduzieren",S_12!$C$15="Schnittzahl reduzieren",S_12!$C$15="Dauerweidenutzung beenden"),S_12!$G$8="JA"),S_12!AI$13,0)</f>
        <v>0</v>
      </c>
      <c r="BF112" s="1860">
        <f>IF(AND(OR(S_12!$C$13="Nutzungsintensität u Düngung erhöhen",S_12!$C$13="Nutzungsintensität u Düngung reduzieren",S_12!$C$13="Schnittzahl reduzieren",S_12!$C$13="Dauerweidenutzung beenden",S_12!$C$14="Nutzungsintensität u Düngung erhöhen",S_12!$C$14="Nutzungsintensität u Düngung reduzieren",S_12!$C$14="Schnittzahl reduzieren",S_12!$C$14="Dauerweidenutzung beenden",S_12!$C$15="Nutzungsintensität u Düngung erhöhen",S_12!$C$15="Nutzungsintensität u Düngung reduzieren",S_12!$C$15="Schnittzahl reduzieren",S_12!$C$15="Dauerweidenutzung beenden"),S_12!$G$8="JA"),S_12!AJ$13,0)</f>
        <v>0</v>
      </c>
      <c r="BG112" s="1860"/>
      <c r="BH112" s="1860">
        <f>IF(AND(OR(S_12!$C$13="Dauerweidenutzung beenden",S_12!$C$14="Dauerweidenutzung beenden",S_12!$C$15="Dauerweidenutzung beenden"),S_12!$G$8="JA"),S_12!AL$13,0)</f>
        <v>0</v>
      </c>
      <c r="BK112" s="1860">
        <f>IF(AND(OR(S_12!$C$13="als Dauerweide führen",S_12!$C$14="als Dauerweide führen",S_12!$C$15="als Dauerweide führen"),S_12!$G$8="JA"),S_12!AE$13,0)</f>
        <v>0</v>
      </c>
      <c r="BL112" s="1860">
        <f>IF(AND(OR(S_12!$C$13="als Dauerweide führen",S_12!$C$14="als Dauerweide führen",S_12!$C$15="als Dauerweide führen"),S_12!$G$8="JA"),S_12!AF$13,0)</f>
        <v>0</v>
      </c>
      <c r="BM112" s="1860">
        <f>IF(AND(OR(S_12!$C$13="als Dauerweide führen",S_12!$C$14="als Dauerweide führen",S_12!$C$15="als Dauerweide führen"),S_12!$G$8="JA"),S_12!AG$13,0)</f>
        <v>0</v>
      </c>
      <c r="BN112" s="1860">
        <f>IF(AND(OR(S_12!$C$13="als Dauerweide führen",S_12!$C$14="als Dauerweide führen",S_12!$C$15="als Dauerweide führen"),S_12!$G$8="JA"),S_12!AH$13,0)</f>
        <v>0</v>
      </c>
      <c r="BO112" s="1860">
        <f>IF(AND(OR(S_12!$C$13="als Dauerweide führen",S_12!$C$14="als Dauerweide führen",S_12!$C$15="als Dauerweide führen"),S_12!$G$8="JA"),S_12!AI$13,0)</f>
        <v>0</v>
      </c>
      <c r="BP112" s="1860">
        <f>IF(AND(OR(S_12!$C$13="als Dauerweide führen",S_12!$C$14="als Dauerweide führen",S_12!$C$15="als Dauerweide führen"),S_12!$G$8="JA"),S_12!AJ$13,0)</f>
        <v>0</v>
      </c>
      <c r="BQ112" s="1860"/>
      <c r="BR112" s="1860">
        <f>IF(AND(OR(S_12!$C$13="als Dauerweide führen",S_12!$C$14="als Dauerweide führen",S_12!$C$15="als Dauerweide führen"),S_12!$G$8="JA"),S_12!AM$13,0)</f>
        <v>0</v>
      </c>
    </row>
    <row r="113" spans="53:70">
      <c r="BA113" s="1860">
        <f>IF(AND(OR(S_13!$C$13="Nutzungsintensität u Düngung erhöhen",S_13!$C$13="Nutzungsintensität u Düngung reduzieren",S_13!$C$13="Schnittzahl reduzieren",S_13!$C$13="Dauerweidenutzung beenden",S_13!$C$14="Nutzungsintensität u Düngung erhöhen",S_13!$C$14="Nutzungsintensität u Düngung reduzieren",S_13!$C$14="Schnittzahl reduzieren",S_13!$C$14="Dauerweidenutzung beenden",S_13!$C$15="Nutzungsintensität u Düngung erhöhen",S_13!$C$15="Nutzungsintensität u Düngung reduzieren",S_13!$C$15="Schnittzahl reduzieren",S_13!$C$15="Dauerweidenutzung beenden"),S_13!$G$8="JA"),S_13!AE$13,0)</f>
        <v>0</v>
      </c>
      <c r="BB113" s="1860">
        <f>IF(AND(OR(S_13!$C$13="Nutzungsintensität u Düngung erhöhen",S_13!$C$13="Nutzungsintensität u Düngung reduzieren",S_13!$C$13="Schnittzahl reduzieren",S_13!$C$13="Dauerweidenutzung beenden",S_13!$C$14="Nutzungsintensität u Düngung erhöhen",S_13!$C$14="Nutzungsintensität u Düngung reduzieren",S_13!$C$14="Schnittzahl reduzieren",S_13!$C$14="Dauerweidenutzung beenden",S_13!$C$15="Nutzungsintensität u Düngung erhöhen",S_13!$C$15="Nutzungsintensität u Düngung reduzieren",S_13!$C$15="Schnittzahl reduzieren",S_13!$C$15="Dauerweidenutzung beenden"),S_13!$G$8="JA"),S_13!AF$13,0)</f>
        <v>0</v>
      </c>
      <c r="BC113" s="1860">
        <f>IF(AND(OR(S_13!$C$13="Nutzungsintensität u Düngung erhöhen",S_13!$C$13="Nutzungsintensität u Düngung reduzieren",S_13!$C$13="Schnittzahl reduzieren",S_13!$C$13="Dauerweidenutzung beenden",S_13!$C$14="Nutzungsintensität u Düngung erhöhen",S_13!$C$14="Nutzungsintensität u Düngung reduzieren",S_13!$C$14="Schnittzahl reduzieren",S_13!$C$14="Dauerweidenutzung beenden",S_13!$C$15="Nutzungsintensität u Düngung erhöhen",S_13!$C$15="Nutzungsintensität u Düngung reduzieren",S_13!$C$15="Schnittzahl reduzieren",S_13!$C$15="Dauerweidenutzung beenden"),S_13!$G$8="JA"),S_13!AG$13,0)</f>
        <v>0</v>
      </c>
      <c r="BD113" s="1860">
        <f>IF(AND(OR(S_13!$C$13="Nutzungsintensität u Düngung erhöhen",S_13!$C$13="Nutzungsintensität u Düngung reduzieren",S_13!$C$13="Schnittzahl reduzieren",S_13!$C$13="Dauerweidenutzung beenden",S_13!$C$14="Nutzungsintensität u Düngung erhöhen",S_13!$C$14="Nutzungsintensität u Düngung reduzieren",S_13!$C$14="Schnittzahl reduzieren",S_13!$C$14="Dauerweidenutzung beenden",S_13!$C$15="Nutzungsintensität u Düngung erhöhen",S_13!$C$15="Nutzungsintensität u Düngung reduzieren",S_13!$C$15="Schnittzahl reduzieren",S_13!$C$15="Dauerweidenutzung beenden"),S_13!$G$8="JA"),S_13!AH$13,0)</f>
        <v>0</v>
      </c>
      <c r="BE113" s="1860">
        <f>IF(AND(OR(S_13!$C$13="Nutzungsintensität u Düngung erhöhen",S_13!$C$13="Nutzungsintensität u Düngung reduzieren",S_13!$C$13="Schnittzahl reduzieren",S_13!$C$13="Dauerweidenutzung beenden",S_13!$C$14="Nutzungsintensität u Düngung erhöhen",S_13!$C$14="Nutzungsintensität u Düngung reduzieren",S_13!$C$14="Schnittzahl reduzieren",S_13!$C$14="Dauerweidenutzung beenden",S_13!$C$15="Nutzungsintensität u Düngung erhöhen",S_13!$C$15="Nutzungsintensität u Düngung reduzieren",S_13!$C$15="Schnittzahl reduzieren",S_13!$C$15="Dauerweidenutzung beenden"),S_13!$G$8="JA"),S_13!AI$13,0)</f>
        <v>0</v>
      </c>
      <c r="BF113" s="1860">
        <f>IF(AND(OR(S_13!$C$13="Nutzungsintensität u Düngung erhöhen",S_13!$C$13="Nutzungsintensität u Düngung reduzieren",S_13!$C$13="Schnittzahl reduzieren",S_13!$C$13="Dauerweidenutzung beenden",S_13!$C$14="Nutzungsintensität u Düngung erhöhen",S_13!$C$14="Nutzungsintensität u Düngung reduzieren",S_13!$C$14="Schnittzahl reduzieren",S_13!$C$14="Dauerweidenutzung beenden",S_13!$C$15="Nutzungsintensität u Düngung erhöhen",S_13!$C$15="Nutzungsintensität u Düngung reduzieren",S_13!$C$15="Schnittzahl reduzieren",S_13!$C$15="Dauerweidenutzung beenden"),S_13!$G$8="JA"),S_13!AJ$13,0)</f>
        <v>0</v>
      </c>
      <c r="BG113" s="1860"/>
      <c r="BH113" s="1860">
        <f>IF(AND(OR(S_13!$C$13="Dauerweidenutzung beenden",S_13!$C$14="Dauerweidenutzung beenden",S_13!$C$15="Dauerweidenutzung beenden"),S_13!$G$8="JA"),S_13!AL$13,0)</f>
        <v>0</v>
      </c>
      <c r="BK113" s="1860">
        <f>IF(AND(OR(S_13!$C$13="als Dauerweide führen",S_13!$C$14="als Dauerweide führen",S_13!$C$15="als Dauerweide führen"),S_13!$G$8="JA"),S_13!AE$13,0)</f>
        <v>0</v>
      </c>
      <c r="BL113" s="1860">
        <f>IF(AND(OR(S_13!$C$13="als Dauerweide führen",S_13!$C$14="als Dauerweide führen",S_13!$C$15="als Dauerweide führen"),S_13!$G$8="JA"),S_13!AF$13,0)</f>
        <v>0</v>
      </c>
      <c r="BM113" s="1860">
        <f>IF(AND(OR(S_13!$C$13="als Dauerweide führen",S_13!$C$14="als Dauerweide führen",S_13!$C$15="als Dauerweide führen"),S_13!$G$8="JA"),S_13!AG$13,0)</f>
        <v>0</v>
      </c>
      <c r="BN113" s="1860">
        <f>IF(AND(OR(S_13!$C$13="als Dauerweide führen",S_13!$C$14="als Dauerweide führen",S_13!$C$15="als Dauerweide führen"),S_13!$G$8="JA"),S_13!AH$13,0)</f>
        <v>0</v>
      </c>
      <c r="BO113" s="1860">
        <f>IF(AND(OR(S_13!$C$13="als Dauerweide führen",S_13!$C$14="als Dauerweide führen",S_13!$C$15="als Dauerweide führen"),S_13!$G$8="JA"),S_13!AI$13,0)</f>
        <v>0</v>
      </c>
      <c r="BP113" s="1860">
        <f>IF(AND(OR(S_13!$C$13="als Dauerweide führen",S_13!$C$14="als Dauerweide führen",S_13!$C$15="als Dauerweide führen"),S_13!$G$8="JA"),S_13!AJ$13,0)</f>
        <v>0</v>
      </c>
      <c r="BQ113" s="1860"/>
      <c r="BR113" s="1860">
        <f>IF(AND(OR(S_13!$C$13="als Dauerweide führen",S_13!$C$14="als Dauerweide führen",S_13!$C$15="als Dauerweide führen"),S_13!$G$8="JA"),S_13!AM$13,0)</f>
        <v>0</v>
      </c>
    </row>
    <row r="114" spans="53:70">
      <c r="BA114" s="1860">
        <f>IF(AND(OR(S_14!$C$13="Nutzungsintensität u Düngung erhöhen",S_14!$C$13="Nutzungsintensität u Düngung reduzieren",S_14!$C$13="Schnittzahl reduzieren",S_14!$C$13="Dauerweidenutzung beenden",S_14!$C$14="Nutzungsintensität u Düngung erhöhen",S_14!$C$14="Nutzungsintensität u Düngung reduzieren",S_14!$C$14="Schnittzahl reduzieren",S_14!$C$14="Dauerweidenutzung beenden",S_14!$C$15="Nutzungsintensität u Düngung erhöhen",S_14!$C$15="Nutzungsintensität u Düngung reduzieren",S_14!$C$15="Schnittzahl reduzieren",S_14!$C$15="Dauerweidenutzung beenden"),S_14!$G$8="JA"),S_14!AE$13,0)</f>
        <v>0</v>
      </c>
      <c r="BB114" s="1860">
        <f>IF(AND(OR(S_14!$C$13="Nutzungsintensität u Düngung erhöhen",S_14!$C$13="Nutzungsintensität u Düngung reduzieren",S_14!$C$13="Schnittzahl reduzieren",S_14!$C$13="Dauerweidenutzung beenden",S_14!$C$14="Nutzungsintensität u Düngung erhöhen",S_14!$C$14="Nutzungsintensität u Düngung reduzieren",S_14!$C$14="Schnittzahl reduzieren",S_14!$C$14="Dauerweidenutzung beenden",S_14!$C$15="Nutzungsintensität u Düngung erhöhen",S_14!$C$15="Nutzungsintensität u Düngung reduzieren",S_14!$C$15="Schnittzahl reduzieren",S_14!$C$15="Dauerweidenutzung beenden"),S_14!$G$8="JA"),S_14!AF$13,0)</f>
        <v>0</v>
      </c>
      <c r="BC114" s="1860">
        <f>IF(AND(OR(S_14!$C$13="Nutzungsintensität u Düngung erhöhen",S_14!$C$13="Nutzungsintensität u Düngung reduzieren",S_14!$C$13="Schnittzahl reduzieren",S_14!$C$13="Dauerweidenutzung beenden",S_14!$C$14="Nutzungsintensität u Düngung erhöhen",S_14!$C$14="Nutzungsintensität u Düngung reduzieren",S_14!$C$14="Schnittzahl reduzieren",S_14!$C$14="Dauerweidenutzung beenden",S_14!$C$15="Nutzungsintensität u Düngung erhöhen",S_14!$C$15="Nutzungsintensität u Düngung reduzieren",S_14!$C$15="Schnittzahl reduzieren",S_14!$C$15="Dauerweidenutzung beenden"),S_14!$G$8="JA"),S_14!AG$13,0)</f>
        <v>0</v>
      </c>
      <c r="BD114" s="1860">
        <f>IF(AND(OR(S_14!$C$13="Nutzungsintensität u Düngung erhöhen",S_14!$C$13="Nutzungsintensität u Düngung reduzieren",S_14!$C$13="Schnittzahl reduzieren",S_14!$C$13="Dauerweidenutzung beenden",S_14!$C$14="Nutzungsintensität u Düngung erhöhen",S_14!$C$14="Nutzungsintensität u Düngung reduzieren",S_14!$C$14="Schnittzahl reduzieren",S_14!$C$14="Dauerweidenutzung beenden",S_14!$C$15="Nutzungsintensität u Düngung erhöhen",S_14!$C$15="Nutzungsintensität u Düngung reduzieren",S_14!$C$15="Schnittzahl reduzieren",S_14!$C$15="Dauerweidenutzung beenden"),S_14!$G$8="JA"),S_14!AH$13,0)</f>
        <v>0</v>
      </c>
      <c r="BE114" s="1860">
        <f>IF(AND(OR(S_14!$C$13="Nutzungsintensität u Düngung erhöhen",S_14!$C$13="Nutzungsintensität u Düngung reduzieren",S_14!$C$13="Schnittzahl reduzieren",S_14!$C$13="Dauerweidenutzung beenden",S_14!$C$14="Nutzungsintensität u Düngung erhöhen",S_14!$C$14="Nutzungsintensität u Düngung reduzieren",S_14!$C$14="Schnittzahl reduzieren",S_14!$C$14="Dauerweidenutzung beenden",S_14!$C$15="Nutzungsintensität u Düngung erhöhen",S_14!$C$15="Nutzungsintensität u Düngung reduzieren",S_14!$C$15="Schnittzahl reduzieren",S_14!$C$15="Dauerweidenutzung beenden"),S_14!$G$8="JA"),S_14!AI$13,0)</f>
        <v>0</v>
      </c>
      <c r="BF114" s="1860">
        <f>IF(AND(OR(S_14!$C$13="Nutzungsintensität u Düngung erhöhen",S_14!$C$13="Nutzungsintensität u Düngung reduzieren",S_14!$C$13="Schnittzahl reduzieren",S_14!$C$13="Dauerweidenutzung beenden",S_14!$C$14="Nutzungsintensität u Düngung erhöhen",S_14!$C$14="Nutzungsintensität u Düngung reduzieren",S_14!$C$14="Schnittzahl reduzieren",S_14!$C$14="Dauerweidenutzung beenden",S_14!$C$15="Nutzungsintensität u Düngung erhöhen",S_14!$C$15="Nutzungsintensität u Düngung reduzieren",S_14!$C$15="Schnittzahl reduzieren",S_14!$C$15="Dauerweidenutzung beenden"),S_14!$G$8="JA"),S_14!AJ$13,0)</f>
        <v>0</v>
      </c>
      <c r="BG114" s="1860"/>
      <c r="BH114" s="1860">
        <f>IF(AND(OR(S_14!$C$13="Dauerweidenutzung beenden",S_14!$C$14="Dauerweidenutzung beenden",S_14!$C$15="Dauerweidenutzung beenden"),S_14!$G$8="JA"),S_14!AL$13,0)</f>
        <v>0</v>
      </c>
      <c r="BK114" s="1860">
        <f>IF(AND(OR(S_14!$C$13="als Dauerweide führen",S_14!$C$14="als Dauerweide führen",S_14!$C$15="als Dauerweide führen"),S_14!$G$8="JA"),S_14!AE$13,0)</f>
        <v>0</v>
      </c>
      <c r="BL114" s="1860">
        <f>IF(AND(OR(S_14!$C$13="als Dauerweide führen",S_14!$C$14="als Dauerweide führen",S_14!$C$15="als Dauerweide führen"),S_14!$G$8="JA"),S_14!AF$13,0)</f>
        <v>0</v>
      </c>
      <c r="BM114" s="1860">
        <f>IF(AND(OR(S_14!$C$13="als Dauerweide führen",S_14!$C$14="als Dauerweide führen",S_14!$C$15="als Dauerweide führen"),S_14!$G$8="JA"),S_14!AG$13,0)</f>
        <v>0</v>
      </c>
      <c r="BN114" s="1860">
        <f>IF(AND(OR(S_14!$C$13="als Dauerweide führen",S_14!$C$14="als Dauerweide führen",S_14!$C$15="als Dauerweide führen"),S_14!$G$8="JA"),S_14!AH$13,0)</f>
        <v>0</v>
      </c>
      <c r="BO114" s="1860">
        <f>IF(AND(OR(S_14!$C$13="als Dauerweide führen",S_14!$C$14="als Dauerweide führen",S_14!$C$15="als Dauerweide führen"),S_14!$G$8="JA"),S_14!AI$13,0)</f>
        <v>0</v>
      </c>
      <c r="BP114" s="1860">
        <f>IF(AND(OR(S_14!$C$13="als Dauerweide führen",S_14!$C$14="als Dauerweide führen",S_14!$C$15="als Dauerweide führen"),S_14!$G$8="JA"),S_14!AJ$13,0)</f>
        <v>0</v>
      </c>
      <c r="BQ114" s="1860"/>
      <c r="BR114" s="1860">
        <f>IF(AND(OR(S_14!$C$13="als Dauerweide führen",S_14!$C$14="als Dauerweide führen",S_14!$C$15="als Dauerweide führen"),S_14!$G$8="JA"),S_14!AM$13,0)</f>
        <v>0</v>
      </c>
    </row>
    <row r="115" spans="53:70">
      <c r="BA115" s="1860">
        <f>IF(AND(OR(S_15!$C$13="Nutzungsintensität u Düngung erhöhen",S_15!$C$13="Nutzungsintensität u Düngung reduzieren",S_15!$C$13="Schnittzahl reduzieren",S_15!$C$13="Dauerweidenutzung beenden",S_15!$C$14="Nutzungsintensität u Düngung erhöhen",S_15!$C$14="Nutzungsintensität u Düngung reduzieren",S_15!$C$14="Schnittzahl reduzieren",S_15!$C$14="Dauerweidenutzung beenden",S_15!$C$15="Nutzungsintensität u Düngung erhöhen",S_15!$C$15="Nutzungsintensität u Düngung reduzieren",S_15!$C$15="Schnittzahl reduzieren",S_15!$C$15="Dauerweidenutzung beenden"),S_15!$G$8="JA"),S_15!AE$13,0)</f>
        <v>0</v>
      </c>
      <c r="BB115" s="1860">
        <f>IF(AND(OR(S_15!$C$13="Nutzungsintensität u Düngung erhöhen",S_15!$C$13="Nutzungsintensität u Düngung reduzieren",S_15!$C$13="Schnittzahl reduzieren",S_15!$C$13="Dauerweidenutzung beenden",S_15!$C$14="Nutzungsintensität u Düngung erhöhen",S_15!$C$14="Nutzungsintensität u Düngung reduzieren",S_15!$C$14="Schnittzahl reduzieren",S_15!$C$14="Dauerweidenutzung beenden",S_15!$C$15="Nutzungsintensität u Düngung erhöhen",S_15!$C$15="Nutzungsintensität u Düngung reduzieren",S_15!$C$15="Schnittzahl reduzieren",S_15!$C$15="Dauerweidenutzung beenden"),S_15!$G$8="JA"),S_15!AF$13,0)</f>
        <v>0</v>
      </c>
      <c r="BC115" s="1860">
        <f>IF(AND(OR(S_15!$C$13="Nutzungsintensität u Düngung erhöhen",S_15!$C$13="Nutzungsintensität u Düngung reduzieren",S_15!$C$13="Schnittzahl reduzieren",S_15!$C$13="Dauerweidenutzung beenden",S_15!$C$14="Nutzungsintensität u Düngung erhöhen",S_15!$C$14="Nutzungsintensität u Düngung reduzieren",S_15!$C$14="Schnittzahl reduzieren",S_15!$C$14="Dauerweidenutzung beenden",S_15!$C$15="Nutzungsintensität u Düngung erhöhen",S_15!$C$15="Nutzungsintensität u Düngung reduzieren",S_15!$C$15="Schnittzahl reduzieren",S_15!$C$15="Dauerweidenutzung beenden"),S_15!$G$8="JA"),S_15!AG$13,0)</f>
        <v>0</v>
      </c>
      <c r="BD115" s="1860">
        <f>IF(AND(OR(S_15!$C$13="Nutzungsintensität u Düngung erhöhen",S_15!$C$13="Nutzungsintensität u Düngung reduzieren",S_15!$C$13="Schnittzahl reduzieren",S_15!$C$13="Dauerweidenutzung beenden",S_15!$C$14="Nutzungsintensität u Düngung erhöhen",S_15!$C$14="Nutzungsintensität u Düngung reduzieren",S_15!$C$14="Schnittzahl reduzieren",S_15!$C$14="Dauerweidenutzung beenden",S_15!$C$15="Nutzungsintensität u Düngung erhöhen",S_15!$C$15="Nutzungsintensität u Düngung reduzieren",S_15!$C$15="Schnittzahl reduzieren",S_15!$C$15="Dauerweidenutzung beenden"),S_15!$G$8="JA"),S_15!AH$13,0)</f>
        <v>0</v>
      </c>
      <c r="BE115" s="1860">
        <f>IF(AND(OR(S_15!$C$13="Nutzungsintensität u Düngung erhöhen",S_15!$C$13="Nutzungsintensität u Düngung reduzieren",S_15!$C$13="Schnittzahl reduzieren",S_15!$C$13="Dauerweidenutzung beenden",S_15!$C$14="Nutzungsintensität u Düngung erhöhen",S_15!$C$14="Nutzungsintensität u Düngung reduzieren",S_15!$C$14="Schnittzahl reduzieren",S_15!$C$14="Dauerweidenutzung beenden",S_15!$C$15="Nutzungsintensität u Düngung erhöhen",S_15!$C$15="Nutzungsintensität u Düngung reduzieren",S_15!$C$15="Schnittzahl reduzieren",S_15!$C$15="Dauerweidenutzung beenden"),S_15!$G$8="JA"),S_15!AI$13,0)</f>
        <v>0</v>
      </c>
      <c r="BF115" s="1860">
        <f>IF(AND(OR(S_15!$C$13="Nutzungsintensität u Düngung erhöhen",S_15!$C$13="Nutzungsintensität u Düngung reduzieren",S_15!$C$13="Schnittzahl reduzieren",S_15!$C$13="Dauerweidenutzung beenden",S_15!$C$14="Nutzungsintensität u Düngung erhöhen",S_15!$C$14="Nutzungsintensität u Düngung reduzieren",S_15!$C$14="Schnittzahl reduzieren",S_15!$C$14="Dauerweidenutzung beenden",S_15!$C$15="Nutzungsintensität u Düngung erhöhen",S_15!$C$15="Nutzungsintensität u Düngung reduzieren",S_15!$C$15="Schnittzahl reduzieren",S_15!$C$15="Dauerweidenutzung beenden"),S_15!$G$8="JA"),S_15!AJ$13,0)</f>
        <v>0</v>
      </c>
      <c r="BG115" s="1860"/>
      <c r="BH115" s="1860">
        <f>IF(AND(OR(S_15!$C$13="Dauerweidenutzung beenden",S_15!$C$14="Dauerweidenutzung beenden",S_15!$C$15="Dauerweidenutzung beenden"),S_15!$G$8="JA"),S_15!AL$13,0)</f>
        <v>0</v>
      </c>
      <c r="BK115" s="1860">
        <f>IF(AND(OR(S_15!$C$13="als Dauerweide führen",S_15!$C$14="als Dauerweide führen",S_15!$C$15="als Dauerweide führen"),S_15!$G$8="JA"),S_15!AE$13,0)</f>
        <v>0</v>
      </c>
      <c r="BL115" s="1860">
        <f>IF(AND(OR(S_15!$C$13="als Dauerweide führen",S_15!$C$14="als Dauerweide führen",S_15!$C$15="als Dauerweide führen"),S_15!$G$8="JA"),S_15!AF$13,0)</f>
        <v>0</v>
      </c>
      <c r="BM115" s="1860">
        <f>IF(AND(OR(S_15!$C$13="als Dauerweide führen",S_15!$C$14="als Dauerweide führen",S_15!$C$15="als Dauerweide führen"),S_15!$G$8="JA"),S_15!AG$13,0)</f>
        <v>0</v>
      </c>
      <c r="BN115" s="1860">
        <f>IF(AND(OR(S_15!$C$13="als Dauerweide führen",S_15!$C$14="als Dauerweide führen",S_15!$C$15="als Dauerweide führen"),S_15!$G$8="JA"),S_15!AH$13,0)</f>
        <v>0</v>
      </c>
      <c r="BO115" s="1860">
        <f>IF(AND(OR(S_15!$C$13="als Dauerweide führen",S_15!$C$14="als Dauerweide führen",S_15!$C$15="als Dauerweide führen"),S_15!$G$8="JA"),S_15!AI$13,0)</f>
        <v>0</v>
      </c>
      <c r="BP115" s="1860">
        <f>IF(AND(OR(S_15!$C$13="als Dauerweide führen",S_15!$C$14="als Dauerweide führen",S_15!$C$15="als Dauerweide führen"),S_15!$G$8="JA"),S_15!AJ$13,0)</f>
        <v>0</v>
      </c>
      <c r="BQ115" s="1860"/>
      <c r="BR115" s="1860">
        <f>IF(AND(OR(S_15!$C$13="als Dauerweide führen",S_15!$C$14="als Dauerweide führen",S_15!$C$15="als Dauerweide führen"),S_15!$G$8="JA"),S_15!AM$13,0)</f>
        <v>0</v>
      </c>
    </row>
    <row r="116" spans="53:70">
      <c r="BA116" s="1860">
        <f>IF(AND(OR(S_16!$C$13="Nutzungsintensität u Düngung erhöhen",S_16!$C$13="Nutzungsintensität u Düngung reduzieren",S_16!$C$13="Schnittzahl reduzieren",S_16!$C$13="Dauerweidenutzung beenden",S_16!$C$14="Nutzungsintensität u Düngung erhöhen",S_16!$C$14="Nutzungsintensität u Düngung reduzieren",S_16!$C$14="Schnittzahl reduzieren",S_16!$C$14="Dauerweidenutzung beenden",S_16!$C$15="Nutzungsintensität u Düngung erhöhen",S_16!$C$15="Nutzungsintensität u Düngung reduzieren",S_16!$C$15="Schnittzahl reduzieren",S_16!$C$15="Dauerweidenutzung beenden"),S_16!$G$8="JA"),S_16!AE$13,0)</f>
        <v>0</v>
      </c>
      <c r="BB116" s="1860">
        <f>IF(AND(OR(S_16!$C$13="Nutzungsintensität u Düngung erhöhen",S_16!$C$13="Nutzungsintensität u Düngung reduzieren",S_16!$C$13="Schnittzahl reduzieren",S_16!$C$13="Dauerweidenutzung beenden",S_16!$C$14="Nutzungsintensität u Düngung erhöhen",S_16!$C$14="Nutzungsintensität u Düngung reduzieren",S_16!$C$14="Schnittzahl reduzieren",S_16!$C$14="Dauerweidenutzung beenden",S_16!$C$15="Nutzungsintensität u Düngung erhöhen",S_16!$C$15="Nutzungsintensität u Düngung reduzieren",S_16!$C$15="Schnittzahl reduzieren",S_16!$C$15="Dauerweidenutzung beenden"),S_16!$G$8="JA"),S_16!AF$13,0)</f>
        <v>0</v>
      </c>
      <c r="BC116" s="1860">
        <f>IF(AND(OR(S_16!$C$13="Nutzungsintensität u Düngung erhöhen",S_16!$C$13="Nutzungsintensität u Düngung reduzieren",S_16!$C$13="Schnittzahl reduzieren",S_16!$C$13="Dauerweidenutzung beenden",S_16!$C$14="Nutzungsintensität u Düngung erhöhen",S_16!$C$14="Nutzungsintensität u Düngung reduzieren",S_16!$C$14="Schnittzahl reduzieren",S_16!$C$14="Dauerweidenutzung beenden",S_16!$C$15="Nutzungsintensität u Düngung erhöhen",S_16!$C$15="Nutzungsintensität u Düngung reduzieren",S_16!$C$15="Schnittzahl reduzieren",S_16!$C$15="Dauerweidenutzung beenden"),S_16!$G$8="JA"),S_16!AG$13,0)</f>
        <v>0</v>
      </c>
      <c r="BD116" s="1860">
        <f>IF(AND(OR(S_16!$C$13="Nutzungsintensität u Düngung erhöhen",S_16!$C$13="Nutzungsintensität u Düngung reduzieren",S_16!$C$13="Schnittzahl reduzieren",S_16!$C$13="Dauerweidenutzung beenden",S_16!$C$14="Nutzungsintensität u Düngung erhöhen",S_16!$C$14="Nutzungsintensität u Düngung reduzieren",S_16!$C$14="Schnittzahl reduzieren",S_16!$C$14="Dauerweidenutzung beenden",S_16!$C$15="Nutzungsintensität u Düngung erhöhen",S_16!$C$15="Nutzungsintensität u Düngung reduzieren",S_16!$C$15="Schnittzahl reduzieren",S_16!$C$15="Dauerweidenutzung beenden"),S_16!$G$8="JA"),S_16!AH$13,0)</f>
        <v>0</v>
      </c>
      <c r="BE116" s="1860">
        <f>IF(AND(OR(S_16!$C$13="Nutzungsintensität u Düngung erhöhen",S_16!$C$13="Nutzungsintensität u Düngung reduzieren",S_16!$C$13="Schnittzahl reduzieren",S_16!$C$13="Dauerweidenutzung beenden",S_16!$C$14="Nutzungsintensität u Düngung erhöhen",S_16!$C$14="Nutzungsintensität u Düngung reduzieren",S_16!$C$14="Schnittzahl reduzieren",S_16!$C$14="Dauerweidenutzung beenden",S_16!$C$15="Nutzungsintensität u Düngung erhöhen",S_16!$C$15="Nutzungsintensität u Düngung reduzieren",S_16!$C$15="Schnittzahl reduzieren",S_16!$C$15="Dauerweidenutzung beenden"),S_16!$G$8="JA"),S_16!AI$13,0)</f>
        <v>0</v>
      </c>
      <c r="BF116" s="1860">
        <f>IF(AND(OR(S_16!$C$13="Nutzungsintensität u Düngung erhöhen",S_16!$C$13="Nutzungsintensität u Düngung reduzieren",S_16!$C$13="Schnittzahl reduzieren",S_16!$C$13="Dauerweidenutzung beenden",S_16!$C$14="Nutzungsintensität u Düngung erhöhen",S_16!$C$14="Nutzungsintensität u Düngung reduzieren",S_16!$C$14="Schnittzahl reduzieren",S_16!$C$14="Dauerweidenutzung beenden",S_16!$C$15="Nutzungsintensität u Düngung erhöhen",S_16!$C$15="Nutzungsintensität u Düngung reduzieren",S_16!$C$15="Schnittzahl reduzieren",S_16!$C$15="Dauerweidenutzung beenden"),S_16!$G$8="JA"),S_16!AJ$13,0)</f>
        <v>0</v>
      </c>
      <c r="BG116" s="1860"/>
      <c r="BH116" s="1860">
        <f>IF(AND(OR(S_16!$C$13="Dauerweidenutzung beenden",S_16!$C$14="Dauerweidenutzung beenden",S_16!$C$15="Dauerweidenutzung beenden"),S_16!$G$8="JA"),S_16!AL$13,0)</f>
        <v>0</v>
      </c>
      <c r="BK116" s="1860">
        <f>IF(AND(OR(S_16!$C$13="als Dauerweide führen",S_16!$C$14="als Dauerweide führen",S_16!$C$15="als Dauerweide führen"),S_16!$G$8="JA"),S_16!AE$13,0)</f>
        <v>0</v>
      </c>
      <c r="BL116" s="1860">
        <f>IF(AND(OR(S_16!$C$13="als Dauerweide führen",S_16!$C$14="als Dauerweide führen",S_16!$C$15="als Dauerweide führen"),S_16!$G$8="JA"),S_16!AF$13,0)</f>
        <v>0</v>
      </c>
      <c r="BM116" s="1860">
        <f>IF(AND(OR(S_16!$C$13="als Dauerweide führen",S_16!$C$14="als Dauerweide führen",S_16!$C$15="als Dauerweide führen"),S_16!$G$8="JA"),S_16!AG$13,0)</f>
        <v>0</v>
      </c>
      <c r="BN116" s="1860">
        <f>IF(AND(OR(S_16!$C$13="als Dauerweide führen",S_16!$C$14="als Dauerweide führen",S_16!$C$15="als Dauerweide führen"),S_16!$G$8="JA"),S_16!AH$13,0)</f>
        <v>0</v>
      </c>
      <c r="BO116" s="1860">
        <f>IF(AND(OR(S_16!$C$13="als Dauerweide führen",S_16!$C$14="als Dauerweide führen",S_16!$C$15="als Dauerweide führen"),S_16!$G$8="JA"),S_16!AI$13,0)</f>
        <v>0</v>
      </c>
      <c r="BP116" s="1860">
        <f>IF(AND(OR(S_16!$C$13="als Dauerweide führen",S_16!$C$14="als Dauerweide führen",S_16!$C$15="als Dauerweide führen"),S_16!$G$8="JA"),S_16!AJ$13,0)</f>
        <v>0</v>
      </c>
      <c r="BQ116" s="1860"/>
      <c r="BR116" s="1860">
        <f>IF(AND(OR(S_16!$C$13="als Dauerweide führen",S_16!$C$14="als Dauerweide führen",S_16!$C$15="als Dauerweide führen"),S_16!$G$8="JA"),S_16!AM$13,0)</f>
        <v>0</v>
      </c>
    </row>
    <row r="117" spans="53:70">
      <c r="BA117" s="1860">
        <f>IF(AND(OR(S_17!$C$13="Nutzungsintensität u Düngung erhöhen",S_17!$C$13="Nutzungsintensität u Düngung reduzieren",S_17!$C$13="Schnittzahl reduzieren",S_17!$C$13="Dauerweidenutzung beenden",S_17!$C$14="Nutzungsintensität u Düngung erhöhen",S_17!$C$14="Nutzungsintensität u Düngung reduzieren",S_17!$C$14="Schnittzahl reduzieren",S_17!$C$14="Dauerweidenutzung beenden",S_17!$C$15="Nutzungsintensität u Düngung erhöhen",S_17!$C$15="Nutzungsintensität u Düngung reduzieren",S_17!$C$15="Schnittzahl reduzieren",S_17!$C$15="Dauerweidenutzung beenden"),S_17!$G$8="JA"),S_17!AE$13,0)</f>
        <v>0</v>
      </c>
      <c r="BB117" s="1860">
        <f>IF(AND(OR(S_17!$C$13="Nutzungsintensität u Düngung erhöhen",S_17!$C$13="Nutzungsintensität u Düngung reduzieren",S_17!$C$13="Schnittzahl reduzieren",S_17!$C$13="Dauerweidenutzung beenden",S_17!$C$14="Nutzungsintensität u Düngung erhöhen",S_17!$C$14="Nutzungsintensität u Düngung reduzieren",S_17!$C$14="Schnittzahl reduzieren",S_17!$C$14="Dauerweidenutzung beenden",S_17!$C$15="Nutzungsintensität u Düngung erhöhen",S_17!$C$15="Nutzungsintensität u Düngung reduzieren",S_17!$C$15="Schnittzahl reduzieren",S_17!$C$15="Dauerweidenutzung beenden"),S_17!$G$8="JA"),S_17!AF$13,0)</f>
        <v>0</v>
      </c>
      <c r="BC117" s="1860">
        <f>IF(AND(OR(S_17!$C$13="Nutzungsintensität u Düngung erhöhen",S_17!$C$13="Nutzungsintensität u Düngung reduzieren",S_17!$C$13="Schnittzahl reduzieren",S_17!$C$13="Dauerweidenutzung beenden",S_17!$C$14="Nutzungsintensität u Düngung erhöhen",S_17!$C$14="Nutzungsintensität u Düngung reduzieren",S_17!$C$14="Schnittzahl reduzieren",S_17!$C$14="Dauerweidenutzung beenden",S_17!$C$15="Nutzungsintensität u Düngung erhöhen",S_17!$C$15="Nutzungsintensität u Düngung reduzieren",S_17!$C$15="Schnittzahl reduzieren",S_17!$C$15="Dauerweidenutzung beenden"),S_17!$G$8="JA"),S_17!AG$13,0)</f>
        <v>0</v>
      </c>
      <c r="BD117" s="1860">
        <f>IF(AND(OR(S_17!$C$13="Nutzungsintensität u Düngung erhöhen",S_17!$C$13="Nutzungsintensität u Düngung reduzieren",S_17!$C$13="Schnittzahl reduzieren",S_17!$C$13="Dauerweidenutzung beenden",S_17!$C$14="Nutzungsintensität u Düngung erhöhen",S_17!$C$14="Nutzungsintensität u Düngung reduzieren",S_17!$C$14="Schnittzahl reduzieren",S_17!$C$14="Dauerweidenutzung beenden",S_17!$C$15="Nutzungsintensität u Düngung erhöhen",S_17!$C$15="Nutzungsintensität u Düngung reduzieren",S_17!$C$15="Schnittzahl reduzieren",S_17!$C$15="Dauerweidenutzung beenden"),S_17!$G$8="JA"),S_17!AH$13,0)</f>
        <v>0</v>
      </c>
      <c r="BE117" s="1860">
        <f>IF(AND(OR(S_17!$C$13="Nutzungsintensität u Düngung erhöhen",S_17!$C$13="Nutzungsintensität u Düngung reduzieren",S_17!$C$13="Schnittzahl reduzieren",S_17!$C$13="Dauerweidenutzung beenden",S_17!$C$14="Nutzungsintensität u Düngung erhöhen",S_17!$C$14="Nutzungsintensität u Düngung reduzieren",S_17!$C$14="Schnittzahl reduzieren",S_17!$C$14="Dauerweidenutzung beenden",S_17!$C$15="Nutzungsintensität u Düngung erhöhen",S_17!$C$15="Nutzungsintensität u Düngung reduzieren",S_17!$C$15="Schnittzahl reduzieren",S_17!$C$15="Dauerweidenutzung beenden"),S_17!$G$8="JA"),S_17!AI$13,0)</f>
        <v>0</v>
      </c>
      <c r="BF117" s="1860">
        <f>IF(AND(OR(S_17!$C$13="Nutzungsintensität u Düngung erhöhen",S_17!$C$13="Nutzungsintensität u Düngung reduzieren",S_17!$C$13="Schnittzahl reduzieren",S_17!$C$13="Dauerweidenutzung beenden",S_17!$C$14="Nutzungsintensität u Düngung erhöhen",S_17!$C$14="Nutzungsintensität u Düngung reduzieren",S_17!$C$14="Schnittzahl reduzieren",S_17!$C$14="Dauerweidenutzung beenden",S_17!$C$15="Nutzungsintensität u Düngung erhöhen",S_17!$C$15="Nutzungsintensität u Düngung reduzieren",S_17!$C$15="Schnittzahl reduzieren",S_17!$C$15="Dauerweidenutzung beenden"),S_17!$G$8="JA"),S_17!AJ$13,0)</f>
        <v>0</v>
      </c>
      <c r="BG117" s="1860"/>
      <c r="BH117" s="1860">
        <f>IF(AND(OR(S_17!$C$13="Dauerweidenutzung beenden",S_17!$C$14="Dauerweidenutzung beenden",S_17!$C$15="Dauerweidenutzung beenden"),S_17!$G$8="JA"),S_17!AL$13,0)</f>
        <v>0</v>
      </c>
      <c r="BK117" s="1860">
        <f>IF(AND(OR(S_17!$C$13="als Dauerweide führen",S_17!$C$14="als Dauerweide führen",S_17!$C$15="als Dauerweide führen"),S_17!$G$8="JA"),S_17!AE$13,0)</f>
        <v>0</v>
      </c>
      <c r="BL117" s="1860">
        <f>IF(AND(OR(S_17!$C$13="als Dauerweide führen",S_17!$C$14="als Dauerweide führen",S_17!$C$15="als Dauerweide führen"),S_17!$G$8="JA"),S_17!AF$13,0)</f>
        <v>0</v>
      </c>
      <c r="BM117" s="1860">
        <f>IF(AND(OR(S_17!$C$13="als Dauerweide führen",S_17!$C$14="als Dauerweide führen",S_17!$C$15="als Dauerweide führen"),S_17!$G$8="JA"),S_17!AG$13,0)</f>
        <v>0</v>
      </c>
      <c r="BN117" s="1860">
        <f>IF(AND(OR(S_17!$C$13="als Dauerweide führen",S_17!$C$14="als Dauerweide führen",S_17!$C$15="als Dauerweide führen"),S_17!$G$8="JA"),S_17!AH$13,0)</f>
        <v>0</v>
      </c>
      <c r="BO117" s="1860">
        <f>IF(AND(OR(S_17!$C$13="als Dauerweide führen",S_17!$C$14="als Dauerweide führen",S_17!$C$15="als Dauerweide führen"),S_17!$G$8="JA"),S_17!AI$13,0)</f>
        <v>0</v>
      </c>
      <c r="BP117" s="1860">
        <f>IF(AND(OR(S_17!$C$13="als Dauerweide führen",S_17!$C$14="als Dauerweide führen",S_17!$C$15="als Dauerweide führen"),S_17!$G$8="JA"),S_17!AJ$13,0)</f>
        <v>0</v>
      </c>
      <c r="BQ117" s="1860"/>
      <c r="BR117" s="1860">
        <f>IF(AND(OR(S_17!$C$13="als Dauerweide führen",S_17!$C$14="als Dauerweide führen",S_17!$C$15="als Dauerweide führen"),S_17!$G$8="JA"),S_17!AM$13,0)</f>
        <v>0</v>
      </c>
    </row>
    <row r="118" spans="53:70">
      <c r="BA118" s="1860">
        <f>IF(AND(OR(S_18!$C$13="Nutzungsintensität u Düngung erhöhen",S_18!$C$13="Nutzungsintensität u Düngung reduzieren",S_18!$C$13="Schnittzahl reduzieren",S_18!$C$13="Dauerweidenutzung beenden",S_18!$C$14="Nutzungsintensität u Düngung erhöhen",S_18!$C$14="Nutzungsintensität u Düngung reduzieren",S_18!$C$14="Schnittzahl reduzieren",S_18!$C$14="Dauerweidenutzung beenden",S_18!$C$15="Nutzungsintensität u Düngung erhöhen",S_18!$C$15="Nutzungsintensität u Düngung reduzieren",S_18!$C$15="Schnittzahl reduzieren",S_18!$C$15="Dauerweidenutzung beenden"),S_18!$G$8="JA"),S_18!AE$13,0)</f>
        <v>0</v>
      </c>
      <c r="BB118" s="1860">
        <f>IF(AND(OR(S_18!$C$13="Nutzungsintensität u Düngung erhöhen",S_18!$C$13="Nutzungsintensität u Düngung reduzieren",S_18!$C$13="Schnittzahl reduzieren",S_18!$C$13="Dauerweidenutzung beenden",S_18!$C$14="Nutzungsintensität u Düngung erhöhen",S_18!$C$14="Nutzungsintensität u Düngung reduzieren",S_18!$C$14="Schnittzahl reduzieren",S_18!$C$14="Dauerweidenutzung beenden",S_18!$C$15="Nutzungsintensität u Düngung erhöhen",S_18!$C$15="Nutzungsintensität u Düngung reduzieren",S_18!$C$15="Schnittzahl reduzieren",S_18!$C$15="Dauerweidenutzung beenden"),S_18!$G$8="JA"),S_18!AF$13,0)</f>
        <v>0</v>
      </c>
      <c r="BC118" s="1860">
        <f>IF(AND(OR(S_18!$C$13="Nutzungsintensität u Düngung erhöhen",S_18!$C$13="Nutzungsintensität u Düngung reduzieren",S_18!$C$13="Schnittzahl reduzieren",S_18!$C$13="Dauerweidenutzung beenden",S_18!$C$14="Nutzungsintensität u Düngung erhöhen",S_18!$C$14="Nutzungsintensität u Düngung reduzieren",S_18!$C$14="Schnittzahl reduzieren",S_18!$C$14="Dauerweidenutzung beenden",S_18!$C$15="Nutzungsintensität u Düngung erhöhen",S_18!$C$15="Nutzungsintensität u Düngung reduzieren",S_18!$C$15="Schnittzahl reduzieren",S_18!$C$15="Dauerweidenutzung beenden"),S_18!$G$8="JA"),S_18!AG$13,0)</f>
        <v>0</v>
      </c>
      <c r="BD118" s="1860">
        <f>IF(AND(OR(S_18!$C$13="Nutzungsintensität u Düngung erhöhen",S_18!$C$13="Nutzungsintensität u Düngung reduzieren",S_18!$C$13="Schnittzahl reduzieren",S_18!$C$13="Dauerweidenutzung beenden",S_18!$C$14="Nutzungsintensität u Düngung erhöhen",S_18!$C$14="Nutzungsintensität u Düngung reduzieren",S_18!$C$14="Schnittzahl reduzieren",S_18!$C$14="Dauerweidenutzung beenden",S_18!$C$15="Nutzungsintensität u Düngung erhöhen",S_18!$C$15="Nutzungsintensität u Düngung reduzieren",S_18!$C$15="Schnittzahl reduzieren",S_18!$C$15="Dauerweidenutzung beenden"),S_18!$G$8="JA"),S_18!AH$13,0)</f>
        <v>0</v>
      </c>
      <c r="BE118" s="1860">
        <f>IF(AND(OR(S_18!$C$13="Nutzungsintensität u Düngung erhöhen",S_18!$C$13="Nutzungsintensität u Düngung reduzieren",S_18!$C$13="Schnittzahl reduzieren",S_18!$C$13="Dauerweidenutzung beenden",S_18!$C$14="Nutzungsintensität u Düngung erhöhen",S_18!$C$14="Nutzungsintensität u Düngung reduzieren",S_18!$C$14="Schnittzahl reduzieren",S_18!$C$14="Dauerweidenutzung beenden",S_18!$C$15="Nutzungsintensität u Düngung erhöhen",S_18!$C$15="Nutzungsintensität u Düngung reduzieren",S_18!$C$15="Schnittzahl reduzieren",S_18!$C$15="Dauerweidenutzung beenden"),S_18!$G$8="JA"),S_18!AI$13,0)</f>
        <v>0</v>
      </c>
      <c r="BF118" s="1860">
        <f>IF(AND(OR(S_18!$C$13="Nutzungsintensität u Düngung erhöhen",S_18!$C$13="Nutzungsintensität u Düngung reduzieren",S_18!$C$13="Schnittzahl reduzieren",S_18!$C$13="Dauerweidenutzung beenden",S_18!$C$14="Nutzungsintensität u Düngung erhöhen",S_18!$C$14="Nutzungsintensität u Düngung reduzieren",S_18!$C$14="Schnittzahl reduzieren",S_18!$C$14="Dauerweidenutzung beenden",S_18!$C$15="Nutzungsintensität u Düngung erhöhen",S_18!$C$15="Nutzungsintensität u Düngung reduzieren",S_18!$C$15="Schnittzahl reduzieren",S_18!$C$15="Dauerweidenutzung beenden"),S_18!$G$8="JA"),S_18!AJ$13,0)</f>
        <v>0</v>
      </c>
      <c r="BG118" s="1860"/>
      <c r="BH118" s="1860">
        <f>IF(AND(OR(S_18!$C$13="Dauerweidenutzung beenden",S_18!$C$14="Dauerweidenutzung beenden",S_18!$C$15="Dauerweidenutzung beenden"),S_18!$G$8="JA"),S_18!AL$13,0)</f>
        <v>0</v>
      </c>
      <c r="BK118" s="1860">
        <f>IF(AND(OR(S_18!$C$13="als Dauerweide führen",S_18!$C$14="als Dauerweide führen",S_18!$C$15="als Dauerweide führen"),S_18!$G$8="JA"),S_18!AE$13,0)</f>
        <v>0</v>
      </c>
      <c r="BL118" s="1860">
        <f>IF(AND(OR(S_18!$C$13="als Dauerweide führen",S_18!$C$14="als Dauerweide führen",S_18!$C$15="als Dauerweide führen"),S_18!$G$8="JA"),S_18!AF$13,0)</f>
        <v>0</v>
      </c>
      <c r="BM118" s="1860">
        <f>IF(AND(OR(S_18!$C$13="als Dauerweide führen",S_18!$C$14="als Dauerweide führen",S_18!$C$15="als Dauerweide führen"),S_18!$G$8="JA"),S_18!AG$13,0)</f>
        <v>0</v>
      </c>
      <c r="BN118" s="1860">
        <f>IF(AND(OR(S_18!$C$13="als Dauerweide führen",S_18!$C$14="als Dauerweide führen",S_18!$C$15="als Dauerweide führen"),S_18!$G$8="JA"),S_18!AH$13,0)</f>
        <v>0</v>
      </c>
      <c r="BO118" s="1860">
        <f>IF(AND(OR(S_18!$C$13="als Dauerweide führen",S_18!$C$14="als Dauerweide führen",S_18!$C$15="als Dauerweide führen"),S_18!$G$8="JA"),S_18!AI$13,0)</f>
        <v>0</v>
      </c>
      <c r="BP118" s="1860">
        <f>IF(AND(OR(S_18!$C$13="als Dauerweide führen",S_18!$C$14="als Dauerweide führen",S_18!$C$15="als Dauerweide führen"),S_18!$G$8="JA"),S_18!AJ$13,0)</f>
        <v>0</v>
      </c>
      <c r="BQ118" s="1860"/>
      <c r="BR118" s="1860">
        <f>IF(AND(OR(S_18!$C$13="als Dauerweide führen",S_18!$C$14="als Dauerweide führen",S_18!$C$15="als Dauerweide führen"),S_18!$G$8="JA"),S_18!AM$13,0)</f>
        <v>0</v>
      </c>
    </row>
    <row r="119" spans="53:70">
      <c r="BA119" s="1860">
        <f>IF(AND(OR(S_19!$C$13="Nutzungsintensität u Düngung erhöhen",S_19!$C$13="Nutzungsintensität u Düngung reduzieren",S_19!$C$13="Schnittzahl reduzieren",S_19!$C$13="Dauerweidenutzung beenden",S_19!$C$14="Nutzungsintensität u Düngung erhöhen",S_19!$C$14="Nutzungsintensität u Düngung reduzieren",S_19!$C$14="Schnittzahl reduzieren",S_19!$C$14="Dauerweidenutzung beenden",S_19!$C$15="Nutzungsintensität u Düngung erhöhen",S_19!$C$15="Nutzungsintensität u Düngung reduzieren",S_19!$C$15="Schnittzahl reduzieren",S_19!$C$15="Dauerweidenutzung beenden"),S_19!$G$8="JA"),S_19!AE$13,0)</f>
        <v>0</v>
      </c>
      <c r="BB119" s="1860">
        <f>IF(AND(OR(S_19!$C$13="Nutzungsintensität u Düngung erhöhen",S_19!$C$13="Nutzungsintensität u Düngung reduzieren",S_19!$C$13="Schnittzahl reduzieren",S_19!$C$13="Dauerweidenutzung beenden",S_19!$C$14="Nutzungsintensität u Düngung erhöhen",S_19!$C$14="Nutzungsintensität u Düngung reduzieren",S_19!$C$14="Schnittzahl reduzieren",S_19!$C$14="Dauerweidenutzung beenden",S_19!$C$15="Nutzungsintensität u Düngung erhöhen",S_19!$C$15="Nutzungsintensität u Düngung reduzieren",S_19!$C$15="Schnittzahl reduzieren",S_19!$C$15="Dauerweidenutzung beenden"),S_19!$G$8="JA"),S_19!AF$13,0)</f>
        <v>0</v>
      </c>
      <c r="BC119" s="1860">
        <f>IF(AND(OR(S_19!$C$13="Nutzungsintensität u Düngung erhöhen",S_19!$C$13="Nutzungsintensität u Düngung reduzieren",S_19!$C$13="Schnittzahl reduzieren",S_19!$C$13="Dauerweidenutzung beenden",S_19!$C$14="Nutzungsintensität u Düngung erhöhen",S_19!$C$14="Nutzungsintensität u Düngung reduzieren",S_19!$C$14="Schnittzahl reduzieren",S_19!$C$14="Dauerweidenutzung beenden",S_19!$C$15="Nutzungsintensität u Düngung erhöhen",S_19!$C$15="Nutzungsintensität u Düngung reduzieren",S_19!$C$15="Schnittzahl reduzieren",S_19!$C$15="Dauerweidenutzung beenden"),S_19!$G$8="JA"),S_19!AG$13,0)</f>
        <v>0</v>
      </c>
      <c r="BD119" s="1860">
        <f>IF(AND(OR(S_19!$C$13="Nutzungsintensität u Düngung erhöhen",S_19!$C$13="Nutzungsintensität u Düngung reduzieren",S_19!$C$13="Schnittzahl reduzieren",S_19!$C$13="Dauerweidenutzung beenden",S_19!$C$14="Nutzungsintensität u Düngung erhöhen",S_19!$C$14="Nutzungsintensität u Düngung reduzieren",S_19!$C$14="Schnittzahl reduzieren",S_19!$C$14="Dauerweidenutzung beenden",S_19!$C$15="Nutzungsintensität u Düngung erhöhen",S_19!$C$15="Nutzungsintensität u Düngung reduzieren",S_19!$C$15="Schnittzahl reduzieren",S_19!$C$15="Dauerweidenutzung beenden"),S_19!$G$8="JA"),S_19!AH$13,0)</f>
        <v>0</v>
      </c>
      <c r="BE119" s="1860">
        <f>IF(AND(OR(S_19!$C$13="Nutzungsintensität u Düngung erhöhen",S_19!$C$13="Nutzungsintensität u Düngung reduzieren",S_19!$C$13="Schnittzahl reduzieren",S_19!$C$13="Dauerweidenutzung beenden",S_19!$C$14="Nutzungsintensität u Düngung erhöhen",S_19!$C$14="Nutzungsintensität u Düngung reduzieren",S_19!$C$14="Schnittzahl reduzieren",S_19!$C$14="Dauerweidenutzung beenden",S_19!$C$15="Nutzungsintensität u Düngung erhöhen",S_19!$C$15="Nutzungsintensität u Düngung reduzieren",S_19!$C$15="Schnittzahl reduzieren",S_19!$C$15="Dauerweidenutzung beenden"),S_19!$G$8="JA"),S_19!AI$13,0)</f>
        <v>0</v>
      </c>
      <c r="BF119" s="1860">
        <f>IF(AND(OR(S_19!$C$13="Nutzungsintensität u Düngung erhöhen",S_19!$C$13="Nutzungsintensität u Düngung reduzieren",S_19!$C$13="Schnittzahl reduzieren",S_19!$C$13="Dauerweidenutzung beenden",S_19!$C$14="Nutzungsintensität u Düngung erhöhen",S_19!$C$14="Nutzungsintensität u Düngung reduzieren",S_19!$C$14="Schnittzahl reduzieren",S_19!$C$14="Dauerweidenutzung beenden",S_19!$C$15="Nutzungsintensität u Düngung erhöhen",S_19!$C$15="Nutzungsintensität u Düngung reduzieren",S_19!$C$15="Schnittzahl reduzieren",S_19!$C$15="Dauerweidenutzung beenden"),S_19!$G$8="JA"),S_19!AJ$13,0)</f>
        <v>0</v>
      </c>
      <c r="BG119" s="1860"/>
      <c r="BH119" s="1860">
        <f>IF(AND(OR(S_19!$C$13="Dauerweidenutzung beenden",S_19!$C$14="Dauerweidenutzung beenden",S_19!$C$15="Dauerweidenutzung beenden"),S_19!$G$8="JA"),S_19!AL$13,0)</f>
        <v>0</v>
      </c>
      <c r="BK119" s="1860">
        <f>IF(AND(OR(S_19!$C$13="als Dauerweide führen",S_19!$C$14="als Dauerweide führen",S_19!$C$15="als Dauerweide führen"),S_19!$G$8="JA"),S_19!AE$13,0)</f>
        <v>0</v>
      </c>
      <c r="BL119" s="1860">
        <f>IF(AND(OR(S_19!$C$13="als Dauerweide führen",S_19!$C$14="als Dauerweide führen",S_19!$C$15="als Dauerweide führen"),S_19!$G$8="JA"),S_19!AF$13,0)</f>
        <v>0</v>
      </c>
      <c r="BM119" s="1860">
        <f>IF(AND(OR(S_19!$C$13="als Dauerweide führen",S_19!$C$14="als Dauerweide führen",S_19!$C$15="als Dauerweide führen"),S_19!$G$8="JA"),S_19!AG$13,0)</f>
        <v>0</v>
      </c>
      <c r="BN119" s="1860">
        <f>IF(AND(OR(S_19!$C$13="als Dauerweide führen",S_19!$C$14="als Dauerweide führen",S_19!$C$15="als Dauerweide führen"),S_19!$G$8="JA"),S_19!AH$13,0)</f>
        <v>0</v>
      </c>
      <c r="BO119" s="1860">
        <f>IF(AND(OR(S_19!$C$13="als Dauerweide führen",S_19!$C$14="als Dauerweide führen",S_19!$C$15="als Dauerweide führen"),S_19!$G$8="JA"),S_19!AI$13,0)</f>
        <v>0</v>
      </c>
      <c r="BP119" s="1860">
        <f>IF(AND(OR(S_19!$C$13="als Dauerweide führen",S_19!$C$14="als Dauerweide führen",S_19!$C$15="als Dauerweide führen"),S_19!$G$8="JA"),S_19!AJ$13,0)</f>
        <v>0</v>
      </c>
      <c r="BQ119" s="1860"/>
      <c r="BR119" s="1860">
        <f>IF(AND(OR(S_19!$C$13="als Dauerweide führen",S_19!$C$14="als Dauerweide führen",S_19!$C$15="als Dauerweide führen"),S_19!$G$8="JA"),S_19!AM$13,0)</f>
        <v>0</v>
      </c>
    </row>
    <row r="120" spans="53:70">
      <c r="BA120" s="1860">
        <f>IF(AND(OR(S_20!$C$13="Nutzungsintensität u Düngung erhöhen",S_20!$C$13="Nutzungsintensität u Düngung reduzieren",S_20!$C$13="Schnittzahl reduzieren",S_20!$C$13="Dauerweidenutzung beenden",S_20!$C$14="Nutzungsintensität u Düngung erhöhen",S_20!$C$14="Nutzungsintensität u Düngung reduzieren",S_20!$C$14="Schnittzahl reduzieren",S_20!$C$14="Dauerweidenutzung beenden",S_20!$C$15="Nutzungsintensität u Düngung erhöhen",S_20!$C$15="Nutzungsintensität u Düngung reduzieren",S_20!$C$15="Schnittzahl reduzieren",S_20!$C$15="Dauerweidenutzung beenden"),S_20!$G$8="JA"),S_20!AE$13,0)</f>
        <v>0</v>
      </c>
      <c r="BB120" s="1860">
        <f>IF(AND(OR(S_20!$C$13="Nutzungsintensität u Düngung erhöhen",S_20!$C$13="Nutzungsintensität u Düngung reduzieren",S_20!$C$13="Schnittzahl reduzieren",S_20!$C$13="Dauerweidenutzung beenden",S_20!$C$14="Nutzungsintensität u Düngung erhöhen",S_20!$C$14="Nutzungsintensität u Düngung reduzieren",S_20!$C$14="Schnittzahl reduzieren",S_20!$C$14="Dauerweidenutzung beenden",S_20!$C$15="Nutzungsintensität u Düngung erhöhen",S_20!$C$15="Nutzungsintensität u Düngung reduzieren",S_20!$C$15="Schnittzahl reduzieren",S_20!$C$15="Dauerweidenutzung beenden"),S_20!$G$8="JA"),S_20!AF$13,0)</f>
        <v>0</v>
      </c>
      <c r="BC120" s="1860">
        <f>IF(AND(OR(S_20!$C$13="Nutzungsintensität u Düngung erhöhen",S_20!$C$13="Nutzungsintensität u Düngung reduzieren",S_20!$C$13="Schnittzahl reduzieren",S_20!$C$13="Dauerweidenutzung beenden",S_20!$C$14="Nutzungsintensität u Düngung erhöhen",S_20!$C$14="Nutzungsintensität u Düngung reduzieren",S_20!$C$14="Schnittzahl reduzieren",S_20!$C$14="Dauerweidenutzung beenden",S_20!$C$15="Nutzungsintensität u Düngung erhöhen",S_20!$C$15="Nutzungsintensität u Düngung reduzieren",S_20!$C$15="Schnittzahl reduzieren",S_20!$C$15="Dauerweidenutzung beenden"),S_20!$G$8="JA"),S_20!AG$13,0)</f>
        <v>0</v>
      </c>
      <c r="BD120" s="1860">
        <f>IF(AND(OR(S_20!$C$13="Nutzungsintensität u Düngung erhöhen",S_20!$C$13="Nutzungsintensität u Düngung reduzieren",S_20!$C$13="Schnittzahl reduzieren",S_20!$C$13="Dauerweidenutzung beenden",S_20!$C$14="Nutzungsintensität u Düngung erhöhen",S_20!$C$14="Nutzungsintensität u Düngung reduzieren",S_20!$C$14="Schnittzahl reduzieren",S_20!$C$14="Dauerweidenutzung beenden",S_20!$C$15="Nutzungsintensität u Düngung erhöhen",S_20!$C$15="Nutzungsintensität u Düngung reduzieren",S_20!$C$15="Schnittzahl reduzieren",S_20!$C$15="Dauerweidenutzung beenden"),S_20!$G$8="JA"),S_20!AH$13,0)</f>
        <v>0</v>
      </c>
      <c r="BE120" s="1860">
        <f>IF(AND(OR(S_20!$C$13="Nutzungsintensität u Düngung erhöhen",S_20!$C$13="Nutzungsintensität u Düngung reduzieren",S_20!$C$13="Schnittzahl reduzieren",S_20!$C$13="Dauerweidenutzung beenden",S_20!$C$14="Nutzungsintensität u Düngung erhöhen",S_20!$C$14="Nutzungsintensität u Düngung reduzieren",S_20!$C$14="Schnittzahl reduzieren",S_20!$C$14="Dauerweidenutzung beenden",S_20!$C$15="Nutzungsintensität u Düngung erhöhen",S_20!$C$15="Nutzungsintensität u Düngung reduzieren",S_20!$C$15="Schnittzahl reduzieren",S_20!$C$15="Dauerweidenutzung beenden"),S_20!$G$8="JA"),S_20!AI$13,0)</f>
        <v>0</v>
      </c>
      <c r="BF120" s="1860">
        <f>IF(AND(OR(S_20!$C$13="Nutzungsintensität u Düngung erhöhen",S_20!$C$13="Nutzungsintensität u Düngung reduzieren",S_20!$C$13="Schnittzahl reduzieren",S_20!$C$13="Dauerweidenutzung beenden",S_20!$C$14="Nutzungsintensität u Düngung erhöhen",S_20!$C$14="Nutzungsintensität u Düngung reduzieren",S_20!$C$14="Schnittzahl reduzieren",S_20!$C$14="Dauerweidenutzung beenden",S_20!$C$15="Nutzungsintensität u Düngung erhöhen",S_20!$C$15="Nutzungsintensität u Düngung reduzieren",S_20!$C$15="Schnittzahl reduzieren",S_20!$C$15="Dauerweidenutzung beenden"),S_20!$G$8="JA"),S_20!AJ$13,0)</f>
        <v>0</v>
      </c>
      <c r="BG120" s="1860"/>
      <c r="BH120" s="1860">
        <f>IF(AND(OR(S_20!$C$13="Dauerweidenutzung beenden",S_20!$C$14="Dauerweidenutzung beenden",S_20!$C$15="Dauerweidenutzung beenden"),S_20!$G$8="JA"),S_20!AL$13,0)</f>
        <v>0</v>
      </c>
      <c r="BK120" s="1860">
        <f>IF(AND(OR(S_20!$C$13="als Dauerweide führen",S_20!$C$14="als Dauerweide führen",S_20!$C$15="als Dauerweide führen"),S_20!$G$8="JA"),S_20!AE$13,0)</f>
        <v>0</v>
      </c>
      <c r="BL120" s="1860">
        <f>IF(AND(OR(S_20!$C$13="als Dauerweide führen",S_20!$C$14="als Dauerweide führen",S_20!$C$15="als Dauerweide führen"),S_20!$G$8="JA"),S_20!AF$13,0)</f>
        <v>0</v>
      </c>
      <c r="BM120" s="1860">
        <f>IF(AND(OR(S_20!$C$13="als Dauerweide führen",S_20!$C$14="als Dauerweide führen",S_20!$C$15="als Dauerweide führen"),S_20!$G$8="JA"),S_20!AG$13,0)</f>
        <v>0</v>
      </c>
      <c r="BN120" s="1860">
        <f>IF(AND(OR(S_20!$C$13="als Dauerweide führen",S_20!$C$14="als Dauerweide führen",S_20!$C$15="als Dauerweide führen"),S_20!$G$8="JA"),S_20!AH$13,0)</f>
        <v>0</v>
      </c>
      <c r="BO120" s="1860">
        <f>IF(AND(OR(S_20!$C$13="als Dauerweide führen",S_20!$C$14="als Dauerweide führen",S_20!$C$15="als Dauerweide führen"),S_20!$G$8="JA"),S_20!AI$13,0)</f>
        <v>0</v>
      </c>
      <c r="BP120" s="1860">
        <f>IF(AND(OR(S_20!$C$13="als Dauerweide führen",S_20!$C$14="als Dauerweide führen",S_20!$C$15="als Dauerweide führen"),S_20!$G$8="JA"),S_20!AJ$13,0)</f>
        <v>0</v>
      </c>
      <c r="BQ120" s="1860"/>
      <c r="BR120" s="1860">
        <f>IF(AND(OR(S_20!$C$13="als Dauerweide führen",S_20!$C$14="als Dauerweide führen",S_20!$C$15="als Dauerweide führen"),S_20!$G$8="JA"),S_20!AM$13,0)</f>
        <v>0</v>
      </c>
    </row>
    <row r="121" spans="53:70">
      <c r="BA121" s="1860">
        <f>IF(AND(OR(S_21!$C$13="Nutzungsintensität u Düngung erhöhen",S_21!$C$13="Nutzungsintensität u Düngung reduzieren",S_21!$C$13="Schnittzahl reduzieren",S_21!$C$13="Dauerweidenutzung beenden",S_21!$C$14="Nutzungsintensität u Düngung erhöhen",S_21!$C$14="Nutzungsintensität u Düngung reduzieren",S_21!$C$14="Schnittzahl reduzieren",S_21!$C$14="Dauerweidenutzung beenden",S_21!$C$15="Nutzungsintensität u Düngung erhöhen",S_21!$C$15="Nutzungsintensität u Düngung reduzieren",S_21!$C$15="Schnittzahl reduzieren",S_21!$C$15="Dauerweidenutzung beenden"),S_21!$G$8="JA"),S_21!AE$13,0)</f>
        <v>0</v>
      </c>
      <c r="BB121" s="1860">
        <f>IF(AND(OR(S_21!$C$13="Nutzungsintensität u Düngung erhöhen",S_21!$C$13="Nutzungsintensität u Düngung reduzieren",S_21!$C$13="Schnittzahl reduzieren",S_21!$C$13="Dauerweidenutzung beenden",S_21!$C$14="Nutzungsintensität u Düngung erhöhen",S_21!$C$14="Nutzungsintensität u Düngung reduzieren",S_21!$C$14="Schnittzahl reduzieren",S_21!$C$14="Dauerweidenutzung beenden",S_21!$C$15="Nutzungsintensität u Düngung erhöhen",S_21!$C$15="Nutzungsintensität u Düngung reduzieren",S_21!$C$15="Schnittzahl reduzieren",S_21!$C$15="Dauerweidenutzung beenden"),S_21!$G$8="JA"),S_21!AF$13,0)</f>
        <v>0</v>
      </c>
      <c r="BC121" s="1860">
        <f>IF(AND(OR(S_21!$C$13="Nutzungsintensität u Düngung erhöhen",S_21!$C$13="Nutzungsintensität u Düngung reduzieren",S_21!$C$13="Schnittzahl reduzieren",S_21!$C$13="Dauerweidenutzung beenden",S_21!$C$14="Nutzungsintensität u Düngung erhöhen",S_21!$C$14="Nutzungsintensität u Düngung reduzieren",S_21!$C$14="Schnittzahl reduzieren",S_21!$C$14="Dauerweidenutzung beenden",S_21!$C$15="Nutzungsintensität u Düngung erhöhen",S_21!$C$15="Nutzungsintensität u Düngung reduzieren",S_21!$C$15="Schnittzahl reduzieren",S_21!$C$15="Dauerweidenutzung beenden"),S_21!$G$8="JA"),S_21!AG$13,0)</f>
        <v>0</v>
      </c>
      <c r="BD121" s="1860">
        <f>IF(AND(OR(S_21!$C$13="Nutzungsintensität u Düngung erhöhen",S_21!$C$13="Nutzungsintensität u Düngung reduzieren",S_21!$C$13="Schnittzahl reduzieren",S_21!$C$13="Dauerweidenutzung beenden",S_21!$C$14="Nutzungsintensität u Düngung erhöhen",S_21!$C$14="Nutzungsintensität u Düngung reduzieren",S_21!$C$14="Schnittzahl reduzieren",S_21!$C$14="Dauerweidenutzung beenden",S_21!$C$15="Nutzungsintensität u Düngung erhöhen",S_21!$C$15="Nutzungsintensität u Düngung reduzieren",S_21!$C$15="Schnittzahl reduzieren",S_21!$C$15="Dauerweidenutzung beenden"),S_21!$G$8="JA"),S_21!AH$13,0)</f>
        <v>0</v>
      </c>
      <c r="BE121" s="1860">
        <f>IF(AND(OR(S_21!$C$13="Nutzungsintensität u Düngung erhöhen",S_21!$C$13="Nutzungsintensität u Düngung reduzieren",S_21!$C$13="Schnittzahl reduzieren",S_21!$C$13="Dauerweidenutzung beenden",S_21!$C$14="Nutzungsintensität u Düngung erhöhen",S_21!$C$14="Nutzungsintensität u Düngung reduzieren",S_21!$C$14="Schnittzahl reduzieren",S_21!$C$14="Dauerweidenutzung beenden",S_21!$C$15="Nutzungsintensität u Düngung erhöhen",S_21!$C$15="Nutzungsintensität u Düngung reduzieren",S_21!$C$15="Schnittzahl reduzieren",S_21!$C$15="Dauerweidenutzung beenden"),S_21!$G$8="JA"),S_21!AI$13,0)</f>
        <v>0</v>
      </c>
      <c r="BF121" s="1860">
        <f>IF(AND(OR(S_21!$C$13="Nutzungsintensität u Düngung erhöhen",S_21!$C$13="Nutzungsintensität u Düngung reduzieren",S_21!$C$13="Schnittzahl reduzieren",S_21!$C$13="Dauerweidenutzung beenden",S_21!$C$14="Nutzungsintensität u Düngung erhöhen",S_21!$C$14="Nutzungsintensität u Düngung reduzieren",S_21!$C$14="Schnittzahl reduzieren",S_21!$C$14="Dauerweidenutzung beenden",S_21!$C$15="Nutzungsintensität u Düngung erhöhen",S_21!$C$15="Nutzungsintensität u Düngung reduzieren",S_21!$C$15="Schnittzahl reduzieren",S_21!$C$15="Dauerweidenutzung beenden"),S_21!$G$8="JA"),S_21!AJ$13,0)</f>
        <v>0</v>
      </c>
      <c r="BG121" s="1860"/>
      <c r="BH121" s="1860">
        <f>IF(AND(OR(S_21!$C$13="Dauerweidenutzung beenden",S_21!$C$14="Dauerweidenutzung beenden",S_21!$C$15="Dauerweidenutzung beenden"),S_21!$G$8="JA"),S_21!AL$13,0)</f>
        <v>0</v>
      </c>
      <c r="BK121" s="1860">
        <f>IF(AND(OR(S_21!$C$13="als Dauerweide führen",S_21!$C$14="als Dauerweide führen",S_21!$C$15="als Dauerweide führen"),S_21!$G$8="JA"),S_21!AE$13,0)</f>
        <v>0</v>
      </c>
      <c r="BL121" s="1860">
        <f>IF(AND(OR(S_21!$C$13="als Dauerweide führen",S_21!$C$14="als Dauerweide führen",S_21!$C$15="als Dauerweide führen"),S_21!$G$8="JA"),S_21!AF$13,0)</f>
        <v>0</v>
      </c>
      <c r="BM121" s="1860">
        <f>IF(AND(OR(S_21!$C$13="als Dauerweide führen",S_21!$C$14="als Dauerweide führen",S_21!$C$15="als Dauerweide führen"),S_21!$G$8="JA"),S_21!AG$13,0)</f>
        <v>0</v>
      </c>
      <c r="BN121" s="1860">
        <f>IF(AND(OR(S_21!$C$13="als Dauerweide führen",S_21!$C$14="als Dauerweide führen",S_21!$C$15="als Dauerweide führen"),S_21!$G$8="JA"),S_21!AH$13,0)</f>
        <v>0</v>
      </c>
      <c r="BO121" s="1860">
        <f>IF(AND(OR(S_21!$C$13="als Dauerweide führen",S_21!$C$14="als Dauerweide führen",S_21!$C$15="als Dauerweide führen"),S_21!$G$8="JA"),S_21!AI$13,0)</f>
        <v>0</v>
      </c>
      <c r="BP121" s="1860">
        <f>IF(AND(OR(S_21!$C$13="als Dauerweide führen",S_21!$C$14="als Dauerweide führen",S_21!$C$15="als Dauerweide führen"),S_21!$G$8="JA"),S_21!AJ$13,0)</f>
        <v>0</v>
      </c>
      <c r="BQ121" s="1860"/>
      <c r="BR121" s="1860">
        <f>IF(AND(OR(S_21!$C$13="als Dauerweide führen",S_21!$C$14="als Dauerweide führen",S_21!$C$15="als Dauerweide führen"),S_21!$G$8="JA"),S_21!AM$13,0)</f>
        <v>0</v>
      </c>
    </row>
    <row r="122" spans="53:70">
      <c r="BA122" s="1860">
        <f>IF(AND(OR(S_22!$C$13="Nutzungsintensität u Düngung erhöhen",S_22!$C$13="Nutzungsintensität u Düngung reduzieren",S_22!$C$13="Schnittzahl reduzieren",S_22!$C$13="Dauerweidenutzung beenden",S_22!$C$14="Nutzungsintensität u Düngung erhöhen",S_22!$C$14="Nutzungsintensität u Düngung reduzieren",S_22!$C$14="Schnittzahl reduzieren",S_22!$C$14="Dauerweidenutzung beenden",S_22!$C$15="Nutzungsintensität u Düngung erhöhen",S_22!$C$15="Nutzungsintensität u Düngung reduzieren",S_22!$C$15="Schnittzahl reduzieren",S_22!$C$15="Dauerweidenutzung beenden"),S_22!$G$8="JA"),S_22!AE$13,0)</f>
        <v>0</v>
      </c>
      <c r="BB122" s="1860">
        <f>IF(AND(OR(S_22!$C$13="Nutzungsintensität u Düngung erhöhen",S_22!$C$13="Nutzungsintensität u Düngung reduzieren",S_22!$C$13="Schnittzahl reduzieren",S_22!$C$13="Dauerweidenutzung beenden",S_22!$C$14="Nutzungsintensität u Düngung erhöhen",S_22!$C$14="Nutzungsintensität u Düngung reduzieren",S_22!$C$14="Schnittzahl reduzieren",S_22!$C$14="Dauerweidenutzung beenden",S_22!$C$15="Nutzungsintensität u Düngung erhöhen",S_22!$C$15="Nutzungsintensität u Düngung reduzieren",S_22!$C$15="Schnittzahl reduzieren",S_22!$C$15="Dauerweidenutzung beenden"),S_22!$G$8="JA"),S_22!AF$13,0)</f>
        <v>0</v>
      </c>
      <c r="BC122" s="1860">
        <f>IF(AND(OR(S_22!$C$13="Nutzungsintensität u Düngung erhöhen",S_22!$C$13="Nutzungsintensität u Düngung reduzieren",S_22!$C$13="Schnittzahl reduzieren",S_22!$C$13="Dauerweidenutzung beenden",S_22!$C$14="Nutzungsintensität u Düngung erhöhen",S_22!$C$14="Nutzungsintensität u Düngung reduzieren",S_22!$C$14="Schnittzahl reduzieren",S_22!$C$14="Dauerweidenutzung beenden",S_22!$C$15="Nutzungsintensität u Düngung erhöhen",S_22!$C$15="Nutzungsintensität u Düngung reduzieren",S_22!$C$15="Schnittzahl reduzieren",S_22!$C$15="Dauerweidenutzung beenden"),S_22!$G$8="JA"),S_22!AG$13,0)</f>
        <v>0</v>
      </c>
      <c r="BD122" s="1860">
        <f>IF(AND(OR(S_22!$C$13="Nutzungsintensität u Düngung erhöhen",S_22!$C$13="Nutzungsintensität u Düngung reduzieren",S_22!$C$13="Schnittzahl reduzieren",S_22!$C$13="Dauerweidenutzung beenden",S_22!$C$14="Nutzungsintensität u Düngung erhöhen",S_22!$C$14="Nutzungsintensität u Düngung reduzieren",S_22!$C$14="Schnittzahl reduzieren",S_22!$C$14="Dauerweidenutzung beenden",S_22!$C$15="Nutzungsintensität u Düngung erhöhen",S_22!$C$15="Nutzungsintensität u Düngung reduzieren",S_22!$C$15="Schnittzahl reduzieren",S_22!$C$15="Dauerweidenutzung beenden"),S_22!$G$8="JA"),S_22!AH$13,0)</f>
        <v>0</v>
      </c>
      <c r="BE122" s="1860">
        <f>IF(AND(OR(S_22!$C$13="Nutzungsintensität u Düngung erhöhen",S_22!$C$13="Nutzungsintensität u Düngung reduzieren",S_22!$C$13="Schnittzahl reduzieren",S_22!$C$13="Dauerweidenutzung beenden",S_22!$C$14="Nutzungsintensität u Düngung erhöhen",S_22!$C$14="Nutzungsintensität u Düngung reduzieren",S_22!$C$14="Schnittzahl reduzieren",S_22!$C$14="Dauerweidenutzung beenden",S_22!$C$15="Nutzungsintensität u Düngung erhöhen",S_22!$C$15="Nutzungsintensität u Düngung reduzieren",S_22!$C$15="Schnittzahl reduzieren",S_22!$C$15="Dauerweidenutzung beenden"),S_22!$G$8="JA"),S_22!AI$13,0)</f>
        <v>0</v>
      </c>
      <c r="BF122" s="1860">
        <f>IF(AND(OR(S_22!$C$13="Nutzungsintensität u Düngung erhöhen",S_22!$C$13="Nutzungsintensität u Düngung reduzieren",S_22!$C$13="Schnittzahl reduzieren",S_22!$C$13="Dauerweidenutzung beenden",S_22!$C$14="Nutzungsintensität u Düngung erhöhen",S_22!$C$14="Nutzungsintensität u Düngung reduzieren",S_22!$C$14="Schnittzahl reduzieren",S_22!$C$14="Dauerweidenutzung beenden",S_22!$C$15="Nutzungsintensität u Düngung erhöhen",S_22!$C$15="Nutzungsintensität u Düngung reduzieren",S_22!$C$15="Schnittzahl reduzieren",S_22!$C$15="Dauerweidenutzung beenden"),S_22!$G$8="JA"),S_22!AJ$13,0)</f>
        <v>0</v>
      </c>
      <c r="BG122" s="1860"/>
      <c r="BH122" s="1860">
        <f>IF(AND(OR(S_22!$C$13="Dauerweidenutzung beenden",S_22!$C$14="Dauerweidenutzung beenden",S_22!$C$15="Dauerweidenutzung beenden"),S_22!$G$8="JA"),S_22!AL$13,0)</f>
        <v>0</v>
      </c>
      <c r="BK122" s="1860">
        <f>IF(AND(OR(S_22!$C$13="als Dauerweide führen",S_22!$C$14="als Dauerweide führen",S_22!$C$15="als Dauerweide führen"),S_22!$G$8="JA"),S_22!AE$13,0)</f>
        <v>0</v>
      </c>
      <c r="BL122" s="1860">
        <f>IF(AND(OR(S_22!$C$13="als Dauerweide führen",S_22!$C$14="als Dauerweide führen",S_22!$C$15="als Dauerweide führen"),S_22!$G$8="JA"),S_22!AF$13,0)</f>
        <v>0</v>
      </c>
      <c r="BM122" s="1860">
        <f>IF(AND(OR(S_22!$C$13="als Dauerweide führen",S_22!$C$14="als Dauerweide führen",S_22!$C$15="als Dauerweide führen"),S_22!$G$8="JA"),S_22!AG$13,0)</f>
        <v>0</v>
      </c>
      <c r="BN122" s="1860">
        <f>IF(AND(OR(S_22!$C$13="als Dauerweide führen",S_22!$C$14="als Dauerweide führen",S_22!$C$15="als Dauerweide führen"),S_22!$G$8="JA"),S_22!AH$13,0)</f>
        <v>0</v>
      </c>
      <c r="BO122" s="1860">
        <f>IF(AND(OR(S_22!$C$13="als Dauerweide führen",S_22!$C$14="als Dauerweide führen",S_22!$C$15="als Dauerweide führen"),S_22!$G$8="JA"),S_22!AI$13,0)</f>
        <v>0</v>
      </c>
      <c r="BP122" s="1860">
        <f>IF(AND(OR(S_22!$C$13="als Dauerweide führen",S_22!$C$14="als Dauerweide führen",S_22!$C$15="als Dauerweide führen"),S_22!$G$8="JA"),S_22!AJ$13,0)</f>
        <v>0</v>
      </c>
      <c r="BQ122" s="1860"/>
      <c r="BR122" s="1860">
        <f>IF(AND(OR(S_22!$C$13="als Dauerweide führen",S_22!$C$14="als Dauerweide führen",S_22!$C$15="als Dauerweide führen"),S_22!$G$8="JA"),S_22!AM$13,0)</f>
        <v>0</v>
      </c>
    </row>
    <row r="123" spans="53:70">
      <c r="BA123" s="1860">
        <f>IF(AND(OR(S_23!$C$13="Nutzungsintensität u Düngung erhöhen",S_23!$C$13="Nutzungsintensität u Düngung reduzieren",S_23!$C$13="Schnittzahl reduzieren",S_23!$C$13="Dauerweidenutzung beenden",S_23!$C$14="Nutzungsintensität u Düngung erhöhen",S_23!$C$14="Nutzungsintensität u Düngung reduzieren",S_23!$C$14="Schnittzahl reduzieren",S_23!$C$14="Dauerweidenutzung beenden",S_23!$C$15="Nutzungsintensität u Düngung erhöhen",S_23!$C$15="Nutzungsintensität u Düngung reduzieren",S_23!$C$15="Schnittzahl reduzieren",S_23!$C$15="Dauerweidenutzung beenden"),S_23!$G$8="JA"),S_23!AE$13,0)</f>
        <v>0</v>
      </c>
      <c r="BB123" s="1860">
        <f>IF(AND(OR(S_23!$C$13="Nutzungsintensität u Düngung erhöhen",S_23!$C$13="Nutzungsintensität u Düngung reduzieren",S_23!$C$13="Schnittzahl reduzieren",S_23!$C$13="Dauerweidenutzung beenden",S_23!$C$14="Nutzungsintensität u Düngung erhöhen",S_23!$C$14="Nutzungsintensität u Düngung reduzieren",S_23!$C$14="Schnittzahl reduzieren",S_23!$C$14="Dauerweidenutzung beenden",S_23!$C$15="Nutzungsintensität u Düngung erhöhen",S_23!$C$15="Nutzungsintensität u Düngung reduzieren",S_23!$C$15="Schnittzahl reduzieren",S_23!$C$15="Dauerweidenutzung beenden"),S_23!$G$8="JA"),S_23!AF$13,0)</f>
        <v>0</v>
      </c>
      <c r="BC123" s="1860">
        <f>IF(AND(OR(S_23!$C$13="Nutzungsintensität u Düngung erhöhen",S_23!$C$13="Nutzungsintensität u Düngung reduzieren",S_23!$C$13="Schnittzahl reduzieren",S_23!$C$13="Dauerweidenutzung beenden",S_23!$C$14="Nutzungsintensität u Düngung erhöhen",S_23!$C$14="Nutzungsintensität u Düngung reduzieren",S_23!$C$14="Schnittzahl reduzieren",S_23!$C$14="Dauerweidenutzung beenden",S_23!$C$15="Nutzungsintensität u Düngung erhöhen",S_23!$C$15="Nutzungsintensität u Düngung reduzieren",S_23!$C$15="Schnittzahl reduzieren",S_23!$C$15="Dauerweidenutzung beenden"),S_23!$G$8="JA"),S_23!AG$13,0)</f>
        <v>0</v>
      </c>
      <c r="BD123" s="1860">
        <f>IF(AND(OR(S_23!$C$13="Nutzungsintensität u Düngung erhöhen",S_23!$C$13="Nutzungsintensität u Düngung reduzieren",S_23!$C$13="Schnittzahl reduzieren",S_23!$C$13="Dauerweidenutzung beenden",S_23!$C$14="Nutzungsintensität u Düngung erhöhen",S_23!$C$14="Nutzungsintensität u Düngung reduzieren",S_23!$C$14="Schnittzahl reduzieren",S_23!$C$14="Dauerweidenutzung beenden",S_23!$C$15="Nutzungsintensität u Düngung erhöhen",S_23!$C$15="Nutzungsintensität u Düngung reduzieren",S_23!$C$15="Schnittzahl reduzieren",S_23!$C$15="Dauerweidenutzung beenden"),S_23!$G$8="JA"),S_23!AH$13,0)</f>
        <v>0</v>
      </c>
      <c r="BE123" s="1860">
        <f>IF(AND(OR(S_23!$C$13="Nutzungsintensität u Düngung erhöhen",S_23!$C$13="Nutzungsintensität u Düngung reduzieren",S_23!$C$13="Schnittzahl reduzieren",S_23!$C$13="Dauerweidenutzung beenden",S_23!$C$14="Nutzungsintensität u Düngung erhöhen",S_23!$C$14="Nutzungsintensität u Düngung reduzieren",S_23!$C$14="Schnittzahl reduzieren",S_23!$C$14="Dauerweidenutzung beenden",S_23!$C$15="Nutzungsintensität u Düngung erhöhen",S_23!$C$15="Nutzungsintensität u Düngung reduzieren",S_23!$C$15="Schnittzahl reduzieren",S_23!$C$15="Dauerweidenutzung beenden"),S_23!$G$8="JA"),S_23!AI$13,0)</f>
        <v>0</v>
      </c>
      <c r="BF123" s="1860">
        <f>IF(AND(OR(S_23!$C$13="Nutzungsintensität u Düngung erhöhen",S_23!$C$13="Nutzungsintensität u Düngung reduzieren",S_23!$C$13="Schnittzahl reduzieren",S_23!$C$13="Dauerweidenutzung beenden",S_23!$C$14="Nutzungsintensität u Düngung erhöhen",S_23!$C$14="Nutzungsintensität u Düngung reduzieren",S_23!$C$14="Schnittzahl reduzieren",S_23!$C$14="Dauerweidenutzung beenden",S_23!$C$15="Nutzungsintensität u Düngung erhöhen",S_23!$C$15="Nutzungsintensität u Düngung reduzieren",S_23!$C$15="Schnittzahl reduzieren",S_23!$C$15="Dauerweidenutzung beenden"),S_23!$G$8="JA"),S_23!AJ$13,0)</f>
        <v>0</v>
      </c>
      <c r="BG123" s="1860"/>
      <c r="BH123" s="1860">
        <f>IF(AND(OR(S_23!$C$13="Dauerweidenutzung beenden",S_23!$C$14="Dauerweidenutzung beenden",S_23!$C$15="Dauerweidenutzung beenden"),S_23!$G$8="JA"),S_23!AL$13,0)</f>
        <v>0</v>
      </c>
      <c r="BK123" s="1860">
        <f>IF(AND(OR(S_23!$C$13="als Dauerweide führen",S_23!$C$14="als Dauerweide führen",S_23!$C$15="als Dauerweide führen"),S_23!$G$8="JA"),S_23!AE$13,0)</f>
        <v>0</v>
      </c>
      <c r="BL123" s="1860">
        <f>IF(AND(OR(S_23!$C$13="als Dauerweide führen",S_23!$C$14="als Dauerweide führen",S_23!$C$15="als Dauerweide führen"),S_23!$G$8="JA"),S_23!AF$13,0)</f>
        <v>0</v>
      </c>
      <c r="BM123" s="1860">
        <f>IF(AND(OR(S_23!$C$13="als Dauerweide führen",S_23!$C$14="als Dauerweide führen",S_23!$C$15="als Dauerweide führen"),S_23!$G$8="JA"),S_23!AG$13,0)</f>
        <v>0</v>
      </c>
      <c r="BN123" s="1860">
        <f>IF(AND(OR(S_23!$C$13="als Dauerweide führen",S_23!$C$14="als Dauerweide führen",S_23!$C$15="als Dauerweide führen"),S_23!$G$8="JA"),S_23!AH$13,0)</f>
        <v>0</v>
      </c>
      <c r="BO123" s="1860">
        <f>IF(AND(OR(S_23!$C$13="als Dauerweide führen",S_23!$C$14="als Dauerweide führen",S_23!$C$15="als Dauerweide führen"),S_23!$G$8="JA"),S_23!AI$13,0)</f>
        <v>0</v>
      </c>
      <c r="BP123" s="1860">
        <f>IF(AND(OR(S_23!$C$13="als Dauerweide führen",S_23!$C$14="als Dauerweide führen",S_23!$C$15="als Dauerweide führen"),S_23!$G$8="JA"),S_23!AJ$13,0)</f>
        <v>0</v>
      </c>
      <c r="BQ123" s="1860"/>
      <c r="BR123" s="1860">
        <f>IF(AND(OR(S_23!$C$13="als Dauerweide führen",S_23!$C$14="als Dauerweide führen",S_23!$C$15="als Dauerweide führen"),S_23!$G$8="JA"),S_23!AM$13,0)</f>
        <v>0</v>
      </c>
    </row>
    <row r="124" spans="53:70">
      <c r="BA124" s="1860">
        <f>IF(AND(OR(S_24!$C$13="Nutzungsintensität u Düngung erhöhen",S_24!$C$13="Nutzungsintensität u Düngung reduzieren",S_24!$C$13="Schnittzahl reduzieren",S_24!$C$13="Dauerweidenutzung beenden",S_24!$C$14="Nutzungsintensität u Düngung erhöhen",S_24!$C$14="Nutzungsintensität u Düngung reduzieren",S_24!$C$14="Schnittzahl reduzieren",S_24!$C$14="Dauerweidenutzung beenden",S_24!$C$15="Nutzungsintensität u Düngung erhöhen",S_24!$C$15="Nutzungsintensität u Düngung reduzieren",S_24!$C$15="Schnittzahl reduzieren",S_24!$C$15="Dauerweidenutzung beenden"),S_24!$G$8="JA"),S_24!AE$13,0)</f>
        <v>0</v>
      </c>
      <c r="BB124" s="1860">
        <f>IF(AND(OR(S_24!$C$13="Nutzungsintensität u Düngung erhöhen",S_24!$C$13="Nutzungsintensität u Düngung reduzieren",S_24!$C$13="Schnittzahl reduzieren",S_24!$C$13="Dauerweidenutzung beenden",S_24!$C$14="Nutzungsintensität u Düngung erhöhen",S_24!$C$14="Nutzungsintensität u Düngung reduzieren",S_24!$C$14="Schnittzahl reduzieren",S_24!$C$14="Dauerweidenutzung beenden",S_24!$C$15="Nutzungsintensität u Düngung erhöhen",S_24!$C$15="Nutzungsintensität u Düngung reduzieren",S_24!$C$15="Schnittzahl reduzieren",S_24!$C$15="Dauerweidenutzung beenden"),S_24!$G$8="JA"),S_24!AF$13,0)</f>
        <v>0</v>
      </c>
      <c r="BC124" s="1860">
        <f>IF(AND(OR(S_24!$C$13="Nutzungsintensität u Düngung erhöhen",S_24!$C$13="Nutzungsintensität u Düngung reduzieren",S_24!$C$13="Schnittzahl reduzieren",S_24!$C$13="Dauerweidenutzung beenden",S_24!$C$14="Nutzungsintensität u Düngung erhöhen",S_24!$C$14="Nutzungsintensität u Düngung reduzieren",S_24!$C$14="Schnittzahl reduzieren",S_24!$C$14="Dauerweidenutzung beenden",S_24!$C$15="Nutzungsintensität u Düngung erhöhen",S_24!$C$15="Nutzungsintensität u Düngung reduzieren",S_24!$C$15="Schnittzahl reduzieren",S_24!$C$15="Dauerweidenutzung beenden"),S_24!$G$8="JA"),S_24!AG$13,0)</f>
        <v>0</v>
      </c>
      <c r="BD124" s="1860">
        <f>IF(AND(OR(S_24!$C$13="Nutzungsintensität u Düngung erhöhen",S_24!$C$13="Nutzungsintensität u Düngung reduzieren",S_24!$C$13="Schnittzahl reduzieren",S_24!$C$13="Dauerweidenutzung beenden",S_24!$C$14="Nutzungsintensität u Düngung erhöhen",S_24!$C$14="Nutzungsintensität u Düngung reduzieren",S_24!$C$14="Schnittzahl reduzieren",S_24!$C$14="Dauerweidenutzung beenden",S_24!$C$15="Nutzungsintensität u Düngung erhöhen",S_24!$C$15="Nutzungsintensität u Düngung reduzieren",S_24!$C$15="Schnittzahl reduzieren",S_24!$C$15="Dauerweidenutzung beenden"),S_24!$G$8="JA"),S_24!AH$13,0)</f>
        <v>0</v>
      </c>
      <c r="BE124" s="1860">
        <f>IF(AND(OR(S_24!$C$13="Nutzungsintensität u Düngung erhöhen",S_24!$C$13="Nutzungsintensität u Düngung reduzieren",S_24!$C$13="Schnittzahl reduzieren",S_24!$C$13="Dauerweidenutzung beenden",S_24!$C$14="Nutzungsintensität u Düngung erhöhen",S_24!$C$14="Nutzungsintensität u Düngung reduzieren",S_24!$C$14="Schnittzahl reduzieren",S_24!$C$14="Dauerweidenutzung beenden",S_24!$C$15="Nutzungsintensität u Düngung erhöhen",S_24!$C$15="Nutzungsintensität u Düngung reduzieren",S_24!$C$15="Schnittzahl reduzieren",S_24!$C$15="Dauerweidenutzung beenden"),S_24!$G$8="JA"),S_24!AI$13,0)</f>
        <v>0</v>
      </c>
      <c r="BF124" s="1860">
        <f>IF(AND(OR(S_24!$C$13="Nutzungsintensität u Düngung erhöhen",S_24!$C$13="Nutzungsintensität u Düngung reduzieren",S_24!$C$13="Schnittzahl reduzieren",S_24!$C$13="Dauerweidenutzung beenden",S_24!$C$14="Nutzungsintensität u Düngung erhöhen",S_24!$C$14="Nutzungsintensität u Düngung reduzieren",S_24!$C$14="Schnittzahl reduzieren",S_24!$C$14="Dauerweidenutzung beenden",S_24!$C$15="Nutzungsintensität u Düngung erhöhen",S_24!$C$15="Nutzungsintensität u Düngung reduzieren",S_24!$C$15="Schnittzahl reduzieren",S_24!$C$15="Dauerweidenutzung beenden"),S_24!$G$8="JA"),S_24!AJ$13,0)</f>
        <v>0</v>
      </c>
      <c r="BG124" s="1860"/>
      <c r="BH124" s="1860">
        <f>IF(AND(OR(S_24!$C$13="Dauerweidenutzung beenden",S_24!$C$14="Dauerweidenutzung beenden",S_24!$C$15="Dauerweidenutzung beenden"),S_24!$G$8="JA"),S_24!AL$13,0)</f>
        <v>0</v>
      </c>
      <c r="BK124" s="1860">
        <f>IF(AND(OR(S_24!$C$13="als Dauerweide führen",S_24!$C$14="als Dauerweide führen",S_24!$C$15="als Dauerweide führen"),S_24!$G$8="JA"),S_24!AE$13,0)</f>
        <v>0</v>
      </c>
      <c r="BL124" s="1860">
        <f>IF(AND(OR(S_24!$C$13="als Dauerweide führen",S_24!$C$14="als Dauerweide führen",S_24!$C$15="als Dauerweide führen"),S_24!$G$8="JA"),S_24!AF$13,0)</f>
        <v>0</v>
      </c>
      <c r="BM124" s="1860">
        <f>IF(AND(OR(S_24!$C$13="als Dauerweide führen",S_24!$C$14="als Dauerweide führen",S_24!$C$15="als Dauerweide führen"),S_24!$G$8="JA"),S_24!AG$13,0)</f>
        <v>0</v>
      </c>
      <c r="BN124" s="1860">
        <f>IF(AND(OR(S_24!$C$13="als Dauerweide führen",S_24!$C$14="als Dauerweide führen",S_24!$C$15="als Dauerweide führen"),S_24!$G$8="JA"),S_24!AH$13,0)</f>
        <v>0</v>
      </c>
      <c r="BO124" s="1860">
        <f>IF(AND(OR(S_24!$C$13="als Dauerweide führen",S_24!$C$14="als Dauerweide führen",S_24!$C$15="als Dauerweide führen"),S_24!$G$8="JA"),S_24!AI$13,0)</f>
        <v>0</v>
      </c>
      <c r="BP124" s="1860">
        <f>IF(AND(OR(S_24!$C$13="als Dauerweide führen",S_24!$C$14="als Dauerweide führen",S_24!$C$15="als Dauerweide führen"),S_24!$G$8="JA"),S_24!AJ$13,0)</f>
        <v>0</v>
      </c>
      <c r="BQ124" s="1860"/>
      <c r="BR124" s="1860">
        <f>IF(AND(OR(S_24!$C$13="als Dauerweide führen",S_24!$C$14="als Dauerweide führen",S_24!$C$15="als Dauerweide führen"),S_24!$G$8="JA"),S_24!AM$13,0)</f>
        <v>0</v>
      </c>
    </row>
    <row r="125" spans="53:70">
      <c r="BA125" s="1860">
        <f>IF(AND(OR(S_25!$C$13="Nutzungsintensität u Düngung erhöhen",S_25!$C$13="Nutzungsintensität u Düngung reduzieren",S_25!$C$13="Schnittzahl reduzieren",S_25!$C$13="Dauerweidenutzung beenden",S_25!$C$14="Nutzungsintensität u Düngung erhöhen",S_25!$C$14="Nutzungsintensität u Düngung reduzieren",S_25!$C$14="Schnittzahl reduzieren",S_25!$C$14="Dauerweidenutzung beenden",S_25!$C$15="Nutzungsintensität u Düngung erhöhen",S_25!$C$15="Nutzungsintensität u Düngung reduzieren",S_25!$C$15="Schnittzahl reduzieren",S_25!$C$15="Dauerweidenutzung beenden"),S_25!$G$8="JA"),S_25!AE$13,0)</f>
        <v>0</v>
      </c>
      <c r="BB125" s="1860">
        <f>IF(AND(OR(S_25!$C$13="Nutzungsintensität u Düngung erhöhen",S_25!$C$13="Nutzungsintensität u Düngung reduzieren",S_25!$C$13="Schnittzahl reduzieren",S_25!$C$13="Dauerweidenutzung beenden",S_25!$C$14="Nutzungsintensität u Düngung erhöhen",S_25!$C$14="Nutzungsintensität u Düngung reduzieren",S_25!$C$14="Schnittzahl reduzieren",S_25!$C$14="Dauerweidenutzung beenden",S_25!$C$15="Nutzungsintensität u Düngung erhöhen",S_25!$C$15="Nutzungsintensität u Düngung reduzieren",S_25!$C$15="Schnittzahl reduzieren",S_25!$C$15="Dauerweidenutzung beenden"),S_25!$G$8="JA"),S_25!AF$13,0)</f>
        <v>0</v>
      </c>
      <c r="BC125" s="1860">
        <f>IF(AND(OR(S_25!$C$13="Nutzungsintensität u Düngung erhöhen",S_25!$C$13="Nutzungsintensität u Düngung reduzieren",S_25!$C$13="Schnittzahl reduzieren",S_25!$C$13="Dauerweidenutzung beenden",S_25!$C$14="Nutzungsintensität u Düngung erhöhen",S_25!$C$14="Nutzungsintensität u Düngung reduzieren",S_25!$C$14="Schnittzahl reduzieren",S_25!$C$14="Dauerweidenutzung beenden",S_25!$C$15="Nutzungsintensität u Düngung erhöhen",S_25!$C$15="Nutzungsintensität u Düngung reduzieren",S_25!$C$15="Schnittzahl reduzieren",S_25!$C$15="Dauerweidenutzung beenden"),S_25!$G$8="JA"),S_25!AG$13,0)</f>
        <v>0</v>
      </c>
      <c r="BD125" s="1860">
        <f>IF(AND(OR(S_25!$C$13="Nutzungsintensität u Düngung erhöhen",S_25!$C$13="Nutzungsintensität u Düngung reduzieren",S_25!$C$13="Schnittzahl reduzieren",S_25!$C$13="Dauerweidenutzung beenden",S_25!$C$14="Nutzungsintensität u Düngung erhöhen",S_25!$C$14="Nutzungsintensität u Düngung reduzieren",S_25!$C$14="Schnittzahl reduzieren",S_25!$C$14="Dauerweidenutzung beenden",S_25!$C$15="Nutzungsintensität u Düngung erhöhen",S_25!$C$15="Nutzungsintensität u Düngung reduzieren",S_25!$C$15="Schnittzahl reduzieren",S_25!$C$15="Dauerweidenutzung beenden"),S_25!$G$8="JA"),S_25!AH$13,0)</f>
        <v>0</v>
      </c>
      <c r="BE125" s="1860">
        <f>IF(AND(OR(S_25!$C$13="Nutzungsintensität u Düngung erhöhen",S_25!$C$13="Nutzungsintensität u Düngung reduzieren",S_25!$C$13="Schnittzahl reduzieren",S_25!$C$13="Dauerweidenutzung beenden",S_25!$C$14="Nutzungsintensität u Düngung erhöhen",S_25!$C$14="Nutzungsintensität u Düngung reduzieren",S_25!$C$14="Schnittzahl reduzieren",S_25!$C$14="Dauerweidenutzung beenden",S_25!$C$15="Nutzungsintensität u Düngung erhöhen",S_25!$C$15="Nutzungsintensität u Düngung reduzieren",S_25!$C$15="Schnittzahl reduzieren",S_25!$C$15="Dauerweidenutzung beenden"),S_25!$G$8="JA"),S_25!AI$13,0)</f>
        <v>0</v>
      </c>
      <c r="BF125" s="1860">
        <f>IF(AND(OR(S_25!$C$13="Nutzungsintensität u Düngung erhöhen",S_25!$C$13="Nutzungsintensität u Düngung reduzieren",S_25!$C$13="Schnittzahl reduzieren",S_25!$C$13="Dauerweidenutzung beenden",S_25!$C$14="Nutzungsintensität u Düngung erhöhen",S_25!$C$14="Nutzungsintensität u Düngung reduzieren",S_25!$C$14="Schnittzahl reduzieren",S_25!$C$14="Dauerweidenutzung beenden",S_25!$C$15="Nutzungsintensität u Düngung erhöhen",S_25!$C$15="Nutzungsintensität u Düngung reduzieren",S_25!$C$15="Schnittzahl reduzieren",S_25!$C$15="Dauerweidenutzung beenden"),S_25!$G$8="JA"),S_25!AJ$13,0)</f>
        <v>0</v>
      </c>
      <c r="BG125" s="1860"/>
      <c r="BH125" s="1860">
        <f>IF(AND(OR(S_25!$C$13="Dauerweidenutzung beenden",S_25!$C$14="Dauerweidenutzung beenden",S_25!$C$15="Dauerweidenutzung beenden"),S_25!$G$8="JA"),S_25!AL$13,0)</f>
        <v>0</v>
      </c>
      <c r="BK125" s="1860">
        <f>IF(AND(OR(S_25!$C$13="als Dauerweide führen",S_25!$C$14="als Dauerweide führen",S_25!$C$15="als Dauerweide führen"),S_25!$G$8="JA"),S_25!AE$13,0)</f>
        <v>0</v>
      </c>
      <c r="BL125" s="1860">
        <f>IF(AND(OR(S_25!$C$13="als Dauerweide führen",S_25!$C$14="als Dauerweide führen",S_25!$C$15="als Dauerweide führen"),S_25!$G$8="JA"),S_25!AF$13,0)</f>
        <v>0</v>
      </c>
      <c r="BM125" s="1860">
        <f>IF(AND(OR(S_25!$C$13="als Dauerweide führen",S_25!$C$14="als Dauerweide führen",S_25!$C$15="als Dauerweide führen"),S_25!$G$8="JA"),S_25!AG$13,0)</f>
        <v>0</v>
      </c>
      <c r="BN125" s="1860">
        <f>IF(AND(OR(S_25!$C$13="als Dauerweide führen",S_25!$C$14="als Dauerweide führen",S_25!$C$15="als Dauerweide führen"),S_25!$G$8="JA"),S_25!AH$13,0)</f>
        <v>0</v>
      </c>
      <c r="BO125" s="1860">
        <f>IF(AND(OR(S_25!$C$13="als Dauerweide führen",S_25!$C$14="als Dauerweide führen",S_25!$C$15="als Dauerweide führen"),S_25!$G$8="JA"),S_25!AI$13,0)</f>
        <v>0</v>
      </c>
      <c r="BP125" s="1860">
        <f>IF(AND(OR(S_25!$C$13="als Dauerweide führen",S_25!$C$14="als Dauerweide führen",S_25!$C$15="als Dauerweide führen"),S_25!$G$8="JA"),S_25!AJ$13,0)</f>
        <v>0</v>
      </c>
      <c r="BQ125" s="1860"/>
      <c r="BR125" s="1860">
        <f>IF(AND(OR(S_25!$C$13="als Dauerweide führen",S_25!$C$14="als Dauerweide führen",S_25!$C$15="als Dauerweide führen"),S_25!$G$8="JA"),S_25!AM$13,0)</f>
        <v>0</v>
      </c>
    </row>
    <row r="126" spans="53:70">
      <c r="BA126" s="1860">
        <f>IF(AND(OR(S_26!$C$13="Nutzungsintensität u Düngung erhöhen",S_26!$C$13="Nutzungsintensität u Düngung reduzieren",S_26!$C$13="Schnittzahl reduzieren",S_26!$C$13="Dauerweidenutzung beenden",S_26!$C$14="Nutzungsintensität u Düngung erhöhen",S_26!$C$14="Nutzungsintensität u Düngung reduzieren",S_26!$C$14="Schnittzahl reduzieren",S_26!$C$14="Dauerweidenutzung beenden",S_26!$C$15="Nutzungsintensität u Düngung erhöhen",S_26!$C$15="Nutzungsintensität u Düngung reduzieren",S_26!$C$15="Schnittzahl reduzieren",S_26!$C$15="Dauerweidenutzung beenden"),S_26!$G$8="JA"),S_26!AE$13,0)</f>
        <v>0</v>
      </c>
      <c r="BB126" s="1860">
        <f>IF(AND(OR(S_26!$C$13="Nutzungsintensität u Düngung erhöhen",S_26!$C$13="Nutzungsintensität u Düngung reduzieren",S_26!$C$13="Schnittzahl reduzieren",S_26!$C$13="Dauerweidenutzung beenden",S_26!$C$14="Nutzungsintensität u Düngung erhöhen",S_26!$C$14="Nutzungsintensität u Düngung reduzieren",S_26!$C$14="Schnittzahl reduzieren",S_26!$C$14="Dauerweidenutzung beenden",S_26!$C$15="Nutzungsintensität u Düngung erhöhen",S_26!$C$15="Nutzungsintensität u Düngung reduzieren",S_26!$C$15="Schnittzahl reduzieren",S_26!$C$15="Dauerweidenutzung beenden"),S_26!$G$8="JA"),S_26!AF$13,0)</f>
        <v>0</v>
      </c>
      <c r="BC126" s="1860">
        <f>IF(AND(OR(S_26!$C$13="Nutzungsintensität u Düngung erhöhen",S_26!$C$13="Nutzungsintensität u Düngung reduzieren",S_26!$C$13="Schnittzahl reduzieren",S_26!$C$13="Dauerweidenutzung beenden",S_26!$C$14="Nutzungsintensität u Düngung erhöhen",S_26!$C$14="Nutzungsintensität u Düngung reduzieren",S_26!$C$14="Schnittzahl reduzieren",S_26!$C$14="Dauerweidenutzung beenden",S_26!$C$15="Nutzungsintensität u Düngung erhöhen",S_26!$C$15="Nutzungsintensität u Düngung reduzieren",S_26!$C$15="Schnittzahl reduzieren",S_26!$C$15="Dauerweidenutzung beenden"),S_26!$G$8="JA"),S_26!AG$13,0)</f>
        <v>0</v>
      </c>
      <c r="BD126" s="1860">
        <f>IF(AND(OR(S_26!$C$13="Nutzungsintensität u Düngung erhöhen",S_26!$C$13="Nutzungsintensität u Düngung reduzieren",S_26!$C$13="Schnittzahl reduzieren",S_26!$C$13="Dauerweidenutzung beenden",S_26!$C$14="Nutzungsintensität u Düngung erhöhen",S_26!$C$14="Nutzungsintensität u Düngung reduzieren",S_26!$C$14="Schnittzahl reduzieren",S_26!$C$14="Dauerweidenutzung beenden",S_26!$C$15="Nutzungsintensität u Düngung erhöhen",S_26!$C$15="Nutzungsintensität u Düngung reduzieren",S_26!$C$15="Schnittzahl reduzieren",S_26!$C$15="Dauerweidenutzung beenden"),S_26!$G$8="JA"),S_26!AH$13,0)</f>
        <v>0</v>
      </c>
      <c r="BE126" s="1860">
        <f>IF(AND(OR(S_26!$C$13="Nutzungsintensität u Düngung erhöhen",S_26!$C$13="Nutzungsintensität u Düngung reduzieren",S_26!$C$13="Schnittzahl reduzieren",S_26!$C$13="Dauerweidenutzung beenden",S_26!$C$14="Nutzungsintensität u Düngung erhöhen",S_26!$C$14="Nutzungsintensität u Düngung reduzieren",S_26!$C$14="Schnittzahl reduzieren",S_26!$C$14="Dauerweidenutzung beenden",S_26!$C$15="Nutzungsintensität u Düngung erhöhen",S_26!$C$15="Nutzungsintensität u Düngung reduzieren",S_26!$C$15="Schnittzahl reduzieren",S_26!$C$15="Dauerweidenutzung beenden"),S_26!$G$8="JA"),S_26!AI$13,0)</f>
        <v>0</v>
      </c>
      <c r="BF126" s="1860">
        <f>IF(AND(OR(S_26!$C$13="Nutzungsintensität u Düngung erhöhen",S_26!$C$13="Nutzungsintensität u Düngung reduzieren",S_26!$C$13="Schnittzahl reduzieren",S_26!$C$13="Dauerweidenutzung beenden",S_26!$C$14="Nutzungsintensität u Düngung erhöhen",S_26!$C$14="Nutzungsintensität u Düngung reduzieren",S_26!$C$14="Schnittzahl reduzieren",S_26!$C$14="Dauerweidenutzung beenden",S_26!$C$15="Nutzungsintensität u Düngung erhöhen",S_26!$C$15="Nutzungsintensität u Düngung reduzieren",S_26!$C$15="Schnittzahl reduzieren",S_26!$C$15="Dauerweidenutzung beenden"),S_26!$G$8="JA"),S_26!AJ$13,0)</f>
        <v>0</v>
      </c>
      <c r="BG126" s="1860"/>
      <c r="BH126" s="1860">
        <f>IF(AND(OR(S_26!$C$13="Dauerweidenutzung beenden",S_26!$C$14="Dauerweidenutzung beenden",S_26!$C$15="Dauerweidenutzung beenden"),S_26!$G$8="JA"),S_26!AL$13,0)</f>
        <v>0</v>
      </c>
      <c r="BK126" s="1860">
        <f>IF(AND(OR(S_26!$C$13="als Dauerweide führen",S_26!$C$14="als Dauerweide führen",S_26!$C$15="als Dauerweide führen"),S_26!$G$8="JA"),S_26!AE$13,0)</f>
        <v>0</v>
      </c>
      <c r="BL126" s="1860">
        <f>IF(AND(OR(S_26!$C$13="als Dauerweide führen",S_26!$C$14="als Dauerweide führen",S_26!$C$15="als Dauerweide führen"),S_26!$G$8="JA"),S_26!AF$13,0)</f>
        <v>0</v>
      </c>
      <c r="BM126" s="1860">
        <f>IF(AND(OR(S_26!$C$13="als Dauerweide führen",S_26!$C$14="als Dauerweide führen",S_26!$C$15="als Dauerweide führen"),S_26!$G$8="JA"),S_26!AG$13,0)</f>
        <v>0</v>
      </c>
      <c r="BN126" s="1860">
        <f>IF(AND(OR(S_26!$C$13="als Dauerweide führen",S_26!$C$14="als Dauerweide führen",S_26!$C$15="als Dauerweide führen"),S_26!$G$8="JA"),S_26!AH$13,0)</f>
        <v>0</v>
      </c>
      <c r="BO126" s="1860">
        <f>IF(AND(OR(S_26!$C$13="als Dauerweide führen",S_26!$C$14="als Dauerweide führen",S_26!$C$15="als Dauerweide führen"),S_26!$G$8="JA"),S_26!AI$13,0)</f>
        <v>0</v>
      </c>
      <c r="BP126" s="1860">
        <f>IF(AND(OR(S_26!$C$13="als Dauerweide führen",S_26!$C$14="als Dauerweide führen",S_26!$C$15="als Dauerweide führen"),S_26!$G$8="JA"),S_26!AJ$13,0)</f>
        <v>0</v>
      </c>
      <c r="BQ126" s="1860"/>
      <c r="BR126" s="1860">
        <f>IF(AND(OR(S_26!$C$13="als Dauerweide führen",S_26!$C$14="als Dauerweide führen",S_26!$C$15="als Dauerweide führen"),S_26!$G$8="JA"),S_26!AM$13,0)</f>
        <v>0</v>
      </c>
    </row>
    <row r="127" spans="53:70">
      <c r="BA127" s="1860">
        <f>IF(AND(OR(S_27!$C$13="Nutzungsintensität u Düngung erhöhen",S_27!$C$13="Nutzungsintensität u Düngung reduzieren",S_27!$C$13="Schnittzahl reduzieren",S_27!$C$13="Dauerweidenutzung beenden",S_27!$C$14="Nutzungsintensität u Düngung erhöhen",S_27!$C$14="Nutzungsintensität u Düngung reduzieren",S_27!$C$14="Schnittzahl reduzieren",S_27!$C$14="Dauerweidenutzung beenden",S_27!$C$15="Nutzungsintensität u Düngung erhöhen",S_27!$C$15="Nutzungsintensität u Düngung reduzieren",S_27!$C$15="Schnittzahl reduzieren",S_27!$C$15="Dauerweidenutzung beenden"),S_27!$G$8="JA"),S_27!AE$13,0)</f>
        <v>0</v>
      </c>
      <c r="BB127" s="1860">
        <f>IF(AND(OR(S_27!$C$13="Nutzungsintensität u Düngung erhöhen",S_27!$C$13="Nutzungsintensität u Düngung reduzieren",S_27!$C$13="Schnittzahl reduzieren",S_27!$C$13="Dauerweidenutzung beenden",S_27!$C$14="Nutzungsintensität u Düngung erhöhen",S_27!$C$14="Nutzungsintensität u Düngung reduzieren",S_27!$C$14="Schnittzahl reduzieren",S_27!$C$14="Dauerweidenutzung beenden",S_27!$C$15="Nutzungsintensität u Düngung erhöhen",S_27!$C$15="Nutzungsintensität u Düngung reduzieren",S_27!$C$15="Schnittzahl reduzieren",S_27!$C$15="Dauerweidenutzung beenden"),S_27!$G$8="JA"),S_27!AF$13,0)</f>
        <v>0</v>
      </c>
      <c r="BC127" s="1860">
        <f>IF(AND(OR(S_27!$C$13="Nutzungsintensität u Düngung erhöhen",S_27!$C$13="Nutzungsintensität u Düngung reduzieren",S_27!$C$13="Schnittzahl reduzieren",S_27!$C$13="Dauerweidenutzung beenden",S_27!$C$14="Nutzungsintensität u Düngung erhöhen",S_27!$C$14="Nutzungsintensität u Düngung reduzieren",S_27!$C$14="Schnittzahl reduzieren",S_27!$C$14="Dauerweidenutzung beenden",S_27!$C$15="Nutzungsintensität u Düngung erhöhen",S_27!$C$15="Nutzungsintensität u Düngung reduzieren",S_27!$C$15="Schnittzahl reduzieren",S_27!$C$15="Dauerweidenutzung beenden"),S_27!$G$8="JA"),S_27!AG$13,0)</f>
        <v>0</v>
      </c>
      <c r="BD127" s="1860">
        <f>IF(AND(OR(S_27!$C$13="Nutzungsintensität u Düngung erhöhen",S_27!$C$13="Nutzungsintensität u Düngung reduzieren",S_27!$C$13="Schnittzahl reduzieren",S_27!$C$13="Dauerweidenutzung beenden",S_27!$C$14="Nutzungsintensität u Düngung erhöhen",S_27!$C$14="Nutzungsintensität u Düngung reduzieren",S_27!$C$14="Schnittzahl reduzieren",S_27!$C$14="Dauerweidenutzung beenden",S_27!$C$15="Nutzungsintensität u Düngung erhöhen",S_27!$C$15="Nutzungsintensität u Düngung reduzieren",S_27!$C$15="Schnittzahl reduzieren",S_27!$C$15="Dauerweidenutzung beenden"),S_27!$G$8="JA"),S_27!AH$13,0)</f>
        <v>0</v>
      </c>
      <c r="BE127" s="1860">
        <f>IF(AND(OR(S_27!$C$13="Nutzungsintensität u Düngung erhöhen",S_27!$C$13="Nutzungsintensität u Düngung reduzieren",S_27!$C$13="Schnittzahl reduzieren",S_27!$C$13="Dauerweidenutzung beenden",S_27!$C$14="Nutzungsintensität u Düngung erhöhen",S_27!$C$14="Nutzungsintensität u Düngung reduzieren",S_27!$C$14="Schnittzahl reduzieren",S_27!$C$14="Dauerweidenutzung beenden",S_27!$C$15="Nutzungsintensität u Düngung erhöhen",S_27!$C$15="Nutzungsintensität u Düngung reduzieren",S_27!$C$15="Schnittzahl reduzieren",S_27!$C$15="Dauerweidenutzung beenden"),S_27!$G$8="JA"),S_27!AI$13,0)</f>
        <v>0</v>
      </c>
      <c r="BF127" s="1860">
        <f>IF(AND(OR(S_27!$C$13="Nutzungsintensität u Düngung erhöhen",S_27!$C$13="Nutzungsintensität u Düngung reduzieren",S_27!$C$13="Schnittzahl reduzieren",S_27!$C$13="Dauerweidenutzung beenden",S_27!$C$14="Nutzungsintensität u Düngung erhöhen",S_27!$C$14="Nutzungsintensität u Düngung reduzieren",S_27!$C$14="Schnittzahl reduzieren",S_27!$C$14="Dauerweidenutzung beenden",S_27!$C$15="Nutzungsintensität u Düngung erhöhen",S_27!$C$15="Nutzungsintensität u Düngung reduzieren",S_27!$C$15="Schnittzahl reduzieren",S_27!$C$15="Dauerweidenutzung beenden"),S_27!$G$8="JA"),S_27!AJ$13,0)</f>
        <v>0</v>
      </c>
      <c r="BG127" s="1860"/>
      <c r="BH127" s="1860">
        <f>IF(AND(OR(S_27!$C$13="Dauerweidenutzung beenden",S_27!$C$14="Dauerweidenutzung beenden",S_27!$C$15="Dauerweidenutzung beenden"),S_27!$G$8="JA"),S_27!AL$13,0)</f>
        <v>0</v>
      </c>
      <c r="BK127" s="1860">
        <f>IF(AND(OR(S_27!$C$13="als Dauerweide führen",S_27!$C$14="als Dauerweide führen",S_27!$C$15="als Dauerweide führen"),S_27!$G$8="JA"),S_27!AE$13,0)</f>
        <v>0</v>
      </c>
      <c r="BL127" s="1860">
        <f>IF(AND(OR(S_27!$C$13="als Dauerweide führen",S_27!$C$14="als Dauerweide führen",S_27!$C$15="als Dauerweide führen"),S_27!$G$8="JA"),S_27!AF$13,0)</f>
        <v>0</v>
      </c>
      <c r="BM127" s="1860">
        <f>IF(AND(OR(S_27!$C$13="als Dauerweide führen",S_27!$C$14="als Dauerweide führen",S_27!$C$15="als Dauerweide führen"),S_27!$G$8="JA"),S_27!AG$13,0)</f>
        <v>0</v>
      </c>
      <c r="BN127" s="1860">
        <f>IF(AND(OR(S_27!$C$13="als Dauerweide führen",S_27!$C$14="als Dauerweide führen",S_27!$C$15="als Dauerweide führen"),S_27!$G$8="JA"),S_27!AH$13,0)</f>
        <v>0</v>
      </c>
      <c r="BO127" s="1860">
        <f>IF(AND(OR(S_27!$C$13="als Dauerweide führen",S_27!$C$14="als Dauerweide führen",S_27!$C$15="als Dauerweide führen"),S_27!$G$8="JA"),S_27!AI$13,0)</f>
        <v>0</v>
      </c>
      <c r="BP127" s="1860">
        <f>IF(AND(OR(S_27!$C$13="als Dauerweide führen",S_27!$C$14="als Dauerweide führen",S_27!$C$15="als Dauerweide führen"),S_27!$G$8="JA"),S_27!AJ$13,0)</f>
        <v>0</v>
      </c>
      <c r="BQ127" s="1860"/>
      <c r="BR127" s="1860">
        <f>IF(AND(OR(S_27!$C$13="als Dauerweide führen",S_27!$C$14="als Dauerweide führen",S_27!$C$15="als Dauerweide führen"),S_27!$G$8="JA"),S_27!AM$13,0)</f>
        <v>0</v>
      </c>
    </row>
    <row r="128" spans="53:70">
      <c r="BA128" s="1860">
        <f>IF(AND(OR(S_28!$C$13="Nutzungsintensität u Düngung erhöhen",S_28!$C$13="Nutzungsintensität u Düngung reduzieren",S_28!$C$13="Schnittzahl reduzieren",S_28!$C$13="Dauerweidenutzung beenden",S_28!$C$14="Nutzungsintensität u Düngung erhöhen",S_28!$C$14="Nutzungsintensität u Düngung reduzieren",S_28!$C$14="Schnittzahl reduzieren",S_28!$C$14="Dauerweidenutzung beenden",S_28!$C$15="Nutzungsintensität u Düngung erhöhen",S_28!$C$15="Nutzungsintensität u Düngung reduzieren",S_28!$C$15="Schnittzahl reduzieren",S_28!$C$15="Dauerweidenutzung beenden"),S_28!$G$8="JA"),S_28!AE$13,0)</f>
        <v>0</v>
      </c>
      <c r="BB128" s="1860">
        <f>IF(AND(OR(S_28!$C$13="Nutzungsintensität u Düngung erhöhen",S_28!$C$13="Nutzungsintensität u Düngung reduzieren",S_28!$C$13="Schnittzahl reduzieren",S_28!$C$13="Dauerweidenutzung beenden",S_28!$C$14="Nutzungsintensität u Düngung erhöhen",S_28!$C$14="Nutzungsintensität u Düngung reduzieren",S_28!$C$14="Schnittzahl reduzieren",S_28!$C$14="Dauerweidenutzung beenden",S_28!$C$15="Nutzungsintensität u Düngung erhöhen",S_28!$C$15="Nutzungsintensität u Düngung reduzieren",S_28!$C$15="Schnittzahl reduzieren",S_28!$C$15="Dauerweidenutzung beenden"),S_28!$G$8="JA"),S_28!AF$13,0)</f>
        <v>0</v>
      </c>
      <c r="BC128" s="1860">
        <f>IF(AND(OR(S_28!$C$13="Nutzungsintensität u Düngung erhöhen",S_28!$C$13="Nutzungsintensität u Düngung reduzieren",S_28!$C$13="Schnittzahl reduzieren",S_28!$C$13="Dauerweidenutzung beenden",S_28!$C$14="Nutzungsintensität u Düngung erhöhen",S_28!$C$14="Nutzungsintensität u Düngung reduzieren",S_28!$C$14="Schnittzahl reduzieren",S_28!$C$14="Dauerweidenutzung beenden",S_28!$C$15="Nutzungsintensität u Düngung erhöhen",S_28!$C$15="Nutzungsintensität u Düngung reduzieren",S_28!$C$15="Schnittzahl reduzieren",S_28!$C$15="Dauerweidenutzung beenden"),S_28!$G$8="JA"),S_28!AG$13,0)</f>
        <v>0</v>
      </c>
      <c r="BD128" s="1860">
        <f>IF(AND(OR(S_28!$C$13="Nutzungsintensität u Düngung erhöhen",S_28!$C$13="Nutzungsintensität u Düngung reduzieren",S_28!$C$13="Schnittzahl reduzieren",S_28!$C$13="Dauerweidenutzung beenden",S_28!$C$14="Nutzungsintensität u Düngung erhöhen",S_28!$C$14="Nutzungsintensität u Düngung reduzieren",S_28!$C$14="Schnittzahl reduzieren",S_28!$C$14="Dauerweidenutzung beenden",S_28!$C$15="Nutzungsintensität u Düngung erhöhen",S_28!$C$15="Nutzungsintensität u Düngung reduzieren",S_28!$C$15="Schnittzahl reduzieren",S_28!$C$15="Dauerweidenutzung beenden"),S_28!$G$8="JA"),S_28!AH$13,0)</f>
        <v>0</v>
      </c>
      <c r="BE128" s="1860">
        <f>IF(AND(OR(S_28!$C$13="Nutzungsintensität u Düngung erhöhen",S_28!$C$13="Nutzungsintensität u Düngung reduzieren",S_28!$C$13="Schnittzahl reduzieren",S_28!$C$13="Dauerweidenutzung beenden",S_28!$C$14="Nutzungsintensität u Düngung erhöhen",S_28!$C$14="Nutzungsintensität u Düngung reduzieren",S_28!$C$14="Schnittzahl reduzieren",S_28!$C$14="Dauerweidenutzung beenden",S_28!$C$15="Nutzungsintensität u Düngung erhöhen",S_28!$C$15="Nutzungsintensität u Düngung reduzieren",S_28!$C$15="Schnittzahl reduzieren",S_28!$C$15="Dauerweidenutzung beenden"),S_28!$G$8="JA"),S_28!AI$13,0)</f>
        <v>0</v>
      </c>
      <c r="BF128" s="1860">
        <f>IF(AND(OR(S_28!$C$13="Nutzungsintensität u Düngung erhöhen",S_28!$C$13="Nutzungsintensität u Düngung reduzieren",S_28!$C$13="Schnittzahl reduzieren",S_28!$C$13="Dauerweidenutzung beenden",S_28!$C$14="Nutzungsintensität u Düngung erhöhen",S_28!$C$14="Nutzungsintensität u Düngung reduzieren",S_28!$C$14="Schnittzahl reduzieren",S_28!$C$14="Dauerweidenutzung beenden",S_28!$C$15="Nutzungsintensität u Düngung erhöhen",S_28!$C$15="Nutzungsintensität u Düngung reduzieren",S_28!$C$15="Schnittzahl reduzieren",S_28!$C$15="Dauerweidenutzung beenden"),S_28!$G$8="JA"),S_28!AJ$13,0)</f>
        <v>0</v>
      </c>
      <c r="BG128" s="1860"/>
      <c r="BH128" s="1860">
        <f>IF(AND(OR(S_28!$C$13="Dauerweidenutzung beenden",S_28!$C$14="Dauerweidenutzung beenden",S_28!$C$15="Dauerweidenutzung beenden"),S_28!$G$8="JA"),S_28!AL$13,0)</f>
        <v>0</v>
      </c>
      <c r="BK128" s="1860">
        <f>IF(AND(OR(S_28!$C$13="als Dauerweide führen",S_28!$C$14="als Dauerweide führen",S_28!$C$15="als Dauerweide führen"),S_28!$G$8="JA"),S_28!AE$13,0)</f>
        <v>0</v>
      </c>
      <c r="BL128" s="1860">
        <f>IF(AND(OR(S_28!$C$13="als Dauerweide führen",S_28!$C$14="als Dauerweide führen",S_28!$C$15="als Dauerweide führen"),S_28!$G$8="JA"),S_28!AF$13,0)</f>
        <v>0</v>
      </c>
      <c r="BM128" s="1860">
        <f>IF(AND(OR(S_28!$C$13="als Dauerweide führen",S_28!$C$14="als Dauerweide führen",S_28!$C$15="als Dauerweide führen"),S_28!$G$8="JA"),S_28!AG$13,0)</f>
        <v>0</v>
      </c>
      <c r="BN128" s="1860">
        <f>IF(AND(OR(S_28!$C$13="als Dauerweide führen",S_28!$C$14="als Dauerweide führen",S_28!$C$15="als Dauerweide führen"),S_28!$G$8="JA"),S_28!AH$13,0)</f>
        <v>0</v>
      </c>
      <c r="BO128" s="1860">
        <f>IF(AND(OR(S_28!$C$13="als Dauerweide führen",S_28!$C$14="als Dauerweide führen",S_28!$C$15="als Dauerweide führen"),S_28!$G$8="JA"),S_28!AI$13,0)</f>
        <v>0</v>
      </c>
      <c r="BP128" s="1860">
        <f>IF(AND(OR(S_28!$C$13="als Dauerweide führen",S_28!$C$14="als Dauerweide führen",S_28!$C$15="als Dauerweide führen"),S_28!$G$8="JA"),S_28!AJ$13,0)</f>
        <v>0</v>
      </c>
      <c r="BQ128" s="1860"/>
      <c r="BR128" s="1860">
        <f>IF(AND(OR(S_28!$C$13="als Dauerweide führen",S_28!$C$14="als Dauerweide führen",S_28!$C$15="als Dauerweide führen"),S_28!$G$8="JA"),S_28!AM$13,0)</f>
        <v>0</v>
      </c>
    </row>
    <row r="129" spans="53:70">
      <c r="BA129" s="1860">
        <f>IF(AND(OR(S_29!$C$13="Nutzungsintensität u Düngung erhöhen",S_29!$C$13="Nutzungsintensität u Düngung reduzieren",S_29!$C$13="Schnittzahl reduzieren",S_29!$C$13="Dauerweidenutzung beenden",S_29!$C$14="Nutzungsintensität u Düngung erhöhen",S_29!$C$14="Nutzungsintensität u Düngung reduzieren",S_29!$C$14="Schnittzahl reduzieren",S_29!$C$14="Dauerweidenutzung beenden",S_29!$C$15="Nutzungsintensität u Düngung erhöhen",S_29!$C$15="Nutzungsintensität u Düngung reduzieren",S_29!$C$15="Schnittzahl reduzieren",S_29!$C$15="Dauerweidenutzung beenden"),S_29!$G$8="JA"),S_29!AE$13,0)</f>
        <v>0</v>
      </c>
      <c r="BB129" s="1860">
        <f>IF(AND(OR(S_29!$C$13="Nutzungsintensität u Düngung erhöhen",S_29!$C$13="Nutzungsintensität u Düngung reduzieren",S_29!$C$13="Schnittzahl reduzieren",S_29!$C$13="Dauerweidenutzung beenden",S_29!$C$14="Nutzungsintensität u Düngung erhöhen",S_29!$C$14="Nutzungsintensität u Düngung reduzieren",S_29!$C$14="Schnittzahl reduzieren",S_29!$C$14="Dauerweidenutzung beenden",S_29!$C$15="Nutzungsintensität u Düngung erhöhen",S_29!$C$15="Nutzungsintensität u Düngung reduzieren",S_29!$C$15="Schnittzahl reduzieren",S_29!$C$15="Dauerweidenutzung beenden"),S_29!$G$8="JA"),S_29!AF$13,0)</f>
        <v>0</v>
      </c>
      <c r="BC129" s="1860">
        <f>IF(AND(OR(S_29!$C$13="Nutzungsintensität u Düngung erhöhen",S_29!$C$13="Nutzungsintensität u Düngung reduzieren",S_29!$C$13="Schnittzahl reduzieren",S_29!$C$13="Dauerweidenutzung beenden",S_29!$C$14="Nutzungsintensität u Düngung erhöhen",S_29!$C$14="Nutzungsintensität u Düngung reduzieren",S_29!$C$14="Schnittzahl reduzieren",S_29!$C$14="Dauerweidenutzung beenden",S_29!$C$15="Nutzungsintensität u Düngung erhöhen",S_29!$C$15="Nutzungsintensität u Düngung reduzieren",S_29!$C$15="Schnittzahl reduzieren",S_29!$C$15="Dauerweidenutzung beenden"),S_29!$G$8="JA"),S_29!AG$13,0)</f>
        <v>0</v>
      </c>
      <c r="BD129" s="1860">
        <f>IF(AND(OR(S_29!$C$13="Nutzungsintensität u Düngung erhöhen",S_29!$C$13="Nutzungsintensität u Düngung reduzieren",S_29!$C$13="Schnittzahl reduzieren",S_29!$C$13="Dauerweidenutzung beenden",S_29!$C$14="Nutzungsintensität u Düngung erhöhen",S_29!$C$14="Nutzungsintensität u Düngung reduzieren",S_29!$C$14="Schnittzahl reduzieren",S_29!$C$14="Dauerweidenutzung beenden",S_29!$C$15="Nutzungsintensität u Düngung erhöhen",S_29!$C$15="Nutzungsintensität u Düngung reduzieren",S_29!$C$15="Schnittzahl reduzieren",S_29!$C$15="Dauerweidenutzung beenden"),S_29!$G$8="JA"),S_29!AH$13,0)</f>
        <v>0</v>
      </c>
      <c r="BE129" s="1860">
        <f>IF(AND(OR(S_29!$C$13="Nutzungsintensität u Düngung erhöhen",S_29!$C$13="Nutzungsintensität u Düngung reduzieren",S_29!$C$13="Schnittzahl reduzieren",S_29!$C$13="Dauerweidenutzung beenden",S_29!$C$14="Nutzungsintensität u Düngung erhöhen",S_29!$C$14="Nutzungsintensität u Düngung reduzieren",S_29!$C$14="Schnittzahl reduzieren",S_29!$C$14="Dauerweidenutzung beenden",S_29!$C$15="Nutzungsintensität u Düngung erhöhen",S_29!$C$15="Nutzungsintensität u Düngung reduzieren",S_29!$C$15="Schnittzahl reduzieren",S_29!$C$15="Dauerweidenutzung beenden"),S_29!$G$8="JA"),S_29!AI$13,0)</f>
        <v>0</v>
      </c>
      <c r="BF129" s="1860">
        <f>IF(AND(OR(S_29!$C$13="Nutzungsintensität u Düngung erhöhen",S_29!$C$13="Nutzungsintensität u Düngung reduzieren",S_29!$C$13="Schnittzahl reduzieren",S_29!$C$13="Dauerweidenutzung beenden",S_29!$C$14="Nutzungsintensität u Düngung erhöhen",S_29!$C$14="Nutzungsintensität u Düngung reduzieren",S_29!$C$14="Schnittzahl reduzieren",S_29!$C$14="Dauerweidenutzung beenden",S_29!$C$15="Nutzungsintensität u Düngung erhöhen",S_29!$C$15="Nutzungsintensität u Düngung reduzieren",S_29!$C$15="Schnittzahl reduzieren",S_29!$C$15="Dauerweidenutzung beenden"),S_29!$G$8="JA"),S_29!AJ$13,0)</f>
        <v>0</v>
      </c>
      <c r="BG129" s="1860"/>
      <c r="BH129" s="1860">
        <f>IF(AND(OR(S_29!$C$13="Dauerweidenutzung beenden",S_29!$C$14="Dauerweidenutzung beenden",S_29!$C$15="Dauerweidenutzung beenden"),S_29!$G$8="JA"),S_29!AL$13,0)</f>
        <v>0</v>
      </c>
      <c r="BK129" s="1860">
        <f>IF(AND(OR(S_29!$C$13="als Dauerweide führen",S_29!$C$14="als Dauerweide führen",S_29!$C$15="als Dauerweide führen"),S_29!$G$8="JA"),S_29!AE$13,0)</f>
        <v>0</v>
      </c>
      <c r="BL129" s="1860">
        <f>IF(AND(OR(S_29!$C$13="als Dauerweide führen",S_29!$C$14="als Dauerweide führen",S_29!$C$15="als Dauerweide führen"),S_29!$G$8="JA"),S_29!AF$13,0)</f>
        <v>0</v>
      </c>
      <c r="BM129" s="1860">
        <f>IF(AND(OR(S_29!$C$13="als Dauerweide führen",S_29!$C$14="als Dauerweide führen",S_29!$C$15="als Dauerweide führen"),S_29!$G$8="JA"),S_29!AG$13,0)</f>
        <v>0</v>
      </c>
      <c r="BN129" s="1860">
        <f>IF(AND(OR(S_29!$C$13="als Dauerweide führen",S_29!$C$14="als Dauerweide führen",S_29!$C$15="als Dauerweide führen"),S_29!$G$8="JA"),S_29!AH$13,0)</f>
        <v>0</v>
      </c>
      <c r="BO129" s="1860">
        <f>IF(AND(OR(S_29!$C$13="als Dauerweide führen",S_29!$C$14="als Dauerweide führen",S_29!$C$15="als Dauerweide führen"),S_29!$G$8="JA"),S_29!AI$13,0)</f>
        <v>0</v>
      </c>
      <c r="BP129" s="1860">
        <f>IF(AND(OR(S_29!$C$13="als Dauerweide führen",S_29!$C$14="als Dauerweide führen",S_29!$C$15="als Dauerweide führen"),S_29!$G$8="JA"),S_29!AJ$13,0)</f>
        <v>0</v>
      </c>
      <c r="BQ129" s="1860"/>
      <c r="BR129" s="1860">
        <f>IF(AND(OR(S_29!$C$13="als Dauerweide führen",S_29!$C$14="als Dauerweide führen",S_29!$C$15="als Dauerweide führen"),S_29!$G$8="JA"),S_29!AM$13,0)</f>
        <v>0</v>
      </c>
    </row>
    <row r="130" spans="53:70">
      <c r="BA130" s="1860">
        <f>IF(AND(OR(S_30!$C$13="Nutzungsintensität u Düngung erhöhen",S_30!$C$13="Nutzungsintensität u Düngung reduzieren",S_30!$C$13="Schnittzahl reduzieren",S_30!$C$13="Dauerweidenutzung beenden",S_30!$C$14="Nutzungsintensität u Düngung erhöhen",S_30!$C$14="Nutzungsintensität u Düngung reduzieren",S_30!$C$14="Schnittzahl reduzieren",S_30!$C$14="Dauerweidenutzung beenden",S_30!$C$15="Nutzungsintensität u Düngung erhöhen",S_30!$C$15="Nutzungsintensität u Düngung reduzieren",S_30!$C$15="Schnittzahl reduzieren",S_30!$C$15="Dauerweidenutzung beenden"),S_30!$G$8="JA"),S_30!AE$13,0)</f>
        <v>0</v>
      </c>
      <c r="BB130" s="1860">
        <f>IF(AND(OR(S_30!$C$13="Nutzungsintensität u Düngung erhöhen",S_30!$C$13="Nutzungsintensität u Düngung reduzieren",S_30!$C$13="Schnittzahl reduzieren",S_30!$C$13="Dauerweidenutzung beenden",S_30!$C$14="Nutzungsintensität u Düngung erhöhen",S_30!$C$14="Nutzungsintensität u Düngung reduzieren",S_30!$C$14="Schnittzahl reduzieren",S_30!$C$14="Dauerweidenutzung beenden",S_30!$C$15="Nutzungsintensität u Düngung erhöhen",S_30!$C$15="Nutzungsintensität u Düngung reduzieren",S_30!$C$15="Schnittzahl reduzieren",S_30!$C$15="Dauerweidenutzung beenden"),S_30!$G$8="JA"),S_30!AF$13,0)</f>
        <v>0</v>
      </c>
      <c r="BC130" s="1860">
        <f>IF(AND(OR(S_30!$C$13="Nutzungsintensität u Düngung erhöhen",S_30!$C$13="Nutzungsintensität u Düngung reduzieren",S_30!$C$13="Schnittzahl reduzieren",S_30!$C$13="Dauerweidenutzung beenden",S_30!$C$14="Nutzungsintensität u Düngung erhöhen",S_30!$C$14="Nutzungsintensität u Düngung reduzieren",S_30!$C$14="Schnittzahl reduzieren",S_30!$C$14="Dauerweidenutzung beenden",S_30!$C$15="Nutzungsintensität u Düngung erhöhen",S_30!$C$15="Nutzungsintensität u Düngung reduzieren",S_30!$C$15="Schnittzahl reduzieren",S_30!$C$15="Dauerweidenutzung beenden"),S_30!$G$8="JA"),S_30!AG$13,0)</f>
        <v>0</v>
      </c>
      <c r="BD130" s="1860">
        <f>IF(AND(OR(S_30!$C$13="Nutzungsintensität u Düngung erhöhen",S_30!$C$13="Nutzungsintensität u Düngung reduzieren",S_30!$C$13="Schnittzahl reduzieren",S_30!$C$13="Dauerweidenutzung beenden",S_30!$C$14="Nutzungsintensität u Düngung erhöhen",S_30!$C$14="Nutzungsintensität u Düngung reduzieren",S_30!$C$14="Schnittzahl reduzieren",S_30!$C$14="Dauerweidenutzung beenden",S_30!$C$15="Nutzungsintensität u Düngung erhöhen",S_30!$C$15="Nutzungsintensität u Düngung reduzieren",S_30!$C$15="Schnittzahl reduzieren",S_30!$C$15="Dauerweidenutzung beenden"),S_30!$G$8="JA"),S_30!AH$13,0)</f>
        <v>0</v>
      </c>
      <c r="BE130" s="1860">
        <f>IF(AND(OR(S_30!$C$13="Nutzungsintensität u Düngung erhöhen",S_30!$C$13="Nutzungsintensität u Düngung reduzieren",S_30!$C$13="Schnittzahl reduzieren",S_30!$C$13="Dauerweidenutzung beenden",S_30!$C$14="Nutzungsintensität u Düngung erhöhen",S_30!$C$14="Nutzungsintensität u Düngung reduzieren",S_30!$C$14="Schnittzahl reduzieren",S_30!$C$14="Dauerweidenutzung beenden",S_30!$C$15="Nutzungsintensität u Düngung erhöhen",S_30!$C$15="Nutzungsintensität u Düngung reduzieren",S_30!$C$15="Schnittzahl reduzieren",S_30!$C$15="Dauerweidenutzung beenden"),S_30!$G$8="JA"),S_30!AI$13,0)</f>
        <v>0</v>
      </c>
      <c r="BF130" s="1860">
        <f>IF(AND(OR(S_30!$C$13="Nutzungsintensität u Düngung erhöhen",S_30!$C$13="Nutzungsintensität u Düngung reduzieren",S_30!$C$13="Schnittzahl reduzieren",S_30!$C$13="Dauerweidenutzung beenden",S_30!$C$14="Nutzungsintensität u Düngung erhöhen",S_30!$C$14="Nutzungsintensität u Düngung reduzieren",S_30!$C$14="Schnittzahl reduzieren",S_30!$C$14="Dauerweidenutzung beenden",S_30!$C$15="Nutzungsintensität u Düngung erhöhen",S_30!$C$15="Nutzungsintensität u Düngung reduzieren",S_30!$C$15="Schnittzahl reduzieren",S_30!$C$15="Dauerweidenutzung beenden"),S_30!$G$8="JA"),S_30!AJ$13,0)</f>
        <v>0</v>
      </c>
      <c r="BG130" s="1860"/>
      <c r="BH130" s="1860">
        <f>IF(AND(OR(S_30!$C$13="Dauerweidenutzung beenden",S_30!$C$14="Dauerweidenutzung beenden",S_30!$C$15="Dauerweidenutzung beenden"),S_30!$G$8="JA"),S_30!AL$13,0)</f>
        <v>0</v>
      </c>
      <c r="BK130" s="1860">
        <f>IF(AND(OR(S_30!$C$13="als Dauerweide führen",S_30!$C$14="als Dauerweide führen",S_30!$C$15="als Dauerweide führen"),S_30!$G$8="JA"),S_30!AE$13,0)</f>
        <v>0</v>
      </c>
      <c r="BL130" s="1860">
        <f>IF(AND(OR(S_30!$C$13="als Dauerweide führen",S_30!$C$14="als Dauerweide führen",S_30!$C$15="als Dauerweide führen"),S_30!$G$8="JA"),S_30!AF$13,0)</f>
        <v>0</v>
      </c>
      <c r="BM130" s="1860">
        <f>IF(AND(OR(S_30!$C$13="als Dauerweide führen",S_30!$C$14="als Dauerweide führen",S_30!$C$15="als Dauerweide führen"),S_30!$G$8="JA"),S_30!AG$13,0)</f>
        <v>0</v>
      </c>
      <c r="BN130" s="1860">
        <f>IF(AND(OR(S_30!$C$13="als Dauerweide führen",S_30!$C$14="als Dauerweide führen",S_30!$C$15="als Dauerweide führen"),S_30!$G$8="JA"),S_30!AH$13,0)</f>
        <v>0</v>
      </c>
      <c r="BO130" s="1860">
        <f>IF(AND(OR(S_30!$C$13="als Dauerweide führen",S_30!$C$14="als Dauerweide führen",S_30!$C$15="als Dauerweide führen"),S_30!$G$8="JA"),S_30!AI$13,0)</f>
        <v>0</v>
      </c>
      <c r="BP130" s="1860">
        <f>IF(AND(OR(S_30!$C$13="als Dauerweide führen",S_30!$C$14="als Dauerweide führen",S_30!$C$15="als Dauerweide führen"),S_30!$G$8="JA"),S_30!AJ$13,0)</f>
        <v>0</v>
      </c>
      <c r="BQ130" s="1860"/>
      <c r="BR130" s="1860">
        <f>IF(AND(OR(S_30!$C$13="als Dauerweide führen",S_30!$C$14="als Dauerweide führen",S_30!$C$15="als Dauerweide führen"),S_30!$G$8="JA"),S_30!AM$13,0)</f>
        <v>0</v>
      </c>
    </row>
  </sheetData>
  <sheetProtection algorithmName="SHA-512" hashValue="FcZ5yN1ZpmbVc/QyZ0Qm54aIbRLFrZsnINDQZpfFGiwRf76t/wJqJ5t7hG9RI9Xo5Ytp8r4KTBNVABSt13scNw==" saltValue="ry2pqpRyN8WE3P5CCTTpvg==" spinCount="100000" sheet="1" formatCells="0" formatRows="0"/>
  <mergeCells count="66">
    <mergeCell ref="IS3:JE3"/>
    <mergeCell ref="IE3:IQ3"/>
    <mergeCell ref="IN4:IQ4"/>
    <mergeCell ref="IT4:IW4"/>
    <mergeCell ref="IX4:JA4"/>
    <mergeCell ref="JB4:JE4"/>
    <mergeCell ref="IF4:II4"/>
    <mergeCell ref="IJ4:IM4"/>
    <mergeCell ref="DM40:DO40"/>
    <mergeCell ref="DP40:DR40"/>
    <mergeCell ref="DS40:DU40"/>
    <mergeCell ref="AE1:AF1"/>
    <mergeCell ref="AK1:AL1"/>
    <mergeCell ref="DL3:DO3"/>
    <mergeCell ref="DP3:DQ3"/>
    <mergeCell ref="DR3:DT3"/>
    <mergeCell ref="DU3:DW3"/>
    <mergeCell ref="B3:M3"/>
    <mergeCell ref="R3:AC3"/>
    <mergeCell ref="AE3:AF3"/>
    <mergeCell ref="CU4:CW4"/>
    <mergeCell ref="BW1:BY1"/>
    <mergeCell ref="BW2:BW4"/>
    <mergeCell ref="BX2:BY2"/>
    <mergeCell ref="AH1:AI1"/>
    <mergeCell ref="AH3:AH4"/>
    <mergeCell ref="AI3:AI4"/>
    <mergeCell ref="R4:S4"/>
    <mergeCell ref="T4:U4"/>
    <mergeCell ref="AR4:AS4"/>
    <mergeCell ref="BC4:BD4"/>
    <mergeCell ref="V4:W4"/>
    <mergeCell ref="AK3:AL3"/>
    <mergeCell ref="BK56:BR56"/>
    <mergeCell ref="BN36:BO36"/>
    <mergeCell ref="BN4:BO4"/>
    <mergeCell ref="BC36:BD36"/>
    <mergeCell ref="X4:Y4"/>
    <mergeCell ref="Z4:AA4"/>
    <mergeCell ref="AB4:AC4"/>
    <mergeCell ref="AW56:AX56"/>
    <mergeCell ref="BA56:BH56"/>
    <mergeCell ref="HU4:HX4"/>
    <mergeCell ref="HY4:IB4"/>
    <mergeCell ref="GY4:HB4"/>
    <mergeCell ref="HD4:HG4"/>
    <mergeCell ref="HH4:HK4"/>
    <mergeCell ref="HL4:HO4"/>
    <mergeCell ref="HQ4:HT4"/>
    <mergeCell ref="GU4:GX4"/>
    <mergeCell ref="FM4:FP4"/>
    <mergeCell ref="FR4:FU4"/>
    <mergeCell ref="FV4:FY4"/>
    <mergeCell ref="FZ4:GC4"/>
    <mergeCell ref="GD4:GG4"/>
    <mergeCell ref="X1:Y1"/>
    <mergeCell ref="Z1:AA1"/>
    <mergeCell ref="GH4:GK4"/>
    <mergeCell ref="GL4:GO4"/>
    <mergeCell ref="GQ4:GT4"/>
    <mergeCell ref="ER4:EU4"/>
    <mergeCell ref="EV4:EY4"/>
    <mergeCell ref="EZ4:FC4"/>
    <mergeCell ref="FE4:FH4"/>
    <mergeCell ref="FI4:FL4"/>
    <mergeCell ref="EH3:EN3"/>
  </mergeCells>
  <dataValidations count="6">
    <dataValidation type="list" operator="equal" allowBlank="1" showErrorMessage="1" sqref="G5:G34">
      <formula1>Liste_Grünland</formula1>
    </dataValidation>
    <dataValidation operator="equal" allowBlank="1" showErrorMessage="1" sqref="AC21:AC34 U21:U34 W21:W34 Y21:Y34 AA21:AA34 S21:S34">
      <formula1>0</formula1>
      <formula2>0</formula2>
    </dataValidation>
    <dataValidation type="list" allowBlank="1" showInputMessage="1" showErrorMessage="1" sqref="AB5:AB34 Z5:Z34 T5:T34 R5:R34 X5:X34 V5:V34">
      <formula1>meine_Dünger</formula1>
    </dataValidation>
    <dataValidation type="list" allowBlank="1" showInputMessage="1" showErrorMessage="1" sqref="F5:F34">
      <formula1>Liste_Zeitpunkt</formula1>
    </dataValidation>
    <dataValidation type="list" allowBlank="1" showInputMessage="1" showErrorMessage="1" sqref="AH5:AH34">
      <formula1>$R$40:$R$42</formula1>
    </dataValidation>
    <dataValidation type="list" allowBlank="1" showInputMessage="1" showErrorMessage="1" sqref="AI5:AI34">
      <formula1>$S$40:$S$43</formula1>
    </dataValidation>
  </dataValidations>
  <hyperlinks>
    <hyperlink ref="X1:Y1" location="Acker!A1" display="◄"/>
    <hyperlink ref="Z1:AA1" location="Planung!A1" display="  ►"/>
  </hyperlinks>
  <pageMargins left="0.43307086614173229" right="0.27559055118110237" top="0.6692913385826772" bottom="0.55118110236220474" header="0.27559055118110237" footer="0.31496062992125984"/>
  <pageSetup paperSize="9" scale="70" firstPageNumber="0" orientation="landscape" blackAndWhite="1" horizontalDpi="300" verticalDpi="300" r:id="rId1"/>
  <headerFooter alignWithMargins="0">
    <oddHeader>&amp;R&amp;G</oddHeader>
    <oddFooter>&amp;L&amp;11&amp;F</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iconSet" priority="3" id="{B3AB994C-A056-4A99-BCCA-072EE5084143}">
            <x14:iconSet showValue="0" custom="1">
              <x14:cfvo type="percent">
                <xm:f>0</xm:f>
              </x14:cfvo>
              <x14:cfvo type="num">
                <xm:f>-20</xm:f>
              </x14:cfvo>
              <x14:cfvo type="num">
                <xm:f>20</xm:f>
              </x14:cfvo>
              <x14:cfIcon iconSet="3TrafficLights1" iconId="0"/>
              <x14:cfIcon iconSet="3TrafficLights1" iconId="2"/>
              <x14:cfIcon iconSet="3TrafficLights1" iconId="1"/>
            </x14:iconSet>
          </x14:cfRule>
          <xm:sqref>M5:M34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Acker!$AI$88:$AI$99</xm:f>
          </x14:formula1>
          <xm:sqref>E5:E34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59999389629810485"/>
  </sheetPr>
  <dimension ref="A1:BY70"/>
  <sheetViews>
    <sheetView topLeftCell="K1" zoomScaleNormal="100" workbookViewId="0">
      <selection activeCell="P9" sqref="P9"/>
    </sheetView>
  </sheetViews>
  <sheetFormatPr baseColWidth="10" defaultRowHeight="12.75"/>
  <cols>
    <col min="1" max="1" width="34.28515625" style="747" hidden="1" customWidth="1"/>
    <col min="2" max="2" width="6.5703125" style="747" hidden="1" customWidth="1"/>
    <col min="3" max="3" width="11.42578125" style="747" hidden="1" customWidth="1"/>
    <col min="4" max="4" width="12.85546875" style="747" hidden="1" customWidth="1"/>
    <col min="5" max="5" width="1.85546875" style="747" hidden="1" customWidth="1"/>
    <col min="6" max="7" width="12.140625" style="747" hidden="1" customWidth="1"/>
    <col min="8" max="9" width="16.28515625" style="747" hidden="1" customWidth="1"/>
    <col min="10" max="10" width="11.42578125" style="747" hidden="1" customWidth="1"/>
    <col min="11" max="11" width="3.28515625" style="747" customWidth="1"/>
    <col min="12" max="12" width="11.42578125" style="747"/>
    <col min="13" max="13" width="23.28515625" style="747" customWidth="1"/>
    <col min="14" max="14" width="11.42578125" style="747" customWidth="1"/>
    <col min="15" max="17" width="14.7109375" style="747" customWidth="1"/>
    <col min="18" max="18" width="14.7109375" style="747" hidden="1" customWidth="1"/>
    <col min="19" max="19" width="67.7109375" style="747" hidden="1" customWidth="1"/>
    <col min="20" max="20" width="23.5703125" style="1064" hidden="1" customWidth="1"/>
    <col min="21" max="21" width="4.7109375" style="747" hidden="1" customWidth="1"/>
    <col min="22" max="22" width="34.42578125" style="747" hidden="1" customWidth="1"/>
    <col min="23" max="23" width="8.140625" style="747" hidden="1" customWidth="1"/>
    <col min="24" max="24" width="8.42578125" style="747" hidden="1" customWidth="1"/>
    <col min="25" max="26" width="8.140625" style="747" hidden="1" customWidth="1"/>
    <col min="27" max="27" width="10.42578125" style="747" hidden="1" customWidth="1"/>
    <col min="28" max="28" width="8.140625" style="747" hidden="1" customWidth="1"/>
    <col min="29" max="29" width="10" style="747" hidden="1" customWidth="1"/>
    <col min="30" max="30" width="8.140625" style="747" hidden="1" customWidth="1"/>
    <col min="31" max="31" width="8.5703125" style="747" hidden="1" customWidth="1"/>
    <col min="32" max="32" width="8.140625" style="747" hidden="1" customWidth="1"/>
    <col min="33" max="33" width="8.5703125" style="747" hidden="1" customWidth="1"/>
    <col min="34" max="40" width="8.140625" style="747" hidden="1" customWidth="1"/>
    <col min="41" max="58" width="7.7109375" style="747" hidden="1" customWidth="1"/>
    <col min="59" max="61" width="9.5703125" style="747" hidden="1" customWidth="1"/>
    <col min="62" max="64" width="11.42578125" style="747" hidden="1" customWidth="1"/>
    <col min="65" max="16384" width="11.42578125" style="747"/>
  </cols>
  <sheetData>
    <row r="1" spans="1:77" ht="20.25" customHeight="1">
      <c r="K1" s="878"/>
      <c r="L1" s="2511" t="s">
        <v>1057</v>
      </c>
      <c r="M1" s="2511"/>
      <c r="N1" s="2511"/>
      <c r="O1" s="2511"/>
      <c r="P1" s="2511"/>
      <c r="Q1" s="2511"/>
      <c r="R1" s="2511"/>
      <c r="S1" s="1065"/>
      <c r="T1" s="1067"/>
      <c r="U1" s="1064"/>
      <c r="V1" s="1064"/>
      <c r="W1" s="2512" t="s">
        <v>1058</v>
      </c>
      <c r="X1" s="2510" t="s">
        <v>1059</v>
      </c>
      <c r="Y1" s="2510" t="s">
        <v>1060</v>
      </c>
      <c r="Z1" s="2510" t="s">
        <v>1061</v>
      </c>
      <c r="AA1" s="2510" t="s">
        <v>1062</v>
      </c>
      <c r="AB1" s="2510" t="s">
        <v>1063</v>
      </c>
      <c r="AC1" s="2510" t="s">
        <v>1064</v>
      </c>
      <c r="AD1" s="2510" t="s">
        <v>1065</v>
      </c>
      <c r="AE1" s="2510" t="s">
        <v>1066</v>
      </c>
      <c r="AF1" s="2510" t="s">
        <v>1067</v>
      </c>
      <c r="AG1" s="2510" t="s">
        <v>203</v>
      </c>
      <c r="AH1" s="2510" t="s">
        <v>1068</v>
      </c>
      <c r="AI1" s="2510" t="s">
        <v>1069</v>
      </c>
      <c r="AJ1" s="2510" t="s">
        <v>1070</v>
      </c>
      <c r="AK1" s="2510" t="s">
        <v>1071</v>
      </c>
      <c r="AL1" s="2510" t="s">
        <v>1072</v>
      </c>
      <c r="AM1" s="2510" t="s">
        <v>1073</v>
      </c>
      <c r="AN1" s="2510" t="s">
        <v>1074</v>
      </c>
      <c r="AO1" s="2510" t="s">
        <v>1075</v>
      </c>
      <c r="AP1" s="2510" t="s">
        <v>1076</v>
      </c>
      <c r="AQ1" s="2510" t="s">
        <v>1077</v>
      </c>
      <c r="AR1" s="2510" t="s">
        <v>1078</v>
      </c>
      <c r="AS1" s="2510" t="s">
        <v>1079</v>
      </c>
      <c r="AT1" s="2510" t="s">
        <v>1080</v>
      </c>
      <c r="AU1" s="2510" t="s">
        <v>1081</v>
      </c>
      <c r="AV1" s="2510" t="s">
        <v>1082</v>
      </c>
      <c r="AW1" s="2510" t="s">
        <v>1083</v>
      </c>
      <c r="AX1" s="2510" t="s">
        <v>1084</v>
      </c>
      <c r="AY1" s="2510" t="s">
        <v>1085</v>
      </c>
      <c r="AZ1" s="2510" t="s">
        <v>1086</v>
      </c>
      <c r="BA1" s="2510" t="s">
        <v>1087</v>
      </c>
      <c r="BB1" s="2510" t="s">
        <v>1088</v>
      </c>
      <c r="BC1" s="2510" t="s">
        <v>1089</v>
      </c>
      <c r="BD1" s="2510" t="s">
        <v>1090</v>
      </c>
      <c r="BE1" s="2510" t="s">
        <v>1091</v>
      </c>
      <c r="BF1" s="2510" t="s">
        <v>1092</v>
      </c>
      <c r="BG1" s="2510" t="s">
        <v>1093</v>
      </c>
      <c r="BH1" s="2510" t="s">
        <v>1094</v>
      </c>
      <c r="BI1" s="2510" t="s">
        <v>1095</v>
      </c>
      <c r="BJ1" s="1064"/>
      <c r="BK1" s="1064"/>
      <c r="BL1" s="1064"/>
      <c r="BM1" s="878"/>
      <c r="BN1" s="878"/>
      <c r="BO1" s="878"/>
      <c r="BP1" s="878"/>
      <c r="BQ1" s="878"/>
      <c r="BR1" s="878"/>
      <c r="BS1" s="878"/>
      <c r="BT1" s="878"/>
      <c r="BU1" s="878"/>
      <c r="BV1" s="878"/>
      <c r="BW1" s="878"/>
      <c r="BX1" s="878"/>
      <c r="BY1" s="878"/>
    </row>
    <row r="2" spans="1:77" ht="6" customHeight="1">
      <c r="K2" s="878"/>
      <c r="L2" s="878"/>
      <c r="M2" s="878"/>
      <c r="N2" s="878"/>
      <c r="O2" s="878"/>
      <c r="P2" s="878"/>
      <c r="Q2" s="878"/>
      <c r="R2" s="878"/>
      <c r="S2" s="878"/>
      <c r="U2" s="1064"/>
      <c r="V2" s="1064"/>
      <c r="W2" s="2512"/>
      <c r="X2" s="2510"/>
      <c r="Y2" s="2510"/>
      <c r="Z2" s="2510"/>
      <c r="AA2" s="2510"/>
      <c r="AB2" s="2510"/>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512"/>
      <c r="AZ2" s="2512"/>
      <c r="BA2" s="2512"/>
      <c r="BB2" s="2512"/>
      <c r="BC2" s="2512"/>
      <c r="BD2" s="2512"/>
      <c r="BE2" s="2512"/>
      <c r="BF2" s="2512"/>
      <c r="BG2" s="2512"/>
      <c r="BH2" s="2512"/>
      <c r="BI2" s="2512"/>
      <c r="BJ2" s="1064"/>
      <c r="BK2" s="1064"/>
      <c r="BL2" s="1064"/>
      <c r="BM2" s="878"/>
      <c r="BN2" s="878"/>
      <c r="BO2" s="878"/>
      <c r="BP2" s="878"/>
      <c r="BQ2" s="878"/>
      <c r="BR2" s="878"/>
      <c r="BS2" s="878"/>
      <c r="BT2" s="878"/>
      <c r="BU2" s="878"/>
      <c r="BV2" s="878"/>
      <c r="BW2" s="878"/>
      <c r="BX2" s="878"/>
      <c r="BY2" s="878"/>
    </row>
    <row r="3" spans="1:77" ht="16.5" customHeight="1">
      <c r="K3" s="878"/>
      <c r="L3" s="2513" t="s">
        <v>1096</v>
      </c>
      <c r="M3" s="2513"/>
      <c r="N3" s="2513"/>
      <c r="O3" s="1068"/>
      <c r="P3" s="1068"/>
      <c r="Q3" s="1069"/>
      <c r="R3" s="1069"/>
      <c r="S3" s="1069"/>
      <c r="T3" s="366"/>
      <c r="U3" s="1064"/>
      <c r="V3" s="1064"/>
      <c r="W3" s="2512"/>
      <c r="X3" s="2510"/>
      <c r="Y3" s="2510"/>
      <c r="Z3" s="2510"/>
      <c r="AA3" s="2510"/>
      <c r="AB3" s="2510"/>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2512"/>
      <c r="AZ3" s="2512"/>
      <c r="BA3" s="2512"/>
      <c r="BB3" s="2512"/>
      <c r="BC3" s="2512"/>
      <c r="BD3" s="2512"/>
      <c r="BE3" s="2512"/>
      <c r="BF3" s="2512"/>
      <c r="BG3" s="2512"/>
      <c r="BH3" s="2512"/>
      <c r="BI3" s="2512"/>
      <c r="BJ3" s="1064"/>
      <c r="BK3" s="1064"/>
      <c r="BL3" s="1064"/>
      <c r="BM3" s="878"/>
      <c r="BN3" s="878"/>
      <c r="BO3" s="878"/>
      <c r="BP3" s="878"/>
      <c r="BQ3" s="878"/>
      <c r="BR3" s="878"/>
      <c r="BS3" s="878"/>
      <c r="BT3" s="878"/>
      <c r="BU3" s="878"/>
      <c r="BV3" s="878"/>
      <c r="BW3" s="878"/>
      <c r="BX3" s="878"/>
      <c r="BY3" s="878"/>
    </row>
    <row r="4" spans="1:77" ht="4.5" customHeight="1">
      <c r="K4" s="878"/>
      <c r="L4" s="2514"/>
      <c r="M4" s="2514"/>
      <c r="N4" s="2514"/>
      <c r="O4" s="1006"/>
      <c r="P4" s="1006"/>
      <c r="Q4" s="1070"/>
      <c r="R4" s="1070"/>
      <c r="S4" s="1070"/>
      <c r="U4" s="1064"/>
      <c r="V4" s="1064"/>
      <c r="W4" s="2512"/>
      <c r="X4" s="2510"/>
      <c r="Y4" s="2510"/>
      <c r="Z4" s="2510"/>
      <c r="AA4" s="2510"/>
      <c r="AB4" s="2510"/>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2512"/>
      <c r="BA4" s="2512"/>
      <c r="BB4" s="2512"/>
      <c r="BC4" s="2512"/>
      <c r="BD4" s="2512"/>
      <c r="BE4" s="2512"/>
      <c r="BF4" s="2512"/>
      <c r="BG4" s="2512"/>
      <c r="BH4" s="2512"/>
      <c r="BI4" s="2512"/>
      <c r="BJ4" s="1064"/>
      <c r="BK4" s="1064"/>
      <c r="BL4" s="1064"/>
      <c r="BM4" s="878"/>
      <c r="BN4" s="878"/>
      <c r="BO4" s="878"/>
      <c r="BP4" s="878"/>
      <c r="BQ4" s="878"/>
      <c r="BR4" s="878"/>
      <c r="BS4" s="878"/>
      <c r="BT4" s="878"/>
      <c r="BU4" s="878"/>
      <c r="BV4" s="878"/>
      <c r="BW4" s="878"/>
      <c r="BX4" s="878"/>
      <c r="BY4" s="878"/>
    </row>
    <row r="5" spans="1:77" ht="18.75" customHeight="1">
      <c r="E5" s="871"/>
      <c r="K5" s="878"/>
      <c r="L5" s="2514"/>
      <c r="M5" s="2515" t="s">
        <v>1097</v>
      </c>
      <c r="N5" s="2516" t="s">
        <v>1098</v>
      </c>
      <c r="O5" s="2516"/>
      <c r="P5" s="2516"/>
      <c r="Q5" s="1071"/>
      <c r="R5" s="1071"/>
      <c r="S5" s="1071"/>
      <c r="T5" s="1072"/>
      <c r="U5" s="1064"/>
      <c r="V5" s="1064"/>
      <c r="W5" s="2512"/>
      <c r="X5" s="2510"/>
      <c r="Y5" s="2510"/>
      <c r="Z5" s="2510"/>
      <c r="AA5" s="2510"/>
      <c r="AB5" s="2510"/>
      <c r="AC5" s="2512"/>
      <c r="AD5" s="2512"/>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2512"/>
      <c r="BA5" s="2512"/>
      <c r="BB5" s="2512"/>
      <c r="BC5" s="2512"/>
      <c r="BD5" s="2512"/>
      <c r="BE5" s="2512"/>
      <c r="BF5" s="2512"/>
      <c r="BG5" s="2512"/>
      <c r="BH5" s="2512"/>
      <c r="BI5" s="2512"/>
      <c r="BJ5" s="1064"/>
      <c r="BK5" s="1064"/>
      <c r="BL5" s="1064"/>
      <c r="BM5" s="878"/>
      <c r="BN5" s="878"/>
      <c r="BO5" s="878"/>
      <c r="BP5" s="878"/>
      <c r="BQ5" s="878"/>
      <c r="BR5" s="878"/>
      <c r="BS5" s="878"/>
      <c r="BT5" s="878"/>
      <c r="BU5" s="878"/>
      <c r="BV5" s="878"/>
      <c r="BW5" s="878"/>
      <c r="BX5" s="878"/>
      <c r="BY5" s="878"/>
    </row>
    <row r="6" spans="1:77" ht="18.75" customHeight="1">
      <c r="C6" s="2517" t="s">
        <v>1099</v>
      </c>
      <c r="D6" s="2517" t="s">
        <v>1100</v>
      </c>
      <c r="E6" s="1073"/>
      <c r="F6" s="2518" t="s">
        <v>1101</v>
      </c>
      <c r="G6" s="2519"/>
      <c r="H6" s="2515" t="s">
        <v>1102</v>
      </c>
      <c r="I6" s="2515"/>
      <c r="J6" s="1073"/>
      <c r="K6" s="1367"/>
      <c r="L6" s="2514"/>
      <c r="M6" s="2515"/>
      <c r="N6" s="2516" t="s">
        <v>898</v>
      </c>
      <c r="O6" s="2516" t="s">
        <v>1103</v>
      </c>
      <c r="P6" s="2516"/>
      <c r="Q6" s="1071"/>
      <c r="R6" s="1071"/>
      <c r="S6" s="1071"/>
      <c r="T6" s="1072"/>
      <c r="U6" s="1064"/>
      <c r="V6" s="1064"/>
      <c r="W6" s="2512"/>
      <c r="X6" s="2510"/>
      <c r="Y6" s="2510"/>
      <c r="Z6" s="2510"/>
      <c r="AA6" s="2510"/>
      <c r="AB6" s="2510"/>
      <c r="AC6" s="2512"/>
      <c r="AD6" s="2512"/>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2512"/>
      <c r="BA6" s="2512"/>
      <c r="BB6" s="2512"/>
      <c r="BC6" s="2512"/>
      <c r="BD6" s="2512"/>
      <c r="BE6" s="2512"/>
      <c r="BF6" s="2512"/>
      <c r="BG6" s="2512"/>
      <c r="BH6" s="2512"/>
      <c r="BI6" s="2512"/>
      <c r="BJ6" s="1064"/>
      <c r="BK6" s="1064"/>
      <c r="BL6" s="1064"/>
      <c r="BM6" s="878"/>
      <c r="BN6" s="878"/>
      <c r="BO6" s="878"/>
      <c r="BP6" s="878"/>
      <c r="BQ6" s="878"/>
      <c r="BR6" s="878"/>
      <c r="BS6" s="878"/>
      <c r="BT6" s="878"/>
      <c r="BU6" s="878"/>
      <c r="BV6" s="878"/>
      <c r="BW6" s="878"/>
      <c r="BX6" s="878"/>
      <c r="BY6" s="878"/>
    </row>
    <row r="7" spans="1:77" ht="25.5" customHeight="1">
      <c r="A7" s="1074"/>
      <c r="B7" s="1075" t="s">
        <v>1104</v>
      </c>
      <c r="C7" s="2517"/>
      <c r="D7" s="2517"/>
      <c r="E7" s="1073"/>
      <c r="F7" s="1076" t="s">
        <v>1026</v>
      </c>
      <c r="G7" s="1077" t="s">
        <v>1105</v>
      </c>
      <c r="H7" s="1005" t="s">
        <v>1026</v>
      </c>
      <c r="I7" s="1005" t="s">
        <v>1027</v>
      </c>
      <c r="J7" s="1073"/>
      <c r="K7" s="1367"/>
      <c r="L7" s="2514"/>
      <c r="M7" s="2515"/>
      <c r="N7" s="2516"/>
      <c r="O7" s="1078" t="s">
        <v>1026</v>
      </c>
      <c r="P7" s="1078" t="s">
        <v>1027</v>
      </c>
      <c r="Q7" s="1079"/>
      <c r="R7" s="1079"/>
      <c r="S7" s="1079"/>
      <c r="T7" s="1072"/>
      <c r="U7" s="1064"/>
      <c r="V7" s="1064"/>
      <c r="W7" s="2512"/>
      <c r="X7" s="2510"/>
      <c r="Y7" s="2510"/>
      <c r="Z7" s="2510"/>
      <c r="AA7" s="2510"/>
      <c r="AB7" s="2510"/>
      <c r="AC7" s="2512"/>
      <c r="AD7" s="2512"/>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2512"/>
      <c r="BA7" s="2512"/>
      <c r="BB7" s="2512"/>
      <c r="BC7" s="2512"/>
      <c r="BD7" s="2512"/>
      <c r="BE7" s="2512"/>
      <c r="BF7" s="2512"/>
      <c r="BG7" s="2512"/>
      <c r="BH7" s="2512"/>
      <c r="BI7" s="2512"/>
      <c r="BJ7" s="1064"/>
      <c r="BK7" s="1064"/>
      <c r="BL7" s="1064"/>
      <c r="BM7" s="878"/>
      <c r="BN7" s="878"/>
      <c r="BO7" s="878"/>
      <c r="BP7" s="878"/>
      <c r="BQ7" s="878"/>
      <c r="BR7" s="878"/>
      <c r="BS7" s="878"/>
      <c r="BT7" s="878"/>
      <c r="BU7" s="878"/>
      <c r="BV7" s="878"/>
      <c r="BW7" s="878"/>
      <c r="BX7" s="878"/>
      <c r="BY7" s="878"/>
    </row>
    <row r="8" spans="1:77" ht="12.75" customHeight="1">
      <c r="A8" s="1003" t="s">
        <v>1106</v>
      </c>
      <c r="B8" s="1080">
        <f>SUM(W8:Y22)</f>
        <v>0</v>
      </c>
      <c r="C8" s="1081">
        <f t="shared" ref="C8:C14" si="0">AA40</f>
        <v>2.2000000000000002</v>
      </c>
      <c r="D8" s="1066">
        <f>B8*C8*365</f>
        <v>0</v>
      </c>
      <c r="E8" s="1082"/>
      <c r="F8" s="1081">
        <v>0.2</v>
      </c>
      <c r="G8" s="1083">
        <v>0.8</v>
      </c>
      <c r="H8" s="1081">
        <f>D8*F8</f>
        <v>0</v>
      </c>
      <c r="I8" s="1081">
        <f>D8*G8</f>
        <v>0</v>
      </c>
      <c r="K8" s="878"/>
      <c r="L8" s="1084">
        <v>1</v>
      </c>
      <c r="M8" s="1085">
        <f>Grünland!C5</f>
        <v>0</v>
      </c>
      <c r="N8" s="1066">
        <f>Grünland!BW5</f>
        <v>0</v>
      </c>
      <c r="O8" s="1066">
        <f>Grünland!BX5</f>
        <v>0</v>
      </c>
      <c r="P8" s="1066">
        <f>Grünland!BY5</f>
        <v>0</v>
      </c>
      <c r="Q8" s="1086"/>
      <c r="R8" s="1086"/>
      <c r="S8" s="1086"/>
      <c r="U8" s="1064"/>
      <c r="V8" s="1064"/>
      <c r="W8" s="1064">
        <f>IF(Tiere!B5="2 - andere Kälber und Jungrinder unter 1/2 Jahr - Gülle",Tiere!I5,0)</f>
        <v>0</v>
      </c>
      <c r="X8" s="1064">
        <f>IF(Tiere!B5="3 - andere Kälber und Jungrinder unter 1/2 Jahr - Mist/Jauche",Tiere!I5,0)</f>
        <v>0</v>
      </c>
      <c r="Y8" s="1064">
        <f>IF(Tiere!B5="4 - andere Kälber und Jungrinder unter 1/2 Jahr - Tiefstallmist",Tiere!I5,0)</f>
        <v>0</v>
      </c>
      <c r="Z8" s="1064">
        <f>IF(Tiere!B5="5 - Jungvieh 1/2 bis 1 Jahr - Gülle",Tiere!I5,0)</f>
        <v>0</v>
      </c>
      <c r="AA8" s="1064">
        <f>IF(Tiere!B5="6 - Jungvieh 1/2 bis 1 Jahr - Mist/Jauche",Tiere!I5,0)</f>
        <v>0</v>
      </c>
      <c r="AB8" s="1064">
        <f>IF(Tiere!B5="7 - Jungvieh 1/2 bis 1 Jahr - Tiefstallmist",Tiere!I5,0)</f>
        <v>0</v>
      </c>
      <c r="AC8" s="1064">
        <f>IF(Tiere!B5="8 - Jungvieh 1 bis 2 Jahr - Gülle",Tiere!I5,0)</f>
        <v>0</v>
      </c>
      <c r="AD8" s="1064">
        <f>IF(Tiere!B5="9 - Jungvieh 1 bis 2 Jahr - Mist/Jauche",Tiere!I5,0)</f>
        <v>0</v>
      </c>
      <c r="AE8" s="1064">
        <f>IF(Tiere!B5="10 - Jungvieh 1 bis 2 Jahr - Tiefstallmist",Tiere!I5,0)</f>
        <v>0</v>
      </c>
      <c r="AF8" s="1064">
        <f>IF(Tiere!B5="11 - Ochsen, Stiere - Gülle",Tiere!I5,0)</f>
        <v>0</v>
      </c>
      <c r="AG8" s="1064">
        <f>IF(Tiere!B5="12 - Ochsen, Stiere - Mist/Jauche",Tiere!I5,0)</f>
        <v>0</v>
      </c>
      <c r="AH8" s="1064">
        <f>IF(Tiere!B5="13 - Ochsen, Stiere - Tiefstallmist",Tiere!I5,0)</f>
        <v>0</v>
      </c>
      <c r="AI8" s="1064">
        <f>IF(Tiere!B5="14 - Kalbinnen - Gülle",Tiere!I5,0)</f>
        <v>0</v>
      </c>
      <c r="AJ8" s="1064">
        <f>IF(Tiere!B5="15 - Kalbinnen - Mist/Jauche",Tiere!I5,0)</f>
        <v>0</v>
      </c>
      <c r="AK8" s="1064">
        <f>IF(Tiere!B5="16 - Kalbinnen - Tiefstallmist",Tiere!I5,0)</f>
        <v>0</v>
      </c>
      <c r="AL8" s="1064">
        <f>IF(Tiere!B5="17 - Milch- bzw. Mutterkühe (3000 kg Milch) - Gülle",Tiere!I5,0)</f>
        <v>0</v>
      </c>
      <c r="AM8" s="1064">
        <f>IF(Tiere!B5="18 - Milch- bzw. Mutterkühe (3000 kg Milch) - Mist/Jauche",Tiere!I5,0)</f>
        <v>0</v>
      </c>
      <c r="AN8" s="1064">
        <f>IF(Tiere!B5="19 - Milch- bzw. Mutterkühe (3000 kg Milch) - Tiefstallmist",Tiere!I5,0)</f>
        <v>0</v>
      </c>
      <c r="AO8" s="1064">
        <f>IF(Tiere!B5="20 - Milch- bzw. Ammenkühe (4000 kg Milch) - Gülle",Tiere!I5,0)</f>
        <v>0</v>
      </c>
      <c r="AP8" s="1064">
        <f>IF(Tiere!B5="21 - Milch- bzw. Ammenkühe (4000 kg Milch) - Mist/Jauche",Tiere!I5,0)</f>
        <v>0</v>
      </c>
      <c r="AQ8" s="1064">
        <f>IF(Tiere!B5="22 - Milch- bzw. Ammenkühe (4000 kg Milch) - Tiefstallmist",Tiere!I5,0)</f>
        <v>0</v>
      </c>
      <c r="AR8" s="1064">
        <f>IF(Tiere!B5="23 - Milchkühe (5000 kg Milch) - Gülle",Tiere!I5,0)</f>
        <v>0</v>
      </c>
      <c r="AS8" s="1064">
        <f>IF(Tiere!B5="24 - Milchkühe (5000 kg Milch) -Mist/Jauche",Tiere!I5,0)</f>
        <v>0</v>
      </c>
      <c r="AT8" s="1064">
        <f>IF(Tiere!B5="25 - Milchkühe (5000 kg Milch) - Tiefstallmist",Tiere!I5,0)</f>
        <v>0</v>
      </c>
      <c r="AU8" s="1064">
        <f>IF(Tiere!B5="26 - Milchkühe (6000 kg Milch) - Gülle",Tiere!I5,0)</f>
        <v>0</v>
      </c>
      <c r="AV8" s="1064">
        <f>IF(Tiere!B5="27 - Milchkühe (6000 kg Milch) - Mist/Jauche",Tiere!I5,0)</f>
        <v>0</v>
      </c>
      <c r="AW8" s="1064">
        <f>IF(Tiere!B5="28 - Milchkühe (6000 kg Milch) - Tiefstallmist",Tiere!I5,0)</f>
        <v>0</v>
      </c>
      <c r="AX8" s="1064">
        <f>IF(Tiere!B5="29 - Milchkühe (7000 kg Milch) - Gülle",Tiere!I5,0)</f>
        <v>0</v>
      </c>
      <c r="AY8" s="1064">
        <f>IF(Tiere!B5="30 - Milchkühe (7000 kg Milch) - Mist/Jauche",Tiere!I5,0)</f>
        <v>0</v>
      </c>
      <c r="AZ8" s="1064">
        <f>IF(Tiere!B5="31 - Milchkühe (7000 kg Milch) - Tiefstallmist",Tiere!I5,0)</f>
        <v>0</v>
      </c>
      <c r="BA8" s="1064">
        <f>IF(Tiere!B5="32 - Milchkühe (8000 kg Milch) - Gülle",Tiere!I5,0)</f>
        <v>0</v>
      </c>
      <c r="BB8" s="1064">
        <f>IF(Tiere!B5="33 - Milchkühe (8000 kg Milch) - Mist/Jauche",Tiere!I5,0)</f>
        <v>0</v>
      </c>
      <c r="BC8" s="1064">
        <f>IF(Tiere!B5="34 - Milchkühe (8000 kg Milch) - Tiefstallmist",Tiere!I5,0)</f>
        <v>0</v>
      </c>
      <c r="BD8" s="1064">
        <f>IF(Tiere!B5="35 - Milchkühe (9000 kg Milch) - Gülle",Tiere!I5,0)</f>
        <v>0</v>
      </c>
      <c r="BE8" s="1064">
        <f>IF(Tiere!B5="36 - Milchkühe (9000 kg Milch) - Mist/Jauche",Tiere!I5,0)</f>
        <v>0</v>
      </c>
      <c r="BF8" s="1064">
        <f>IF(Tiere!B5="37 - Milchkühe (9000 kg Milch) - Tiefstallmist",Tiere!I5,0)</f>
        <v>0</v>
      </c>
      <c r="BG8" s="1064">
        <f>IF(Tiere!B5="38 - Milchkühe (&lt; 10.000 kg Milch) - Gülle",Tiere!I5,0)</f>
        <v>0</v>
      </c>
      <c r="BH8" s="1064">
        <f>IF(Tiere!B5="39 - Milchkühe (&lt; 10.000 kg Milch) - Mist/Jauche",Tiere!I5,0)</f>
        <v>0</v>
      </c>
      <c r="BI8" s="1064">
        <f>IF(Tiere!B5="40 - Milchkühe (&lt; 10.000 kg Milch) - Tiefstallmist",Tiere!I5,0)</f>
        <v>0</v>
      </c>
      <c r="BJ8" s="1064"/>
      <c r="BK8" s="1064"/>
      <c r="BL8" s="1064"/>
      <c r="BM8" s="878"/>
      <c r="BN8" s="878"/>
      <c r="BO8" s="878"/>
      <c r="BP8" s="878"/>
      <c r="BQ8" s="878"/>
      <c r="BR8" s="878"/>
      <c r="BS8" s="878"/>
      <c r="BT8" s="878"/>
      <c r="BU8" s="878"/>
      <c r="BV8" s="878"/>
      <c r="BW8" s="878"/>
      <c r="BX8" s="878"/>
      <c r="BY8" s="878"/>
    </row>
    <row r="9" spans="1:77" ht="12.75" customHeight="1">
      <c r="A9" s="1003" t="s">
        <v>1107</v>
      </c>
      <c r="B9" s="1006">
        <f>SUM(Z8:AB22)</f>
        <v>0</v>
      </c>
      <c r="C9" s="1081">
        <f t="shared" si="0"/>
        <v>4.5999999999999996</v>
      </c>
      <c r="D9" s="1066">
        <f>B9*C9*365</f>
        <v>0</v>
      </c>
      <c r="E9" s="1082"/>
      <c r="F9" s="1081">
        <v>0.2</v>
      </c>
      <c r="G9" s="1083">
        <v>0.8</v>
      </c>
      <c r="H9" s="1081">
        <f>D9*F9</f>
        <v>0</v>
      </c>
      <c r="I9" s="1081">
        <f t="shared" ref="I9:I36" si="1">D9*G9</f>
        <v>0</v>
      </c>
      <c r="K9" s="878"/>
      <c r="L9" s="1084">
        <v>2</v>
      </c>
      <c r="M9" s="1085">
        <f>Grünland!C6</f>
        <v>0</v>
      </c>
      <c r="N9" s="1066">
        <f>Grünland!BW6</f>
        <v>0</v>
      </c>
      <c r="O9" s="1066">
        <f>Grünland!BX6</f>
        <v>0</v>
      </c>
      <c r="P9" s="1066">
        <f>Grünland!BY6</f>
        <v>0</v>
      </c>
      <c r="Q9" s="1086"/>
      <c r="R9" s="1086"/>
      <c r="S9" s="1086"/>
      <c r="U9" s="1064"/>
      <c r="V9" s="1064"/>
      <c r="W9" s="1064">
        <f>IF(Tiere!B6="2 - andere Kälber und Jungrinder unter 1/2 Jahr - Gülle",Tiere!I6,0)</f>
        <v>0</v>
      </c>
      <c r="X9" s="1064">
        <f>IF(Tiere!B6="3 - andere Kälber und Jungrinder unter 1/2 Jahr - Mist/Jauche",Tiere!I6,0)</f>
        <v>0</v>
      </c>
      <c r="Y9" s="1064">
        <f>IF(Tiere!B6="4 - andere Kälber und Jungrinder unter 1/2 Jahr - Tiefstallmist",Tiere!I6,0)</f>
        <v>0</v>
      </c>
      <c r="Z9" s="1064">
        <f>IF(Tiere!B6="5 - Jungvieh 1/2 bis 1 Jahr - Gülle",Tiere!I6,0)</f>
        <v>0</v>
      </c>
      <c r="AA9" s="1064">
        <f>IF(Tiere!B6="6 - Jungvieh 1/2 bis 1 Jahr - Mist/Jauche",Tiere!I6,0)</f>
        <v>0</v>
      </c>
      <c r="AB9" s="1064">
        <f>IF(Tiere!B6="7 - Jungvieh 1/2 bis 1 Jahr - Tiefstallmist",Tiere!I6,0)</f>
        <v>0</v>
      </c>
      <c r="AC9" s="1064">
        <f>IF(Tiere!B6="8 - Jungvieh 1 bis 2 Jahr - Gülle",Tiere!I6,0)</f>
        <v>0</v>
      </c>
      <c r="AD9" s="1064">
        <f>IF(Tiere!B6="9 - Jungvieh 1 bis 2 Jahr - Mist/Jauche",Tiere!I6,0)</f>
        <v>0</v>
      </c>
      <c r="AE9" s="1064">
        <f>IF(Tiere!B6="10 - Jungvieh 1 bis 2 Jahr - Tiefstallmist",Tiere!I6,0)</f>
        <v>0</v>
      </c>
      <c r="AF9" s="1064">
        <f>IF(Tiere!B6="11 - Ochsen, Stiere - Gülle",Tiere!I6,0)</f>
        <v>0</v>
      </c>
      <c r="AG9" s="1064">
        <f>IF(Tiere!B6="12 - Ochsen, Stiere - Mist/Jauche",Tiere!I6,0)</f>
        <v>0</v>
      </c>
      <c r="AH9" s="1366">
        <f>IF(Tiere!B6="13 - Ochsen, Stiere - Tiefstallmist",Tiere!I6,0)</f>
        <v>0</v>
      </c>
      <c r="AI9" s="1064">
        <f>IF(Tiere!B6="14 - Kalbinnen - Gülle",Tiere!I6,0)</f>
        <v>0</v>
      </c>
      <c r="AJ9" s="1064">
        <f>IF(Tiere!B6="15 - Kalbinnen - Mist/Jauche",Tiere!I6,0)</f>
        <v>0</v>
      </c>
      <c r="AK9" s="1064">
        <f>IF(Tiere!B6="16 - Kalbinnen - Tiefstallmist",Tiere!I6,0)</f>
        <v>0</v>
      </c>
      <c r="AL9" s="1064">
        <f>IF(Tiere!B6="17 - Milch- bzw. Mutterkühe (3000 kg Milch) - Gülle",Tiere!I6,0)</f>
        <v>0</v>
      </c>
      <c r="AM9" s="1064">
        <f>IF(Tiere!B6="18 - Milch- bzw. Mutterkühe (3000 kg Milch) - Mist/Jauche",Tiere!I6,0)</f>
        <v>0</v>
      </c>
      <c r="AN9" s="1064">
        <f>IF(Tiere!B6="19 - Milch- bzw. Mutterkühe (3000 kg Milch) - Tiefstallmist",Tiere!I6,0)</f>
        <v>0</v>
      </c>
      <c r="AO9" s="1064">
        <f>IF(Tiere!B6="20 - Milch- bzw. Ammenkühe (4000 kg Milch) - Gülle",Tiere!I6,0)</f>
        <v>0</v>
      </c>
      <c r="AP9" s="1064">
        <f>IF(Tiere!B6="21 - Milch- bzw. Ammenkühe (4000 kg Milch) - Mist/Jauche",Tiere!I6,0)</f>
        <v>0</v>
      </c>
      <c r="AQ9" s="1064">
        <f>IF(Tiere!B6="22 - Milch- bzw. Ammenkühe (4000 kg Milch) - Tiefstallmist",Tiere!I6,0)</f>
        <v>0</v>
      </c>
      <c r="AR9" s="1064">
        <f>IF(Tiere!B6="23 - Milchkühe (5000 kg Milch) - Gülle",Tiere!I6,0)</f>
        <v>0</v>
      </c>
      <c r="AS9" s="1064">
        <f>IF(Tiere!B6="24 - Milchkühe (5000 kg Milch) -Mist/Jauche",Tiere!I6,0)</f>
        <v>0</v>
      </c>
      <c r="AT9" s="1064">
        <f>IF(Tiere!B6="25 - Milchkühe (5000 kg Milch) - Tiefstallmist",Tiere!I6,0)</f>
        <v>0</v>
      </c>
      <c r="AU9" s="1064">
        <f>IF(Tiere!B6="26 - Milchkühe (6000 kg Milch) - Gülle",Tiere!I6,0)</f>
        <v>0</v>
      </c>
      <c r="AV9" s="1064">
        <f>IF(Tiere!B6="27 - Milchkühe (6000 kg Milch) - Mist/Jauche",Tiere!I6,0)</f>
        <v>0</v>
      </c>
      <c r="AW9" s="1064">
        <f>IF(Tiere!B6="28 - Milchkühe (6000 kg Milch) - Tiefstallmist",Tiere!I6,0)</f>
        <v>0</v>
      </c>
      <c r="AX9" s="1064">
        <f>IF(Tiere!B6="29 - Milchkühe (7000 kg Milch) - Gülle",Tiere!I6,0)</f>
        <v>0</v>
      </c>
      <c r="AY9" s="1064">
        <f>IF(Tiere!B6="30 - Milchkühe (7000 kg Milch) - Mist/Jauche",Tiere!I6,0)</f>
        <v>0</v>
      </c>
      <c r="AZ9" s="1064">
        <f>IF(Tiere!B6="31 - Milchkühe (7000 kg Milch) - Tiefstallmist",Tiere!I6,0)</f>
        <v>0</v>
      </c>
      <c r="BA9" s="1064">
        <f>IF(Tiere!B6="32 - Milchkühe (8000 kg Milch) - Gülle",Tiere!I6,0)</f>
        <v>0</v>
      </c>
      <c r="BB9" s="1064">
        <f>IF(Tiere!B6="33 - Milchkühe (8000 kg Milch) - Mist/Jauche",Tiere!I6,0)</f>
        <v>0</v>
      </c>
      <c r="BC9" s="1064">
        <f>IF(Tiere!B6="34 - Milchkühe (8000 kg Milch) - Tiefstallmist",Tiere!I6,0)</f>
        <v>0</v>
      </c>
      <c r="BD9" s="1064">
        <f>IF(Tiere!B6="35 - Milchkühe (9000 kg Milch) - Gülle",Tiere!I6,0)</f>
        <v>0</v>
      </c>
      <c r="BE9" s="1064">
        <f>IF(Tiere!B6="36 - Milchkühe (9000 kg Milch) - Mist/Jauche",Tiere!I6,0)</f>
        <v>0</v>
      </c>
      <c r="BF9" s="1064">
        <f>IF(Tiere!B6="37 - Milchkühe (9000 kg Milch) - Tiefstallmist",Tiere!I6,0)</f>
        <v>0</v>
      </c>
      <c r="BG9" s="1064">
        <f>IF(Tiere!B6="38 - Milchkühe (&lt; 10.000 kg Milch) - Gülle",Tiere!I6,0)</f>
        <v>0</v>
      </c>
      <c r="BH9" s="1064">
        <f>IF(Tiere!B6="39 - Milchkühe (&lt; 10.000 kg Milch) - Mist/Jauche",Tiere!I6,0)</f>
        <v>0</v>
      </c>
      <c r="BI9" s="1064">
        <f>IF(Tiere!B6="40 - Milchkühe (&lt; 10.000 kg Milch) - Tiefstallmist",Tiere!I6,0)</f>
        <v>0</v>
      </c>
      <c r="BJ9" s="1064"/>
      <c r="BK9" s="1064"/>
      <c r="BL9" s="1064"/>
      <c r="BM9" s="878"/>
      <c r="BN9" s="878"/>
      <c r="BO9" s="878"/>
      <c r="BP9" s="878"/>
      <c r="BQ9" s="878"/>
      <c r="BR9" s="878"/>
      <c r="BS9" s="878"/>
      <c r="BT9" s="878"/>
      <c r="BU9" s="878"/>
      <c r="BV9" s="878"/>
      <c r="BW9" s="878"/>
      <c r="BX9" s="878"/>
      <c r="BY9" s="878"/>
    </row>
    <row r="10" spans="1:77" ht="12.75" customHeight="1">
      <c r="A10" s="1003" t="s">
        <v>1108</v>
      </c>
      <c r="B10" s="1006">
        <f>SUM(AC8:AE22)</f>
        <v>0</v>
      </c>
      <c r="C10" s="1081">
        <f t="shared" si="0"/>
        <v>8.5</v>
      </c>
      <c r="D10" s="1066">
        <f t="shared" ref="D10:D36" si="2">B10*C10*365</f>
        <v>0</v>
      </c>
      <c r="E10" s="1082"/>
      <c r="F10" s="1081">
        <v>0.5</v>
      </c>
      <c r="G10" s="1083">
        <v>0.5</v>
      </c>
      <c r="H10" s="1081">
        <f t="shared" ref="H10:H36" si="3">D10*F10</f>
        <v>0</v>
      </c>
      <c r="I10" s="1081">
        <f t="shared" si="1"/>
        <v>0</v>
      </c>
      <c r="K10" s="878"/>
      <c r="L10" s="1084">
        <v>4</v>
      </c>
      <c r="M10" s="1085">
        <f>Grünland!C7</f>
        <v>0</v>
      </c>
      <c r="N10" s="1066">
        <f>Grünland!BW7</f>
        <v>0</v>
      </c>
      <c r="O10" s="1066">
        <f>Grünland!BX7</f>
        <v>0</v>
      </c>
      <c r="P10" s="1066">
        <f>Grünland!BY7</f>
        <v>0</v>
      </c>
      <c r="Q10" s="1086"/>
      <c r="R10" s="1086"/>
      <c r="S10" s="1086"/>
      <c r="U10" s="1064"/>
      <c r="V10" s="1064"/>
      <c r="W10" s="1064">
        <f>IF(Tiere!B7="2 - andere Kälber und Jungrinder unter 1/2 Jahr - Gülle",Tiere!I7,0)</f>
        <v>0</v>
      </c>
      <c r="X10" s="1064">
        <f>IF(Tiere!B7="3 - andere Kälber und Jungrinder unter 1/2 Jahr - Mist/Jauche",Tiere!I7,0)</f>
        <v>0</v>
      </c>
      <c r="Y10" s="1064">
        <f>IF(Tiere!B7="4 - andere Kälber und Jungrinder unter 1/2 Jahr - Tiefstallmist",Tiere!I7,0)</f>
        <v>0</v>
      </c>
      <c r="Z10" s="1064">
        <f>IF(Tiere!B7="5 - Jungvieh 1/2 bis 1 Jahr - Gülle",Tiere!I7,0)</f>
        <v>0</v>
      </c>
      <c r="AA10" s="1064">
        <f>IF(Tiere!B7="6 - Jungvieh 1/2 bis 1 Jahr - Mist/Jauche",Tiere!I7,0)</f>
        <v>0</v>
      </c>
      <c r="AB10" s="1064">
        <f>IF(Tiere!B7="7 - Jungvieh 1/2 bis 1 Jahr - Tiefstallmist",Tiere!I7,0)</f>
        <v>0</v>
      </c>
      <c r="AC10" s="1064">
        <f>IF(Tiere!B7="8 - Jungvieh 1 bis 2 Jahr - Gülle",Tiere!I7,0)</f>
        <v>0</v>
      </c>
      <c r="AD10" s="1064">
        <f>IF(Tiere!B7="9 - Jungvieh 1 bis 2 Jahr - Mist/Jauche",Tiere!I7,0)</f>
        <v>0</v>
      </c>
      <c r="AE10" s="1064">
        <f>IF(Tiere!B7="10 - Jungvieh 1 bis 2 Jahr - Tiefstallmist",Tiere!I7,0)</f>
        <v>0</v>
      </c>
      <c r="AF10" s="1064">
        <f>IF(Tiere!B7="11 - Ochsen, Stiere - Gülle",Tiere!I7,0)</f>
        <v>0</v>
      </c>
      <c r="AG10" s="1064">
        <f>IF(Tiere!B7="12 - Ochsen, Stiere - Mist/Jauche",Tiere!I7,0)</f>
        <v>0</v>
      </c>
      <c r="AH10" s="1366">
        <f>IF(Tiere!B7="13 - Ochsen, Stiere - Tiefstallmist",Tiere!I7,0)</f>
        <v>0</v>
      </c>
      <c r="AI10" s="1064">
        <f>IF(Tiere!B7="14 - Kalbinnen - Gülle",Tiere!I7,0)</f>
        <v>0</v>
      </c>
      <c r="AJ10" s="1064">
        <f>IF(Tiere!B7="15 - Kalbinnen - Mist/Jauche",Tiere!I7,0)</f>
        <v>0</v>
      </c>
      <c r="AK10" s="1064">
        <f>IF(Tiere!B7="16 - Kalbinnen - Tiefstallmist",Tiere!I7,0)</f>
        <v>0</v>
      </c>
      <c r="AL10" s="1064">
        <f>IF(Tiere!B7="17 - Milch- bzw. Mutterkühe (3000 kg Milch) - Gülle",Tiere!I7,0)</f>
        <v>0</v>
      </c>
      <c r="AM10" s="1064">
        <f>IF(Tiere!B7="18 - Milch- bzw. Mutterkühe (3000 kg Milch) - Mist/Jauche",Tiere!I7,0)</f>
        <v>0</v>
      </c>
      <c r="AN10" s="1064">
        <f>IF(Tiere!B7="19 - Milch- bzw. Mutterkühe (3000 kg Milch) - Tiefstallmist",Tiere!I7,0)</f>
        <v>0</v>
      </c>
      <c r="AO10" s="1064">
        <f>IF(Tiere!B7="20 - Milch- bzw. Ammenkühe (4000 kg Milch) - Gülle",Tiere!I7,0)</f>
        <v>0</v>
      </c>
      <c r="AP10" s="1064">
        <f>IF(Tiere!B7="21 - Milch- bzw. Ammenkühe (4000 kg Milch) - Mist/Jauche",Tiere!I7,0)</f>
        <v>0</v>
      </c>
      <c r="AQ10" s="1064">
        <f>IF(Tiere!B7="22 - Milch- bzw. Ammenkühe (4000 kg Milch) - Tiefstallmist",Tiere!I7,0)</f>
        <v>0</v>
      </c>
      <c r="AR10" s="1064">
        <f>IF(Tiere!B7="23 - Milchkühe (5000 kg Milch) - Gülle",Tiere!I7,0)</f>
        <v>0</v>
      </c>
      <c r="AS10" s="1064">
        <f>IF(Tiere!B7="24 - Milchkühe (5000 kg Milch) -Mist/Jauche",Tiere!I7,0)</f>
        <v>0</v>
      </c>
      <c r="AT10" s="1064">
        <f>IF(Tiere!B7="25 - Milchkühe (5000 kg Milch) - Tiefstallmist",Tiere!I7,0)</f>
        <v>0</v>
      </c>
      <c r="AU10" s="1064">
        <f>IF(Tiere!B7="26 - Milchkühe (6000 kg Milch) - Gülle",Tiere!I7,0)</f>
        <v>0</v>
      </c>
      <c r="AV10" s="1064">
        <f>IF(Tiere!B7="27 - Milchkühe (6000 kg Milch) - Mist/Jauche",Tiere!I7,0)</f>
        <v>0</v>
      </c>
      <c r="AW10" s="1064">
        <f>IF(Tiere!B7="28 - Milchkühe (6000 kg Milch) - Tiefstallmist",Tiere!I7,0)</f>
        <v>0</v>
      </c>
      <c r="AX10" s="1064">
        <f>IF(Tiere!B7="29 - Milchkühe (7000 kg Milch) - Gülle",Tiere!I7,0)</f>
        <v>0</v>
      </c>
      <c r="AY10" s="1064">
        <f>IF(Tiere!B7="30 - Milchkühe (7000 kg Milch) - Mist/Jauche",Tiere!I7,0)</f>
        <v>0</v>
      </c>
      <c r="AZ10" s="1064">
        <f>IF(Tiere!B7="31 - Milchkühe (7000 kg Milch) - Tiefstallmist",Tiere!I7,0)</f>
        <v>0</v>
      </c>
      <c r="BA10" s="1064">
        <f>IF(Tiere!B7="32 - Milchkühe (8000 kg Milch) - Gülle",Tiere!I7,0)</f>
        <v>0</v>
      </c>
      <c r="BB10" s="1064">
        <f>IF(Tiere!B7="33 - Milchkühe (8000 kg Milch) - Mist/Jauche",Tiere!I7,0)</f>
        <v>0</v>
      </c>
      <c r="BC10" s="1064">
        <f>IF(Tiere!B7="34 - Milchkühe (8000 kg Milch) - Tiefstallmist",Tiere!I7,0)</f>
        <v>0</v>
      </c>
      <c r="BD10" s="1064">
        <f>IF(Tiere!B7="35 - Milchkühe (9000 kg Milch) - Gülle",Tiere!I7,0)</f>
        <v>0</v>
      </c>
      <c r="BE10" s="1064">
        <f>IF(Tiere!B7="36 - Milchkühe (9000 kg Milch) - Mist/Jauche",Tiere!I7,0)</f>
        <v>0</v>
      </c>
      <c r="BF10" s="1064">
        <f>IF(Tiere!B7="37 - Milchkühe (9000 kg Milch) - Tiefstallmist",Tiere!I7,0)</f>
        <v>0</v>
      </c>
      <c r="BG10" s="1064">
        <f>IF(Tiere!B7="38 - Milchkühe (&lt; 10.000 kg Milch) - Gülle",Tiere!I7,0)</f>
        <v>0</v>
      </c>
      <c r="BH10" s="1064">
        <f>IF(Tiere!B7="39 - Milchkühe (&lt; 10.000 kg Milch) - Mist/Jauche",Tiere!I7,0)</f>
        <v>0</v>
      </c>
      <c r="BI10" s="1064">
        <f>IF(Tiere!B7="40 - Milchkühe (&lt; 10.000 kg Milch) - Tiefstallmist",Tiere!I7,0)</f>
        <v>0</v>
      </c>
      <c r="BJ10" s="1064"/>
      <c r="BK10" s="1064"/>
      <c r="BL10" s="1064"/>
      <c r="BM10" s="878"/>
      <c r="BN10" s="878"/>
      <c r="BO10" s="878"/>
      <c r="BP10" s="878"/>
      <c r="BQ10" s="878"/>
      <c r="BR10" s="878"/>
      <c r="BS10" s="878"/>
      <c r="BT10" s="878"/>
      <c r="BU10" s="878"/>
      <c r="BV10" s="878"/>
      <c r="BW10" s="878"/>
      <c r="BX10" s="878"/>
      <c r="BY10" s="878"/>
    </row>
    <row r="11" spans="1:77" ht="12.75" customHeight="1">
      <c r="A11" s="1003" t="s">
        <v>1109</v>
      </c>
      <c r="B11" s="1006">
        <f>SUM(AF8:AH22)</f>
        <v>0</v>
      </c>
      <c r="C11" s="1081">
        <f t="shared" si="0"/>
        <v>10</v>
      </c>
      <c r="D11" s="1066">
        <f t="shared" si="2"/>
        <v>0</v>
      </c>
      <c r="E11" s="1082"/>
      <c r="F11" s="1081">
        <v>0.3</v>
      </c>
      <c r="G11" s="1083">
        <v>0.7</v>
      </c>
      <c r="H11" s="1081">
        <f t="shared" si="3"/>
        <v>0</v>
      </c>
      <c r="I11" s="1081">
        <f t="shared" si="1"/>
        <v>0</v>
      </c>
      <c r="K11" s="878"/>
      <c r="L11" s="1084">
        <v>5</v>
      </c>
      <c r="M11" s="1085">
        <f>Grünland!C8</f>
        <v>0</v>
      </c>
      <c r="N11" s="1066">
        <f>Grünland!BW8</f>
        <v>0</v>
      </c>
      <c r="O11" s="1066">
        <f>Grünland!BX8</f>
        <v>0</v>
      </c>
      <c r="P11" s="1066">
        <f>Grünland!BY8</f>
        <v>0</v>
      </c>
      <c r="Q11" s="1086"/>
      <c r="R11" s="1086"/>
      <c r="S11" s="1086"/>
      <c r="U11" s="1064"/>
      <c r="V11" s="1064"/>
      <c r="W11" s="1064">
        <f>IF(Tiere!B8="2 - andere Kälber und Jungrinder unter 1/2 Jahr - Gülle",Tiere!I8,0)</f>
        <v>0</v>
      </c>
      <c r="X11" s="1064">
        <f>IF(Tiere!B8="3 - andere Kälber und Jungrinder unter 1/2 Jahr - Mist/Jauche",Tiere!I8,0)</f>
        <v>0</v>
      </c>
      <c r="Y11" s="1064">
        <f>IF(Tiere!B8="4 - andere Kälber und Jungrinder unter 1/2 Jahr - Tiefstallmist",Tiere!I8,0)</f>
        <v>0</v>
      </c>
      <c r="Z11" s="1064">
        <f>IF(Tiere!B8="5 - Jungvieh 1/2 bis 1 Jahr - Gülle",Tiere!I8,0)</f>
        <v>0</v>
      </c>
      <c r="AA11" s="1064">
        <f>IF(Tiere!B8="6 - Jungvieh 1/2 bis 1 Jahr - Mist/Jauche",Tiere!I8,0)</f>
        <v>0</v>
      </c>
      <c r="AB11" s="1064">
        <f>IF(Tiere!B8="7 - Jungvieh 1/2 bis 1 Jahr - Tiefstallmist",Tiere!I8,0)</f>
        <v>0</v>
      </c>
      <c r="AC11" s="1064">
        <f>IF(Tiere!B8="8 - Jungvieh 1 bis 2 Jahr - Gülle",Tiere!I8,0)</f>
        <v>0</v>
      </c>
      <c r="AD11" s="1064">
        <f>IF(Tiere!B8="9 - Jungvieh 1 bis 2 Jahr - Mist/Jauche",Tiere!I8,0)</f>
        <v>0</v>
      </c>
      <c r="AE11" s="1064">
        <f>IF(Tiere!B8="10 - Jungvieh 1 bis 2 Jahr - Tiefstallmist",Tiere!I8,0)</f>
        <v>0</v>
      </c>
      <c r="AF11" s="1064">
        <f>IF(Tiere!B8="11 - Ochsen, Stiere - Gülle",Tiere!I8,0)</f>
        <v>0</v>
      </c>
      <c r="AG11" s="1064">
        <f>IF(Tiere!B8="12 - Ochsen, Stiere - Mist/Jauche",Tiere!I8,0)</f>
        <v>0</v>
      </c>
      <c r="AH11" s="1366">
        <f>IF(Tiere!B8="13 - Ochsen, Stiere - Tiefstallmist",Tiere!I8,0)</f>
        <v>0</v>
      </c>
      <c r="AI11" s="1064">
        <f>IF(Tiere!B8="14 - Kalbinnen - Gülle",Tiere!I8,0)</f>
        <v>0</v>
      </c>
      <c r="AJ11" s="1064">
        <f>IF(Tiere!B8="15 - Kalbinnen - Mist/Jauche",Tiere!I8,0)</f>
        <v>0</v>
      </c>
      <c r="AK11" s="1064">
        <f>IF(Tiere!B8="16 - Kalbinnen - Tiefstallmist",Tiere!I8,0)</f>
        <v>0</v>
      </c>
      <c r="AL11" s="1064">
        <f>IF(Tiere!B8="17 - Milch- bzw. Mutterkühe (3000 kg Milch) - Gülle",Tiere!I8,0)</f>
        <v>0</v>
      </c>
      <c r="AM11" s="1064">
        <f>IF(Tiere!B8="18 - Milch- bzw. Mutterkühe (3000 kg Milch) - Mist/Jauche",Tiere!I8,0)</f>
        <v>0</v>
      </c>
      <c r="AN11" s="1064">
        <f>IF(Tiere!B8="19 - Milch- bzw. Mutterkühe (3000 kg Milch) - Tiefstallmist",Tiere!I8,0)</f>
        <v>0</v>
      </c>
      <c r="AO11" s="1064">
        <f>IF(Tiere!B8="20 - Milch- bzw. Ammenkühe (4000 kg Milch) - Gülle",Tiere!I8,0)</f>
        <v>0</v>
      </c>
      <c r="AP11" s="1064">
        <f>IF(Tiere!B8="21 - Milch- bzw. Ammenkühe (4000 kg Milch) - Mist/Jauche",Tiere!I8,0)</f>
        <v>0</v>
      </c>
      <c r="AQ11" s="1064">
        <f>IF(Tiere!B8="22 - Milch- bzw. Ammenkühe (4000 kg Milch) - Tiefstallmist",Tiere!I8,0)</f>
        <v>0</v>
      </c>
      <c r="AR11" s="1064">
        <f>IF(Tiere!B8="23 - Milchkühe (5000 kg Milch) - Gülle",Tiere!I8,0)</f>
        <v>0</v>
      </c>
      <c r="AS11" s="1064">
        <f>IF(Tiere!B8="24 - Milchkühe (5000 kg Milch) -Mist/Jauche",Tiere!I8,0)</f>
        <v>0</v>
      </c>
      <c r="AT11" s="1064">
        <f>IF(Tiere!B8="25 - Milchkühe (5000 kg Milch) - Tiefstallmist",Tiere!I8,0)</f>
        <v>0</v>
      </c>
      <c r="AU11" s="1064">
        <f>IF(Tiere!B8="26 - Milchkühe (6000 kg Milch) - Gülle",Tiere!I8,0)</f>
        <v>0</v>
      </c>
      <c r="AV11" s="1064">
        <f>IF(Tiere!B8="27 - Milchkühe (6000 kg Milch) - Mist/Jauche",Tiere!I8,0)</f>
        <v>0</v>
      </c>
      <c r="AW11" s="1064">
        <f>IF(Tiere!B8="28 - Milchkühe (6000 kg Milch) - Tiefstallmist",Tiere!I8,0)</f>
        <v>0</v>
      </c>
      <c r="AX11" s="1064">
        <f>IF(Tiere!B8="29 - Milchkühe (7000 kg Milch) - Gülle",Tiere!I8,0)</f>
        <v>0</v>
      </c>
      <c r="AY11" s="1064">
        <f>IF(Tiere!B8="30 - Milchkühe (7000 kg Milch) - Mist/Jauche",Tiere!I8,0)</f>
        <v>0</v>
      </c>
      <c r="AZ11" s="1064">
        <f>IF(Tiere!B8="31 - Milchkühe (7000 kg Milch) - Tiefstallmist",Tiere!I8,0)</f>
        <v>0</v>
      </c>
      <c r="BA11" s="1064">
        <f>IF(Tiere!B8="32 - Milchkühe (8000 kg Milch) - Gülle",Tiere!I8,0)</f>
        <v>0</v>
      </c>
      <c r="BB11" s="1064">
        <f>IF(Tiere!B8="33 - Milchkühe (8000 kg Milch) - Mist/Jauche",Tiere!I8,0)</f>
        <v>0</v>
      </c>
      <c r="BC11" s="1064">
        <f>IF(Tiere!B8="34 - Milchkühe (8000 kg Milch) - Tiefstallmist",Tiere!I8,0)</f>
        <v>0</v>
      </c>
      <c r="BD11" s="1064">
        <f>IF(Tiere!B8="35 - Milchkühe (9000 kg Milch) - Gülle",Tiere!I8,0)</f>
        <v>0</v>
      </c>
      <c r="BE11" s="1064">
        <f>IF(Tiere!B8="36 - Milchkühe (9000 kg Milch) - Mist/Jauche",Tiere!I8,0)</f>
        <v>0</v>
      </c>
      <c r="BF11" s="1064">
        <f>IF(Tiere!B8="37 - Milchkühe (9000 kg Milch) - Tiefstallmist",Tiere!I8,0)</f>
        <v>0</v>
      </c>
      <c r="BG11" s="1064">
        <f>IF(Tiere!B8="38 - Milchkühe (&lt; 10.000 kg Milch) - Gülle",Tiere!I8,0)</f>
        <v>0</v>
      </c>
      <c r="BH11" s="1064">
        <f>IF(Tiere!B8="39 - Milchkühe (&lt; 10.000 kg Milch) - Mist/Jauche",Tiere!I8,0)</f>
        <v>0</v>
      </c>
      <c r="BI11" s="1064">
        <f>IF(Tiere!B8="40 - Milchkühe (&lt; 10.000 kg Milch) - Tiefstallmist",Tiere!I8,0)</f>
        <v>0</v>
      </c>
      <c r="BJ11" s="1064"/>
      <c r="BK11" s="1064"/>
      <c r="BL11" s="1064"/>
      <c r="BM11" s="878"/>
      <c r="BN11" s="878"/>
      <c r="BO11" s="878"/>
      <c r="BP11" s="878"/>
      <c r="BQ11" s="878"/>
      <c r="BR11" s="878"/>
      <c r="BS11" s="878"/>
      <c r="BT11" s="878"/>
      <c r="BU11" s="878"/>
      <c r="BV11" s="878"/>
      <c r="BW11" s="878"/>
      <c r="BX11" s="878"/>
      <c r="BY11" s="878"/>
    </row>
    <row r="12" spans="1:77" ht="12.75" customHeight="1">
      <c r="A12" s="1003" t="s">
        <v>1110</v>
      </c>
      <c r="B12" s="1006">
        <f>SUM(AI8:AK22)</f>
        <v>0</v>
      </c>
      <c r="C12" s="1081">
        <f t="shared" si="0"/>
        <v>10</v>
      </c>
      <c r="D12" s="1066">
        <f t="shared" si="2"/>
        <v>0</v>
      </c>
      <c r="E12" s="1082"/>
      <c r="F12" s="1081">
        <v>0.5</v>
      </c>
      <c r="G12" s="1083">
        <v>0.5</v>
      </c>
      <c r="H12" s="1081">
        <f t="shared" si="3"/>
        <v>0</v>
      </c>
      <c r="I12" s="1081">
        <f t="shared" si="1"/>
        <v>0</v>
      </c>
      <c r="K12" s="878"/>
      <c r="L12" s="1084">
        <v>6</v>
      </c>
      <c r="M12" s="1085">
        <f>Grünland!C9</f>
        <v>0</v>
      </c>
      <c r="N12" s="1066">
        <f>Grünland!BW9</f>
        <v>0</v>
      </c>
      <c r="O12" s="1066">
        <f>Grünland!BX9</f>
        <v>0</v>
      </c>
      <c r="P12" s="1066">
        <f>Grünland!BY9</f>
        <v>0</v>
      </c>
      <c r="Q12" s="1086"/>
      <c r="R12" s="1086"/>
      <c r="S12" s="1086"/>
      <c r="U12" s="1064"/>
      <c r="V12" s="1064"/>
      <c r="W12" s="1064">
        <f>IF(Tiere!B9="2 - andere Kälber und Jungrinder unter 1/2 Jahr - Gülle",Tiere!I9,0)</f>
        <v>0</v>
      </c>
      <c r="X12" s="1064">
        <f>IF(Tiere!B9="3 - andere Kälber und Jungrinder unter 1/2 Jahr - Mist/Jauche",Tiere!I9,0)</f>
        <v>0</v>
      </c>
      <c r="Y12" s="1064">
        <f>IF(Tiere!B9="4 - andere Kälber und Jungrinder unter 1/2 Jahr - Tiefstallmist",Tiere!I9,0)</f>
        <v>0</v>
      </c>
      <c r="Z12" s="1064">
        <f>IF(Tiere!B9="5 - Jungvieh 1/2 bis 1 Jahr - Gülle",Tiere!I9,0)</f>
        <v>0</v>
      </c>
      <c r="AA12" s="1064">
        <f>IF(Tiere!B9="6 - Jungvieh 1/2 bis 1 Jahr - Mist/Jauche",Tiere!I9,0)</f>
        <v>0</v>
      </c>
      <c r="AB12" s="1064">
        <f>IF(Tiere!B9="7 - Jungvieh 1/2 bis 1 Jahr - Tiefstallmist",Tiere!I9,0)</f>
        <v>0</v>
      </c>
      <c r="AC12" s="1064">
        <f>IF(Tiere!B9="8 - Jungvieh 1 bis 2 Jahr - Gülle",Tiere!I9,0)</f>
        <v>0</v>
      </c>
      <c r="AD12" s="1064">
        <f>IF(Tiere!B9="9 - Jungvieh 1 bis 2 Jahr - Mist/Jauche",Tiere!I9,0)</f>
        <v>0</v>
      </c>
      <c r="AE12" s="1064">
        <f>IF(Tiere!B9="10 - Jungvieh 1 bis 2 Jahr - Tiefstallmist",Tiere!I9,0)</f>
        <v>0</v>
      </c>
      <c r="AF12" s="1064">
        <f>IF(Tiere!B9="11 - Ochsen, Stiere - Gülle",Tiere!I9,0)</f>
        <v>0</v>
      </c>
      <c r="AG12" s="1064">
        <f>IF(Tiere!B9="12 - Ochsen, Stiere - Mist/Jauche",Tiere!I9,0)</f>
        <v>0</v>
      </c>
      <c r="AH12" s="1366">
        <f>IF(Tiere!B9="13 - Ochsen, Stiere - Tiefstallmist",Tiere!I9,0)</f>
        <v>0</v>
      </c>
      <c r="AI12" s="1064">
        <f>IF(Tiere!B9="14 - Kalbinnen - Gülle",Tiere!I9,0)</f>
        <v>0</v>
      </c>
      <c r="AJ12" s="1064">
        <f>IF(Tiere!B9="15 - Kalbinnen - Mist/Jauche",Tiere!I9,0)</f>
        <v>0</v>
      </c>
      <c r="AK12" s="1064">
        <f>IF(Tiere!B9="16 - Kalbinnen - Tiefstallmist",Tiere!I9,0)</f>
        <v>0</v>
      </c>
      <c r="AL12" s="1064">
        <f>IF(Tiere!B9="17 - Milch- bzw. Mutterkühe (3000 kg Milch) - Gülle",Tiere!I9,0)</f>
        <v>0</v>
      </c>
      <c r="AM12" s="1064">
        <f>IF(Tiere!B9="18 - Milch- bzw. Mutterkühe (3000 kg Milch) - Mist/Jauche",Tiere!I9,0)</f>
        <v>0</v>
      </c>
      <c r="AN12" s="1064">
        <f>IF(Tiere!B9="19 - Milch- bzw. Mutterkühe (3000 kg Milch) - Tiefstallmist",Tiere!I9,0)</f>
        <v>0</v>
      </c>
      <c r="AO12" s="1064">
        <f>IF(Tiere!B9="20 - Milch- bzw. Ammenkühe (4000 kg Milch) - Gülle",Tiere!I9,0)</f>
        <v>0</v>
      </c>
      <c r="AP12" s="1064">
        <f>IF(Tiere!B9="21 - Milch- bzw. Ammenkühe (4000 kg Milch) - Mist/Jauche",Tiere!I9,0)</f>
        <v>0</v>
      </c>
      <c r="AQ12" s="1064">
        <f>IF(Tiere!B9="22 - Milch- bzw. Ammenkühe (4000 kg Milch) - Tiefstallmist",Tiere!I9,0)</f>
        <v>0</v>
      </c>
      <c r="AR12" s="1064">
        <f>IF(Tiere!B9="23 - Milchkühe (5000 kg Milch) - Gülle",Tiere!I9,0)</f>
        <v>0</v>
      </c>
      <c r="AS12" s="1064">
        <f>IF(Tiere!B9="24 - Milchkühe (5000 kg Milch) -Mist/Jauche",Tiere!I9,0)</f>
        <v>0</v>
      </c>
      <c r="AT12" s="1064">
        <f>IF(Tiere!B9="25 - Milchkühe (5000 kg Milch) - Tiefstallmist",Tiere!I9,0)</f>
        <v>0</v>
      </c>
      <c r="AU12" s="1064">
        <f>IF(Tiere!B9="26 - Milchkühe (6000 kg Milch) - Gülle",Tiere!I9,0)</f>
        <v>0</v>
      </c>
      <c r="AV12" s="1064">
        <f>IF(Tiere!B9="27 - Milchkühe (6000 kg Milch) - Mist/Jauche",Tiere!I9,0)</f>
        <v>0</v>
      </c>
      <c r="AW12" s="1064">
        <f>IF(Tiere!B9="28 - Milchkühe (6000 kg Milch) - Tiefstallmist",Tiere!I9,0)</f>
        <v>0</v>
      </c>
      <c r="AX12" s="1064">
        <f>IF(Tiere!B9="29 - Milchkühe (7000 kg Milch) - Gülle",Tiere!I9,0)</f>
        <v>0</v>
      </c>
      <c r="AY12" s="1064">
        <f>IF(Tiere!B9="30 - Milchkühe (7000 kg Milch) - Mist/Jauche",Tiere!I9,0)</f>
        <v>0</v>
      </c>
      <c r="AZ12" s="1064">
        <f>IF(Tiere!B9="31 - Milchkühe (7000 kg Milch) - Tiefstallmist",Tiere!I9,0)</f>
        <v>0</v>
      </c>
      <c r="BA12" s="1064">
        <f>IF(Tiere!B9="32 - Milchkühe (8000 kg Milch) - Gülle",Tiere!I9,0)</f>
        <v>0</v>
      </c>
      <c r="BB12" s="1064">
        <f>IF(Tiere!B9="33 - Milchkühe (8000 kg Milch) - Mist/Jauche",Tiere!I9,0)</f>
        <v>0</v>
      </c>
      <c r="BC12" s="1064">
        <f>IF(Tiere!B9="34 - Milchkühe (8000 kg Milch) - Tiefstallmist",Tiere!I9,0)</f>
        <v>0</v>
      </c>
      <c r="BD12" s="1064">
        <f>IF(Tiere!B9="35 - Milchkühe (9000 kg Milch) - Gülle",Tiere!I9,0)</f>
        <v>0</v>
      </c>
      <c r="BE12" s="1064">
        <f>IF(Tiere!B9="36 - Milchkühe (9000 kg Milch) - Mist/Jauche",Tiere!I9,0)</f>
        <v>0</v>
      </c>
      <c r="BF12" s="1064">
        <f>IF(Tiere!B9="37 - Milchkühe (9000 kg Milch) - Tiefstallmist",Tiere!I9,0)</f>
        <v>0</v>
      </c>
      <c r="BG12" s="1064">
        <f>IF(Tiere!B9="38 - Milchkühe (&lt; 10.000 kg Milch) - Gülle",Tiere!I9,0)</f>
        <v>0</v>
      </c>
      <c r="BH12" s="1064">
        <f>IF(Tiere!B9="39 - Milchkühe (&lt; 10.000 kg Milch) - Mist/Jauche",Tiere!I9,0)</f>
        <v>0</v>
      </c>
      <c r="BI12" s="1064">
        <f>IF(Tiere!B9="40 - Milchkühe (&lt; 10.000 kg Milch) - Tiefstallmist",Tiere!I9,0)</f>
        <v>0</v>
      </c>
      <c r="BJ12" s="1064"/>
      <c r="BK12" s="1064"/>
      <c r="BL12" s="1064"/>
      <c r="BM12" s="878"/>
      <c r="BN12" s="878"/>
      <c r="BO12" s="878"/>
      <c r="BP12" s="878"/>
      <c r="BQ12" s="878"/>
      <c r="BR12" s="878"/>
      <c r="BS12" s="878"/>
      <c r="BT12" s="878"/>
      <c r="BU12" s="878"/>
      <c r="BV12" s="878"/>
      <c r="BW12" s="878"/>
      <c r="BX12" s="878"/>
      <c r="BY12" s="878"/>
    </row>
    <row r="13" spans="1:77" ht="12.75" customHeight="1">
      <c r="A13" s="1003" t="s">
        <v>1111</v>
      </c>
      <c r="B13" s="1006">
        <f>SUM(AL8:AN22)*0.83</f>
        <v>0</v>
      </c>
      <c r="C13" s="1081">
        <f t="shared" si="0"/>
        <v>14.5</v>
      </c>
      <c r="D13" s="1066">
        <f t="shared" si="2"/>
        <v>0</v>
      </c>
      <c r="E13" s="1082"/>
      <c r="F13" s="1081">
        <v>0.4</v>
      </c>
      <c r="G13" s="1083">
        <v>0.6</v>
      </c>
      <c r="H13" s="1081">
        <f t="shared" si="3"/>
        <v>0</v>
      </c>
      <c r="I13" s="1081">
        <f t="shared" si="1"/>
        <v>0</v>
      </c>
      <c r="K13" s="878"/>
      <c r="L13" s="1084">
        <v>7</v>
      </c>
      <c r="M13" s="1085">
        <f>Grünland!C10</f>
        <v>0</v>
      </c>
      <c r="N13" s="1066">
        <f>Grünland!BW10</f>
        <v>0</v>
      </c>
      <c r="O13" s="1066">
        <f>Grünland!BX10</f>
        <v>0</v>
      </c>
      <c r="P13" s="1066">
        <f>Grünland!BY10</f>
        <v>0</v>
      </c>
      <c r="Q13" s="1086"/>
      <c r="R13" s="1086"/>
      <c r="S13" s="1086"/>
      <c r="U13" s="1064"/>
      <c r="V13" s="1064"/>
      <c r="W13" s="1064">
        <f>IF(Tiere!B10="2 - andere Kälber und Jungrinder unter 1/2 Jahr - Gülle",Tiere!I10,0)</f>
        <v>0</v>
      </c>
      <c r="X13" s="1064">
        <f>IF(Tiere!B10="3 - andere Kälber und Jungrinder unter 1/2 Jahr - Mist/Jauche",Tiere!I10,0)</f>
        <v>0</v>
      </c>
      <c r="Y13" s="1064">
        <f>IF(Tiere!B10="4 - andere Kälber und Jungrinder unter 1/2 Jahr - Tiefstallmist",Tiere!I10,0)</f>
        <v>0</v>
      </c>
      <c r="Z13" s="1064">
        <f>IF(Tiere!B10="5 - Jungvieh 1/2 bis 1 Jahr - Gülle",Tiere!I10,0)</f>
        <v>0</v>
      </c>
      <c r="AA13" s="1064">
        <f>IF(Tiere!B10="6 - Jungvieh 1/2 bis 1 Jahr - Mist/Jauche",Tiere!I10,0)</f>
        <v>0</v>
      </c>
      <c r="AB13" s="1064">
        <f>IF(Tiere!B10="7 - Jungvieh 1/2 bis 1 Jahr - Tiefstallmist",Tiere!I10,0)</f>
        <v>0</v>
      </c>
      <c r="AC13" s="1064">
        <f>IF(Tiere!B10="8 - Jungvieh 1 bis 2 Jahr - Gülle",Tiere!I10,0)</f>
        <v>0</v>
      </c>
      <c r="AD13" s="1064">
        <f>IF(Tiere!B10="9 - Jungvieh 1 bis 2 Jahr - Mist/Jauche",Tiere!I10,0)</f>
        <v>0</v>
      </c>
      <c r="AE13" s="1064">
        <f>IF(Tiere!B10="10 - Jungvieh 1 bis 2 Jahr - Tiefstallmist",Tiere!I10,0)</f>
        <v>0</v>
      </c>
      <c r="AF13" s="1064">
        <f>IF(Tiere!B10="11 - Ochsen, Stiere - Gülle",Tiere!I10,0)</f>
        <v>0</v>
      </c>
      <c r="AG13" s="1064">
        <f>IF(Tiere!B10="12 - Ochsen, Stiere - Mist/Jauche",Tiere!I10,0)</f>
        <v>0</v>
      </c>
      <c r="AH13" s="1366">
        <f>IF(Tiere!B10="13 - Ochsen, Stiere - Tiefstallmist",Tiere!I10,0)</f>
        <v>0</v>
      </c>
      <c r="AI13" s="1064">
        <f>IF(Tiere!B10="14 - Kalbinnen - Gülle",Tiere!I10,0)</f>
        <v>0</v>
      </c>
      <c r="AJ13" s="1064">
        <f>IF(Tiere!B10="15 - Kalbinnen - Mist/Jauche",Tiere!I10,0)</f>
        <v>0</v>
      </c>
      <c r="AK13" s="1064">
        <f>IF(Tiere!B10="16 - Kalbinnen - Tiefstallmist",Tiere!I10,0)</f>
        <v>0</v>
      </c>
      <c r="AL13" s="1064">
        <f>IF(Tiere!B10="17 - Milch- bzw. Mutterkühe (3000 kg Milch) - Gülle",Tiere!I10,0)</f>
        <v>0</v>
      </c>
      <c r="AM13" s="1064">
        <f>IF(Tiere!B10="18 - Milch- bzw. Mutterkühe (3000 kg Milch) - Mist/Jauche",Tiere!I10,0)</f>
        <v>0</v>
      </c>
      <c r="AN13" s="1064">
        <f>IF(Tiere!B10="19 - Milch- bzw. Mutterkühe (3000 kg Milch) - Tiefstallmist",Tiere!I10,0)</f>
        <v>0</v>
      </c>
      <c r="AO13" s="1064">
        <f>IF(Tiere!B10="20 - Milch- bzw. Ammenkühe (4000 kg Milch) - Gülle",Tiere!I10,0)</f>
        <v>0</v>
      </c>
      <c r="AP13" s="1064">
        <f>IF(Tiere!B10="21 - Milch- bzw. Ammenkühe (4000 kg Milch) - Mist/Jauche",Tiere!I10,0)</f>
        <v>0</v>
      </c>
      <c r="AQ13" s="1064">
        <f>IF(Tiere!B10="22 - Milch- bzw. Ammenkühe (4000 kg Milch) - Tiefstallmist",Tiere!I10,0)</f>
        <v>0</v>
      </c>
      <c r="AR13" s="1064">
        <f>IF(Tiere!B10="23 - Milchkühe (5000 kg Milch) - Gülle",Tiere!I10,0)</f>
        <v>0</v>
      </c>
      <c r="AS13" s="1064">
        <f>IF(Tiere!B10="24 - Milchkühe (5000 kg Milch) -Mist/Jauche",Tiere!I10,0)</f>
        <v>0</v>
      </c>
      <c r="AT13" s="1064">
        <f>IF(Tiere!B10="25 - Milchkühe (5000 kg Milch) - Tiefstallmist",Tiere!I10,0)</f>
        <v>0</v>
      </c>
      <c r="AU13" s="1064">
        <f>IF(Tiere!B10="26 - Milchkühe (6000 kg Milch) - Gülle",Tiere!I10,0)</f>
        <v>0</v>
      </c>
      <c r="AV13" s="1064">
        <f>IF(Tiere!B10="27 - Milchkühe (6000 kg Milch) - Mist/Jauche",Tiere!I10,0)</f>
        <v>0</v>
      </c>
      <c r="AW13" s="1064">
        <f>IF(Tiere!B10="28 - Milchkühe (6000 kg Milch) - Tiefstallmist",Tiere!I10,0)</f>
        <v>0</v>
      </c>
      <c r="AX13" s="1064">
        <f>IF(Tiere!B10="29 - Milchkühe (7000 kg Milch) - Gülle",Tiere!I10,0)</f>
        <v>0</v>
      </c>
      <c r="AY13" s="1064">
        <f>IF(Tiere!B10="30 - Milchkühe (7000 kg Milch) - Mist/Jauche",Tiere!I10,0)</f>
        <v>0</v>
      </c>
      <c r="AZ13" s="1064">
        <f>IF(Tiere!B10="31 - Milchkühe (7000 kg Milch) - Tiefstallmist",Tiere!I10,0)</f>
        <v>0</v>
      </c>
      <c r="BA13" s="1064">
        <f>IF(Tiere!B10="32 - Milchkühe (8000 kg Milch) - Gülle",Tiere!I10,0)</f>
        <v>0</v>
      </c>
      <c r="BB13" s="1064">
        <f>IF(Tiere!B10="33 - Milchkühe (8000 kg Milch) - Mist/Jauche",Tiere!I10,0)</f>
        <v>0</v>
      </c>
      <c r="BC13" s="1064">
        <f>IF(Tiere!B10="34 - Milchkühe (8000 kg Milch) - Tiefstallmist",Tiere!I10,0)</f>
        <v>0</v>
      </c>
      <c r="BD13" s="1064">
        <f>IF(Tiere!B10="35 - Milchkühe (9000 kg Milch) - Gülle",Tiere!I10,0)</f>
        <v>0</v>
      </c>
      <c r="BE13" s="1064">
        <f>IF(Tiere!B10="36 - Milchkühe (9000 kg Milch) - Mist/Jauche",Tiere!I10,0)</f>
        <v>0</v>
      </c>
      <c r="BF13" s="1064">
        <f>IF(Tiere!B10="37 - Milchkühe (9000 kg Milch) - Tiefstallmist",Tiere!I10,0)</f>
        <v>0</v>
      </c>
      <c r="BG13" s="1064">
        <f>IF(Tiere!B10="38 - Milchkühe (&lt; 10.000 kg Milch) - Gülle",Tiere!I10,0)</f>
        <v>0</v>
      </c>
      <c r="BH13" s="1064">
        <f>IF(Tiere!B10="39 - Milchkühe (&lt; 10.000 kg Milch) - Mist/Jauche",Tiere!I10,0)</f>
        <v>0</v>
      </c>
      <c r="BI13" s="1064">
        <f>IF(Tiere!B10="40 - Milchkühe (&lt; 10.000 kg Milch) - Tiefstallmist",Tiere!I10,0)</f>
        <v>0</v>
      </c>
      <c r="BJ13" s="1064"/>
      <c r="BK13" s="1064"/>
      <c r="BL13" s="1064"/>
      <c r="BM13" s="878"/>
      <c r="BN13" s="878"/>
      <c r="BO13" s="878"/>
      <c r="BP13" s="878"/>
      <c r="BQ13" s="878"/>
      <c r="BR13" s="878"/>
      <c r="BS13" s="878"/>
      <c r="BT13" s="878"/>
      <c r="BU13" s="878"/>
      <c r="BV13" s="878"/>
      <c r="BW13" s="878"/>
      <c r="BX13" s="878"/>
      <c r="BY13" s="878"/>
    </row>
    <row r="14" spans="1:77" ht="12.75" customHeight="1">
      <c r="A14" s="1003" t="s">
        <v>1112</v>
      </c>
      <c r="B14" s="1006">
        <f>SUM(AO8:AQ22)*0.83</f>
        <v>0</v>
      </c>
      <c r="C14" s="1081">
        <f t="shared" si="0"/>
        <v>14.5</v>
      </c>
      <c r="D14" s="1066">
        <f t="shared" si="2"/>
        <v>0</v>
      </c>
      <c r="E14" s="1082"/>
      <c r="F14" s="1081">
        <v>0.3</v>
      </c>
      <c r="G14" s="1083">
        <v>0.7</v>
      </c>
      <c r="H14" s="1081">
        <f t="shared" si="3"/>
        <v>0</v>
      </c>
      <c r="I14" s="1081">
        <f t="shared" si="1"/>
        <v>0</v>
      </c>
      <c r="K14" s="878"/>
      <c r="L14" s="1084">
        <v>8</v>
      </c>
      <c r="M14" s="1085">
        <f>Grünland!C11</f>
        <v>0</v>
      </c>
      <c r="N14" s="1066">
        <f>Grünland!BW11</f>
        <v>0</v>
      </c>
      <c r="O14" s="1066">
        <f>Grünland!BX11</f>
        <v>0</v>
      </c>
      <c r="P14" s="1066">
        <f>Grünland!BY11</f>
        <v>0</v>
      </c>
      <c r="Q14" s="1086"/>
      <c r="R14" s="1086"/>
      <c r="S14" s="1086"/>
      <c r="U14" s="1064"/>
      <c r="V14" s="1064"/>
      <c r="W14" s="1064">
        <f>IF(Tiere!B11="2 - andere Kälber und Jungrinder unter 1/2 Jahr - Gülle",Tiere!I11,0)</f>
        <v>0</v>
      </c>
      <c r="X14" s="1064">
        <f>IF(Tiere!B11="3 - andere Kälber und Jungrinder unter 1/2 Jahr - Mist/Jauche",Tiere!I11,0)</f>
        <v>0</v>
      </c>
      <c r="Y14" s="1064">
        <f>IF(Tiere!B11="4 - andere Kälber und Jungrinder unter 1/2 Jahr - Tiefstallmist",Tiere!I11,0)</f>
        <v>0</v>
      </c>
      <c r="Z14" s="1064">
        <f>IF(Tiere!B11="5 - Jungvieh 1/2 bis 1 Jahr - Gülle",Tiere!I11,0)</f>
        <v>0</v>
      </c>
      <c r="AA14" s="1064">
        <f>IF(Tiere!B11="6 - Jungvieh 1/2 bis 1 Jahr - Mist/Jauche",Tiere!I11,0)</f>
        <v>0</v>
      </c>
      <c r="AB14" s="1064">
        <f>IF(Tiere!B11="7 - Jungvieh 1/2 bis 1 Jahr - Tiefstallmist",Tiere!I11,0)</f>
        <v>0</v>
      </c>
      <c r="AC14" s="1064">
        <f>IF(Tiere!B11="8 - Jungvieh 1 bis 2 Jahr - Gülle",Tiere!I11,0)</f>
        <v>0</v>
      </c>
      <c r="AD14" s="1064">
        <f>IF(Tiere!B11="9 - Jungvieh 1 bis 2 Jahr - Mist/Jauche",Tiere!I11,0)</f>
        <v>0</v>
      </c>
      <c r="AE14" s="1064">
        <f>IF(Tiere!B11="10 - Jungvieh 1 bis 2 Jahr - Tiefstallmist",Tiere!I11,0)</f>
        <v>0</v>
      </c>
      <c r="AF14" s="1064">
        <f>IF(Tiere!B11="11 - Ochsen, Stiere - Gülle",Tiere!I11,0)</f>
        <v>0</v>
      </c>
      <c r="AG14" s="1064">
        <f>IF(Tiere!B11="12 - Ochsen, Stiere - Mist/Jauche",Tiere!I11,0)</f>
        <v>0</v>
      </c>
      <c r="AH14" s="1366">
        <f>IF(Tiere!B11="13 - Ochsen, Stiere - Tiefstallmist",Tiere!I11,0)</f>
        <v>0</v>
      </c>
      <c r="AI14" s="1064">
        <f>IF(Tiere!B11="14 - Kalbinnen - Gülle",Tiere!I11,0)</f>
        <v>0</v>
      </c>
      <c r="AJ14" s="1064">
        <f>IF(Tiere!B11="15 - Kalbinnen - Mist/Jauche",Tiere!I11,0)</f>
        <v>0</v>
      </c>
      <c r="AK14" s="1064">
        <f>IF(Tiere!B11="16 - Kalbinnen - Tiefstallmist",Tiere!I11,0)</f>
        <v>0</v>
      </c>
      <c r="AL14" s="1064">
        <f>IF(Tiere!B11="17 - Milch- bzw. Mutterkühe (3000 kg Milch) - Gülle",Tiere!I11,0)</f>
        <v>0</v>
      </c>
      <c r="AM14" s="1064">
        <f>IF(Tiere!B11="18 - Milch- bzw. Mutterkühe (3000 kg Milch) - Mist/Jauche",Tiere!I11,0)</f>
        <v>0</v>
      </c>
      <c r="AN14" s="1064">
        <f>IF(Tiere!B11="19 - Milch- bzw. Mutterkühe (3000 kg Milch) - Tiefstallmist",Tiere!I11,0)</f>
        <v>0</v>
      </c>
      <c r="AO14" s="1064">
        <f>IF(Tiere!B11="20 - Milch- bzw. Ammenkühe (4000 kg Milch) - Gülle",Tiere!I11,0)</f>
        <v>0</v>
      </c>
      <c r="AP14" s="1064">
        <f>IF(Tiere!B11="21 - Milch- bzw. Ammenkühe (4000 kg Milch) - Mist/Jauche",Tiere!I11,0)</f>
        <v>0</v>
      </c>
      <c r="AQ14" s="1064">
        <f>IF(Tiere!B11="22 - Milch- bzw. Ammenkühe (4000 kg Milch) - Tiefstallmist",Tiere!I11,0)</f>
        <v>0</v>
      </c>
      <c r="AR14" s="1064">
        <f>IF(Tiere!B11="23 - Milchkühe (5000 kg Milch) - Gülle",Tiere!I11,0)</f>
        <v>0</v>
      </c>
      <c r="AS14" s="1064">
        <f>IF(Tiere!B11="24 - Milchkühe (5000 kg Milch) -Mist/Jauche",Tiere!I11,0)</f>
        <v>0</v>
      </c>
      <c r="AT14" s="1064">
        <f>IF(Tiere!B11="25 - Milchkühe (5000 kg Milch) - Tiefstallmist",Tiere!I11,0)</f>
        <v>0</v>
      </c>
      <c r="AU14" s="1064">
        <f>IF(Tiere!B11="26 - Milchkühe (6000 kg Milch) - Gülle",Tiere!I11,0)</f>
        <v>0</v>
      </c>
      <c r="AV14" s="1064">
        <f>IF(Tiere!B11="27 - Milchkühe (6000 kg Milch) - Mist/Jauche",Tiere!I11,0)</f>
        <v>0</v>
      </c>
      <c r="AW14" s="1064">
        <f>IF(Tiere!B11="28 - Milchkühe (6000 kg Milch) - Tiefstallmist",Tiere!I11,0)</f>
        <v>0</v>
      </c>
      <c r="AX14" s="1064">
        <f>IF(Tiere!B11="29 - Milchkühe (7000 kg Milch) - Gülle",Tiere!I11,0)</f>
        <v>0</v>
      </c>
      <c r="AY14" s="1064">
        <f>IF(Tiere!B11="30 - Milchkühe (7000 kg Milch) - Mist/Jauche",Tiere!I11,0)</f>
        <v>0</v>
      </c>
      <c r="AZ14" s="1064">
        <f>IF(Tiere!B11="31 - Milchkühe (7000 kg Milch) - Tiefstallmist",Tiere!I11,0)</f>
        <v>0</v>
      </c>
      <c r="BA14" s="1064">
        <f>IF(Tiere!B11="32 - Milchkühe (8000 kg Milch) - Gülle",Tiere!I11,0)</f>
        <v>0</v>
      </c>
      <c r="BB14" s="1064">
        <f>IF(Tiere!B11="33 - Milchkühe (8000 kg Milch) - Mist/Jauche",Tiere!I11,0)</f>
        <v>0</v>
      </c>
      <c r="BC14" s="1064">
        <f>IF(Tiere!B11="34 - Milchkühe (8000 kg Milch) - Tiefstallmist",Tiere!I11,0)</f>
        <v>0</v>
      </c>
      <c r="BD14" s="1064">
        <f>IF(Tiere!B11="35 - Milchkühe (9000 kg Milch) - Gülle",Tiere!I11,0)</f>
        <v>0</v>
      </c>
      <c r="BE14" s="1064">
        <f>IF(Tiere!B11="36 - Milchkühe (9000 kg Milch) - Mist/Jauche",Tiere!I11,0)</f>
        <v>0</v>
      </c>
      <c r="BF14" s="1064">
        <f>IF(Tiere!B11="37 - Milchkühe (9000 kg Milch) - Tiefstallmist",Tiere!I11,0)</f>
        <v>0</v>
      </c>
      <c r="BG14" s="1064">
        <f>IF(Tiere!B11="38 - Milchkühe (&lt; 10.000 kg Milch) - Gülle",Tiere!I11,0)</f>
        <v>0</v>
      </c>
      <c r="BH14" s="1064">
        <f>IF(Tiere!B11="39 - Milchkühe (&lt; 10.000 kg Milch) - Mist/Jauche",Tiere!I11,0)</f>
        <v>0</v>
      </c>
      <c r="BI14" s="1064">
        <f>IF(Tiere!B11="40 - Milchkühe (&lt; 10.000 kg Milch) - Tiefstallmist",Tiere!I11,0)</f>
        <v>0</v>
      </c>
      <c r="BJ14" s="1064"/>
      <c r="BK14" s="1064"/>
      <c r="BL14" s="1064"/>
      <c r="BM14" s="878"/>
      <c r="BN14" s="878"/>
      <c r="BO14" s="878"/>
      <c r="BP14" s="878"/>
      <c r="BQ14" s="878"/>
      <c r="BR14" s="878"/>
      <c r="BS14" s="878"/>
      <c r="BT14" s="878"/>
      <c r="BU14" s="878"/>
      <c r="BV14" s="878"/>
      <c r="BW14" s="878"/>
      <c r="BX14" s="878"/>
      <c r="BY14" s="878"/>
    </row>
    <row r="15" spans="1:77" ht="12.75" customHeight="1">
      <c r="A15" s="1003"/>
      <c r="B15" s="1006"/>
      <c r="C15" s="1081"/>
      <c r="D15" s="1066"/>
      <c r="E15" s="1082"/>
      <c r="F15" s="1081"/>
      <c r="G15" s="1083"/>
      <c r="H15" s="1081"/>
      <c r="I15" s="1081"/>
      <c r="K15" s="878"/>
      <c r="L15" s="1084">
        <v>9</v>
      </c>
      <c r="M15" s="1085">
        <f>Grünland!C12</f>
        <v>0</v>
      </c>
      <c r="N15" s="1066">
        <f>Grünland!BW12</f>
        <v>0</v>
      </c>
      <c r="O15" s="1066">
        <f>Grünland!BX12</f>
        <v>0</v>
      </c>
      <c r="P15" s="1066">
        <f>Grünland!BY12</f>
        <v>0</v>
      </c>
      <c r="Q15" s="1086"/>
      <c r="R15" s="1086"/>
      <c r="S15" s="1086"/>
      <c r="U15" s="1064"/>
      <c r="V15" s="1064"/>
      <c r="W15" s="1064">
        <f>IF(Tiere!B12="2 - andere Kälber und Jungrinder unter 1/2 Jahr - Gülle",Tiere!I12,0)</f>
        <v>0</v>
      </c>
      <c r="X15" s="1064">
        <f>IF(Tiere!B12="3 - andere Kälber und Jungrinder unter 1/2 Jahr - Mist/Jauche",Tiere!I12,0)</f>
        <v>0</v>
      </c>
      <c r="Y15" s="1064">
        <f>IF(Tiere!B12="4 - andere Kälber und Jungrinder unter 1/2 Jahr - Tiefstallmist",Tiere!I12,0)</f>
        <v>0</v>
      </c>
      <c r="Z15" s="1064">
        <f>IF(Tiere!B12="5 - Jungvieh 1/2 bis 1 Jahr - Gülle",Tiere!I12,0)</f>
        <v>0</v>
      </c>
      <c r="AA15" s="1064">
        <f>IF(Tiere!B12="6 - Jungvieh 1/2 bis 1 Jahr - Mist/Jauche",Tiere!I12,0)</f>
        <v>0</v>
      </c>
      <c r="AB15" s="1064">
        <f>IF(Tiere!B12="7 - Jungvieh 1/2 bis 1 Jahr - Tiefstallmist",Tiere!I12,0)</f>
        <v>0</v>
      </c>
      <c r="AC15" s="1064">
        <f>IF(Tiere!B12="8 - Jungvieh 1 bis 2 Jahr - Gülle",Tiere!I12,0)</f>
        <v>0</v>
      </c>
      <c r="AD15" s="1064">
        <f>IF(Tiere!B12="9 - Jungvieh 1 bis 2 Jahr - Mist/Jauche",Tiere!I12,0)</f>
        <v>0</v>
      </c>
      <c r="AE15" s="1064">
        <f>IF(Tiere!B12="10 - Jungvieh 1 bis 2 Jahr - Tiefstallmist",Tiere!I12,0)</f>
        <v>0</v>
      </c>
      <c r="AF15" s="1064">
        <f>IF(Tiere!B12="11 - Ochsen, Stiere - Gülle",Tiere!I12,0)</f>
        <v>0</v>
      </c>
      <c r="AG15" s="1064">
        <f>IF(Tiere!B12="12 - Ochsen, Stiere - Mist/Jauche",Tiere!I12,0)</f>
        <v>0</v>
      </c>
      <c r="AH15" s="1366">
        <f>IF(Tiere!B12="13 - Ochsen, Stiere - Tiefstallmist",Tiere!I12,0)</f>
        <v>0</v>
      </c>
      <c r="AI15" s="1064">
        <f>IF(Tiere!B12="14 - Kalbinnen - Gülle",Tiere!I12,0)</f>
        <v>0</v>
      </c>
      <c r="AJ15" s="1064">
        <f>IF(Tiere!B12="15 - Kalbinnen - Mist/Jauche",Tiere!I12,0)</f>
        <v>0</v>
      </c>
      <c r="AK15" s="1064">
        <f>IF(Tiere!B12="16 - Kalbinnen - Tiefstallmist",Tiere!I12,0)</f>
        <v>0</v>
      </c>
      <c r="AL15" s="1064">
        <f>IF(Tiere!B12="17 - Milch- bzw. Mutterkühe (3000 kg Milch) - Gülle",Tiere!I12,0)</f>
        <v>0</v>
      </c>
      <c r="AM15" s="1064">
        <f>IF(Tiere!B12="18 - Milch- bzw. Mutterkühe (3000 kg Milch) - Mist/Jauche",Tiere!I12,0)</f>
        <v>0</v>
      </c>
      <c r="AN15" s="1064">
        <f>IF(Tiere!B12="19 - Milch- bzw. Mutterkühe (3000 kg Milch) - Tiefstallmist",Tiere!I12,0)</f>
        <v>0</v>
      </c>
      <c r="AO15" s="1064">
        <f>IF(Tiere!B12="20 - Milch- bzw. Ammenkühe (4000 kg Milch) - Gülle",Tiere!I12,0)</f>
        <v>0</v>
      </c>
      <c r="AP15" s="1064">
        <f>IF(Tiere!B12="21 - Milch- bzw. Ammenkühe (4000 kg Milch) - Mist/Jauche",Tiere!I12,0)</f>
        <v>0</v>
      </c>
      <c r="AQ15" s="1064">
        <f>IF(Tiere!B12="22 - Milch- bzw. Ammenkühe (4000 kg Milch) - Tiefstallmist",Tiere!I12,0)</f>
        <v>0</v>
      </c>
      <c r="AR15" s="1064">
        <f>IF(Tiere!B12="23 - Milchkühe (5000 kg Milch) - Gülle",Tiere!I12,0)</f>
        <v>0</v>
      </c>
      <c r="AS15" s="1064">
        <f>IF(Tiere!B12="24 - Milchkühe (5000 kg Milch) -Mist/Jauche",Tiere!I12,0)</f>
        <v>0</v>
      </c>
      <c r="AT15" s="1064">
        <f>IF(Tiere!B12="25 - Milchkühe (5000 kg Milch) - Tiefstallmist",Tiere!I12,0)</f>
        <v>0</v>
      </c>
      <c r="AU15" s="1064">
        <f>IF(Tiere!B12="26 - Milchkühe (6000 kg Milch) - Gülle",Tiere!I12,0)</f>
        <v>0</v>
      </c>
      <c r="AV15" s="1064">
        <f>IF(Tiere!B12="27 - Milchkühe (6000 kg Milch) - Mist/Jauche",Tiere!I12,0)</f>
        <v>0</v>
      </c>
      <c r="AW15" s="1064">
        <f>IF(Tiere!B12="28 - Milchkühe (6000 kg Milch) - Tiefstallmist",Tiere!I12,0)</f>
        <v>0</v>
      </c>
      <c r="AX15" s="1064">
        <f>IF(Tiere!B12="29 - Milchkühe (7000 kg Milch) - Gülle",Tiere!I12,0)</f>
        <v>0</v>
      </c>
      <c r="AY15" s="1064">
        <f>IF(Tiere!B12="30 - Milchkühe (7000 kg Milch) - Mist/Jauche",Tiere!I12,0)</f>
        <v>0</v>
      </c>
      <c r="AZ15" s="1064">
        <f>IF(Tiere!B12="31 - Milchkühe (7000 kg Milch) - Tiefstallmist",Tiere!I12,0)</f>
        <v>0</v>
      </c>
      <c r="BA15" s="1064">
        <f>IF(Tiere!B12="32 - Milchkühe (8000 kg Milch) - Gülle",Tiere!I12,0)</f>
        <v>0</v>
      </c>
      <c r="BB15" s="1064">
        <f>IF(Tiere!B12="33 - Milchkühe (8000 kg Milch) - Mist/Jauche",Tiere!I12,0)</f>
        <v>0</v>
      </c>
      <c r="BC15" s="1064">
        <f>IF(Tiere!B12="34 - Milchkühe (8000 kg Milch) - Tiefstallmist",Tiere!I12,0)</f>
        <v>0</v>
      </c>
      <c r="BD15" s="1064">
        <f>IF(Tiere!B12="35 - Milchkühe (9000 kg Milch) - Gülle",Tiere!I12,0)</f>
        <v>0</v>
      </c>
      <c r="BE15" s="1064">
        <f>IF(Tiere!B12="36 - Milchkühe (9000 kg Milch) - Mist/Jauche",Tiere!I12,0)</f>
        <v>0</v>
      </c>
      <c r="BF15" s="1064">
        <f>IF(Tiere!B12="37 - Milchkühe (9000 kg Milch) - Tiefstallmist",Tiere!I12,0)</f>
        <v>0</v>
      </c>
      <c r="BG15" s="1064">
        <f>IF(Tiere!B12="38 - Milchkühe (&lt; 10.000 kg Milch) - Gülle",Tiere!I12,0)</f>
        <v>0</v>
      </c>
      <c r="BH15" s="1064">
        <f>IF(Tiere!B12="39 - Milchkühe (&lt; 10.000 kg Milch) - Mist/Jauche",Tiere!I12,0)</f>
        <v>0</v>
      </c>
      <c r="BI15" s="1064">
        <f>IF(Tiere!B12="40 - Milchkühe (&lt; 10.000 kg Milch) - Tiefstallmist",Tiere!I12,0)</f>
        <v>0</v>
      </c>
      <c r="BJ15" s="1064"/>
      <c r="BK15" s="1064"/>
      <c r="BL15" s="1064"/>
      <c r="BM15" s="878"/>
      <c r="BN15" s="878"/>
      <c r="BO15" s="878"/>
      <c r="BP15" s="878"/>
      <c r="BQ15" s="878"/>
      <c r="BR15" s="878"/>
      <c r="BS15" s="878"/>
      <c r="BT15" s="878"/>
      <c r="BU15" s="878"/>
      <c r="BV15" s="878"/>
      <c r="BW15" s="878"/>
      <c r="BX15" s="878"/>
      <c r="BY15" s="878"/>
    </row>
    <row r="16" spans="1:77" ht="12.75" customHeight="1">
      <c r="A16" s="1003"/>
      <c r="B16" s="1006"/>
      <c r="C16" s="1081"/>
      <c r="D16" s="1066"/>
      <c r="E16" s="1082"/>
      <c r="F16" s="1081"/>
      <c r="G16" s="1083"/>
      <c r="H16" s="1081"/>
      <c r="I16" s="1081"/>
      <c r="K16" s="878"/>
      <c r="L16" s="1084">
        <v>10</v>
      </c>
      <c r="M16" s="1085">
        <f>Grünland!C13</f>
        <v>0</v>
      </c>
      <c r="N16" s="1066">
        <f>Grünland!BW13</f>
        <v>0</v>
      </c>
      <c r="O16" s="1066">
        <f>Grünland!BX13</f>
        <v>0</v>
      </c>
      <c r="P16" s="1066">
        <f>Grünland!BY13</f>
        <v>0</v>
      </c>
      <c r="Q16" s="1086"/>
      <c r="R16" s="1086"/>
      <c r="S16" s="1086"/>
      <c r="U16" s="1064"/>
      <c r="V16" s="1064"/>
      <c r="W16" s="1064">
        <f>IF(Tiere!B13="2 - andere Kälber und Jungrinder unter 1/2 Jahr - Gülle",Tiere!I13,0)</f>
        <v>0</v>
      </c>
      <c r="X16" s="1064">
        <f>IF(Tiere!B13="3 - andere Kälber und Jungrinder unter 1/2 Jahr - Mist/Jauche",Tiere!I13,0)</f>
        <v>0</v>
      </c>
      <c r="Y16" s="1064">
        <f>IF(Tiere!B13="4 - andere Kälber und Jungrinder unter 1/2 Jahr - Tiefstallmist",Tiere!I13,0)</f>
        <v>0</v>
      </c>
      <c r="Z16" s="1064">
        <f>IF(Tiere!B13="5 - Jungvieh 1/2 bis 1 Jahr - Gülle",Tiere!I13,0)</f>
        <v>0</v>
      </c>
      <c r="AA16" s="1064">
        <f>IF(Tiere!B13="6 - Jungvieh 1/2 bis 1 Jahr - Mist/Jauche",Tiere!I13,0)</f>
        <v>0</v>
      </c>
      <c r="AB16" s="1064">
        <f>IF(Tiere!B13="7 - Jungvieh 1/2 bis 1 Jahr - Tiefstallmist",Tiere!I13,0)</f>
        <v>0</v>
      </c>
      <c r="AC16" s="1064">
        <f>IF(Tiere!B13="8 - Jungvieh 1 bis 2 Jahr - Gülle",Tiere!I13,0)</f>
        <v>0</v>
      </c>
      <c r="AD16" s="1064">
        <f>IF(Tiere!B13="9 - Jungvieh 1 bis 2 Jahr - Mist/Jauche",Tiere!I13,0)</f>
        <v>0</v>
      </c>
      <c r="AE16" s="1064">
        <f>IF(Tiere!B13="10 - Jungvieh 1 bis 2 Jahr - Tiefstallmist",Tiere!I13,0)</f>
        <v>0</v>
      </c>
      <c r="AF16" s="1064">
        <f>IF(Tiere!B13="11 - Ochsen, Stiere - Gülle",Tiere!I13,0)</f>
        <v>0</v>
      </c>
      <c r="AG16" s="1064">
        <f>IF(Tiere!B13="12 - Ochsen, Stiere - Mist/Jauche",Tiere!I13,0)</f>
        <v>0</v>
      </c>
      <c r="AH16" s="1366">
        <f>IF(Tiere!B13="13 - Ochsen, Stiere - Tiefstallmist",Tiere!I13,0)</f>
        <v>0</v>
      </c>
      <c r="AI16" s="1064">
        <f>IF(Tiere!B13="14 - Kalbinnen - Gülle",Tiere!I13,0)</f>
        <v>0</v>
      </c>
      <c r="AJ16" s="1064">
        <f>IF(Tiere!B13="15 - Kalbinnen - Mist/Jauche",Tiere!I13,0)</f>
        <v>0</v>
      </c>
      <c r="AK16" s="1064">
        <f>IF(Tiere!B13="16 - Kalbinnen - Tiefstallmist",Tiere!I13,0)</f>
        <v>0</v>
      </c>
      <c r="AL16" s="1064">
        <f>IF(Tiere!B13="17 - Milch- bzw. Mutterkühe (3000 kg Milch) - Gülle",Tiere!I13,0)</f>
        <v>0</v>
      </c>
      <c r="AM16" s="1064">
        <f>IF(Tiere!B13="18 - Milch- bzw. Mutterkühe (3000 kg Milch) - Mist/Jauche",Tiere!I13,0)</f>
        <v>0</v>
      </c>
      <c r="AN16" s="1064">
        <f>IF(Tiere!B13="19 - Milch- bzw. Mutterkühe (3000 kg Milch) - Tiefstallmist",Tiere!I13,0)</f>
        <v>0</v>
      </c>
      <c r="AO16" s="1064">
        <f>IF(Tiere!B13="20 - Milch- bzw. Ammenkühe (4000 kg Milch) - Gülle",Tiere!I13,0)</f>
        <v>0</v>
      </c>
      <c r="AP16" s="1064">
        <f>IF(Tiere!B13="21 - Milch- bzw. Ammenkühe (4000 kg Milch) - Mist/Jauche",Tiere!I13,0)</f>
        <v>0</v>
      </c>
      <c r="AQ16" s="1064">
        <f>IF(Tiere!B13="22 - Milch- bzw. Ammenkühe (4000 kg Milch) - Tiefstallmist",Tiere!I13,0)</f>
        <v>0</v>
      </c>
      <c r="AR16" s="1064">
        <f>IF(Tiere!B13="23 - Milchkühe (5000 kg Milch) - Gülle",Tiere!I13,0)</f>
        <v>0</v>
      </c>
      <c r="AS16" s="1064">
        <f>IF(Tiere!B13="24 - Milchkühe (5000 kg Milch) -Mist/Jauche",Tiere!I13,0)</f>
        <v>0</v>
      </c>
      <c r="AT16" s="1064">
        <f>IF(Tiere!B13="25 - Milchkühe (5000 kg Milch) - Tiefstallmist",Tiere!I13,0)</f>
        <v>0</v>
      </c>
      <c r="AU16" s="1064">
        <f>IF(Tiere!B13="26 - Milchkühe (6000 kg Milch) - Gülle",Tiere!I13,0)</f>
        <v>0</v>
      </c>
      <c r="AV16" s="1064">
        <f>IF(Tiere!B13="27 - Milchkühe (6000 kg Milch) - Mist/Jauche",Tiere!I13,0)</f>
        <v>0</v>
      </c>
      <c r="AW16" s="1064">
        <f>IF(Tiere!B13="28 - Milchkühe (6000 kg Milch) - Tiefstallmist",Tiere!I13,0)</f>
        <v>0</v>
      </c>
      <c r="AX16" s="1064">
        <f>IF(Tiere!B13="29 - Milchkühe (7000 kg Milch) - Gülle",Tiere!I13,0)</f>
        <v>0</v>
      </c>
      <c r="AY16" s="1064">
        <f>IF(Tiere!B13="30 - Milchkühe (7000 kg Milch) - Mist/Jauche",Tiere!I13,0)</f>
        <v>0</v>
      </c>
      <c r="AZ16" s="1064">
        <f>IF(Tiere!B13="31 - Milchkühe (7000 kg Milch) - Tiefstallmist",Tiere!I13,0)</f>
        <v>0</v>
      </c>
      <c r="BA16" s="1064">
        <f>IF(Tiere!B13="32 - Milchkühe (8000 kg Milch) - Gülle",Tiere!I13,0)</f>
        <v>0</v>
      </c>
      <c r="BB16" s="1064">
        <f>IF(Tiere!B13="33 - Milchkühe (8000 kg Milch) - Mist/Jauche",Tiere!I13,0)</f>
        <v>0</v>
      </c>
      <c r="BC16" s="1064">
        <f>IF(Tiere!B13="34 - Milchkühe (8000 kg Milch) - Tiefstallmist",Tiere!I13,0)</f>
        <v>0</v>
      </c>
      <c r="BD16" s="1064">
        <f>IF(Tiere!B13="35 - Milchkühe (9000 kg Milch) - Gülle",Tiere!I13,0)</f>
        <v>0</v>
      </c>
      <c r="BE16" s="1064">
        <f>IF(Tiere!B13="36 - Milchkühe (9000 kg Milch) - Mist/Jauche",Tiere!I13,0)</f>
        <v>0</v>
      </c>
      <c r="BF16" s="1064">
        <f>IF(Tiere!B13="37 - Milchkühe (9000 kg Milch) - Tiefstallmist",Tiere!I13,0)</f>
        <v>0</v>
      </c>
      <c r="BG16" s="1064">
        <f>IF(Tiere!B13="38 - Milchkühe (&lt; 10.000 kg Milch) - Gülle",Tiere!I13,0)</f>
        <v>0</v>
      </c>
      <c r="BH16" s="1064">
        <f>IF(Tiere!B13="39 - Milchkühe (&lt; 10.000 kg Milch) - Mist/Jauche",Tiere!I13,0)</f>
        <v>0</v>
      </c>
      <c r="BI16" s="1064">
        <f>IF(Tiere!B13="40 - Milchkühe (&lt; 10.000 kg Milch) - Tiefstallmist",Tiere!I13,0)</f>
        <v>0</v>
      </c>
      <c r="BJ16" s="1064"/>
      <c r="BK16" s="1064"/>
      <c r="BL16" s="1064"/>
      <c r="BM16" s="878"/>
      <c r="BN16" s="878"/>
      <c r="BO16" s="878"/>
      <c r="BP16" s="878"/>
      <c r="BQ16" s="878"/>
      <c r="BR16" s="878"/>
      <c r="BS16" s="878"/>
      <c r="BT16" s="878"/>
      <c r="BU16" s="878"/>
      <c r="BV16" s="878"/>
      <c r="BW16" s="878"/>
      <c r="BX16" s="878"/>
      <c r="BY16" s="878"/>
    </row>
    <row r="17" spans="1:77" ht="12.75" customHeight="1">
      <c r="A17" s="1003"/>
      <c r="B17" s="1006"/>
      <c r="C17" s="1081"/>
      <c r="D17" s="1066"/>
      <c r="E17" s="1082"/>
      <c r="F17" s="1081"/>
      <c r="G17" s="1083"/>
      <c r="H17" s="1081"/>
      <c r="I17" s="1081"/>
      <c r="K17" s="878"/>
      <c r="L17" s="1084">
        <v>11</v>
      </c>
      <c r="M17" s="1085">
        <f>Grünland!C14</f>
        <v>0</v>
      </c>
      <c r="N17" s="1066">
        <f>Grünland!BW14</f>
        <v>0</v>
      </c>
      <c r="O17" s="1066">
        <f>Grünland!BX14</f>
        <v>0</v>
      </c>
      <c r="P17" s="1066">
        <f>Grünland!BY14</f>
        <v>0</v>
      </c>
      <c r="Q17" s="1086"/>
      <c r="R17" s="1086"/>
      <c r="S17" s="1086"/>
      <c r="U17" s="1064"/>
      <c r="V17" s="1064"/>
      <c r="W17" s="1064">
        <f>IF(Tiere!B14="2 - andere Kälber und Jungrinder unter 1/2 Jahr - Gülle",Tiere!I14,0)</f>
        <v>0</v>
      </c>
      <c r="X17" s="1064">
        <f>IF(Tiere!B14="3 - andere Kälber und Jungrinder unter 1/2 Jahr - Mist/Jauche",Tiere!I14,0)</f>
        <v>0</v>
      </c>
      <c r="Y17" s="1064">
        <f>IF(Tiere!B14="4 - andere Kälber und Jungrinder unter 1/2 Jahr - Tiefstallmist",Tiere!I14,0)</f>
        <v>0</v>
      </c>
      <c r="Z17" s="1064">
        <f>IF(Tiere!B14="5 - Jungvieh 1/2 bis 1 Jahr - Gülle",Tiere!I14,0)</f>
        <v>0</v>
      </c>
      <c r="AA17" s="1064">
        <f>IF(Tiere!B14="6 - Jungvieh 1/2 bis 1 Jahr - Mist/Jauche",Tiere!I14,0)</f>
        <v>0</v>
      </c>
      <c r="AB17" s="1064">
        <f>IF(Tiere!B14="7 - Jungvieh 1/2 bis 1 Jahr - Tiefstallmist",Tiere!I14,0)</f>
        <v>0</v>
      </c>
      <c r="AC17" s="1064">
        <f>IF(Tiere!B14="8 - Jungvieh 1 bis 2 Jahr - Gülle",Tiere!I14,0)</f>
        <v>0</v>
      </c>
      <c r="AD17" s="1064">
        <f>IF(Tiere!B14="9 - Jungvieh 1 bis 2 Jahr - Mist/Jauche",Tiere!I14,0)</f>
        <v>0</v>
      </c>
      <c r="AE17" s="1064">
        <f>IF(Tiere!B14="10 - Jungvieh 1 bis 2 Jahr - Tiefstallmist",Tiere!I14,0)</f>
        <v>0</v>
      </c>
      <c r="AF17" s="1064">
        <f>IF(Tiere!B14="11 - Ochsen, Stiere - Gülle",Tiere!I14,0)</f>
        <v>0</v>
      </c>
      <c r="AG17" s="1064">
        <f>IF(Tiere!B14="12 - Ochsen, Stiere - Mist/Jauche",Tiere!I14,0)</f>
        <v>0</v>
      </c>
      <c r="AH17" s="1366">
        <f>IF(Tiere!B14="13 - Ochsen, Stiere - Tiefstallmist",Tiere!I14,0)</f>
        <v>0</v>
      </c>
      <c r="AI17" s="1064">
        <f>IF(Tiere!B14="14 - Kalbinnen - Gülle",Tiere!I14,0)</f>
        <v>0</v>
      </c>
      <c r="AJ17" s="1064">
        <f>IF(Tiere!B14="15 - Kalbinnen - Mist/Jauche",Tiere!I14,0)</f>
        <v>0</v>
      </c>
      <c r="AK17" s="1064">
        <f>IF(Tiere!B14="16 - Kalbinnen - Tiefstallmist",Tiere!I14,0)</f>
        <v>0</v>
      </c>
      <c r="AL17" s="1064">
        <f>IF(Tiere!B14="17 - Milch- bzw. Mutterkühe (3000 kg Milch) - Gülle",Tiere!I14,0)</f>
        <v>0</v>
      </c>
      <c r="AM17" s="1064">
        <f>IF(Tiere!B14="18 - Milch- bzw. Mutterkühe (3000 kg Milch) - Mist/Jauche",Tiere!I14,0)</f>
        <v>0</v>
      </c>
      <c r="AN17" s="1064">
        <f>IF(Tiere!B14="19 - Milch- bzw. Mutterkühe (3000 kg Milch) - Tiefstallmist",Tiere!I14,0)</f>
        <v>0</v>
      </c>
      <c r="AO17" s="1064">
        <f>IF(Tiere!B14="20 - Milch- bzw. Ammenkühe (4000 kg Milch) - Gülle",Tiere!I14,0)</f>
        <v>0</v>
      </c>
      <c r="AP17" s="1064">
        <f>IF(Tiere!B14="21 - Milch- bzw. Ammenkühe (4000 kg Milch) - Mist/Jauche",Tiere!I14,0)</f>
        <v>0</v>
      </c>
      <c r="AQ17" s="1064">
        <f>IF(Tiere!B14="22 - Milch- bzw. Ammenkühe (4000 kg Milch) - Tiefstallmist",Tiere!I14,0)</f>
        <v>0</v>
      </c>
      <c r="AR17" s="1064">
        <f>IF(Tiere!B14="23 - Milchkühe (5000 kg Milch) - Gülle",Tiere!I14,0)</f>
        <v>0</v>
      </c>
      <c r="AS17" s="1064">
        <f>IF(Tiere!B14="24 - Milchkühe (5000 kg Milch) -Mist/Jauche",Tiere!I14,0)</f>
        <v>0</v>
      </c>
      <c r="AT17" s="1064">
        <f>IF(Tiere!B14="25 - Milchkühe (5000 kg Milch) - Tiefstallmist",Tiere!I14,0)</f>
        <v>0</v>
      </c>
      <c r="AU17" s="1064">
        <f>IF(Tiere!B14="26 - Milchkühe (6000 kg Milch) - Gülle",Tiere!I14,0)</f>
        <v>0</v>
      </c>
      <c r="AV17" s="1064">
        <f>IF(Tiere!B14="27 - Milchkühe (6000 kg Milch) - Mist/Jauche",Tiere!I14,0)</f>
        <v>0</v>
      </c>
      <c r="AW17" s="1064">
        <f>IF(Tiere!B14="28 - Milchkühe (6000 kg Milch) - Tiefstallmist",Tiere!I14,0)</f>
        <v>0</v>
      </c>
      <c r="AX17" s="1064">
        <f>IF(Tiere!B14="29 - Milchkühe (7000 kg Milch) - Gülle",Tiere!I14,0)</f>
        <v>0</v>
      </c>
      <c r="AY17" s="1064">
        <f>IF(Tiere!B14="30 - Milchkühe (7000 kg Milch) - Mist/Jauche",Tiere!I14,0)</f>
        <v>0</v>
      </c>
      <c r="AZ17" s="1064">
        <f>IF(Tiere!B14="31 - Milchkühe (7000 kg Milch) - Tiefstallmist",Tiere!I14,0)</f>
        <v>0</v>
      </c>
      <c r="BA17" s="1064">
        <f>IF(Tiere!B14="32 - Milchkühe (8000 kg Milch) - Gülle",Tiere!I14,0)</f>
        <v>0</v>
      </c>
      <c r="BB17" s="1064">
        <f>IF(Tiere!B14="33 - Milchkühe (8000 kg Milch) - Mist/Jauche",Tiere!I14,0)</f>
        <v>0</v>
      </c>
      <c r="BC17" s="1064">
        <f>IF(Tiere!B14="34 - Milchkühe (8000 kg Milch) - Tiefstallmist",Tiere!I14,0)</f>
        <v>0</v>
      </c>
      <c r="BD17" s="1064">
        <f>IF(Tiere!B14="35 - Milchkühe (9000 kg Milch) - Gülle",Tiere!I14,0)</f>
        <v>0</v>
      </c>
      <c r="BE17" s="1064">
        <f>IF(Tiere!B14="36 - Milchkühe (9000 kg Milch) - Mist/Jauche",Tiere!I14,0)</f>
        <v>0</v>
      </c>
      <c r="BF17" s="1064">
        <f>IF(Tiere!B14="37 - Milchkühe (9000 kg Milch) - Tiefstallmist",Tiere!I14,0)</f>
        <v>0</v>
      </c>
      <c r="BG17" s="1064">
        <f>IF(Tiere!B14="38 - Milchkühe (&lt; 10.000 kg Milch) - Gülle",Tiere!I14,0)</f>
        <v>0</v>
      </c>
      <c r="BH17" s="1064">
        <f>IF(Tiere!B14="39 - Milchkühe (&lt; 10.000 kg Milch) - Mist/Jauche",Tiere!I14,0)</f>
        <v>0</v>
      </c>
      <c r="BI17" s="1064">
        <f>IF(Tiere!B14="40 - Milchkühe (&lt; 10.000 kg Milch) - Tiefstallmist",Tiere!I14,0)</f>
        <v>0</v>
      </c>
      <c r="BJ17" s="1064"/>
      <c r="BK17" s="1064"/>
      <c r="BL17" s="1064"/>
      <c r="BM17" s="878"/>
      <c r="BN17" s="878"/>
      <c r="BO17" s="878"/>
      <c r="BP17" s="878"/>
      <c r="BQ17" s="878"/>
      <c r="BR17" s="878"/>
      <c r="BS17" s="878"/>
      <c r="BT17" s="878"/>
      <c r="BU17" s="878"/>
      <c r="BV17" s="878"/>
      <c r="BW17" s="878"/>
      <c r="BX17" s="878"/>
      <c r="BY17" s="878"/>
    </row>
    <row r="18" spans="1:77" ht="12.75" customHeight="1">
      <c r="A18" s="1003"/>
      <c r="B18" s="1006"/>
      <c r="C18" s="1081"/>
      <c r="D18" s="1066"/>
      <c r="E18" s="1082"/>
      <c r="F18" s="1081"/>
      <c r="G18" s="1083"/>
      <c r="H18" s="1081"/>
      <c r="I18" s="1081"/>
      <c r="K18" s="878"/>
      <c r="L18" s="1084">
        <v>12</v>
      </c>
      <c r="M18" s="1085">
        <f>Grünland!C15</f>
        <v>0</v>
      </c>
      <c r="N18" s="1066">
        <f>Grünland!BW15</f>
        <v>0</v>
      </c>
      <c r="O18" s="1066">
        <f>Grünland!BX15</f>
        <v>0</v>
      </c>
      <c r="P18" s="1066">
        <f>Grünland!BY15</f>
        <v>0</v>
      </c>
      <c r="Q18" s="1086"/>
      <c r="R18" s="1086"/>
      <c r="S18" s="1086"/>
      <c r="U18" s="1064"/>
      <c r="V18" s="1064"/>
      <c r="W18" s="1064">
        <f>IF(Tiere!B15="2 - andere Kälber und Jungrinder unter 1/2 Jahr - Gülle",Tiere!I15,0)</f>
        <v>0</v>
      </c>
      <c r="X18" s="1064">
        <f>IF(Tiere!B15="3 - andere Kälber und Jungrinder unter 1/2 Jahr - Mist/Jauche",Tiere!I15,0)</f>
        <v>0</v>
      </c>
      <c r="Y18" s="1064">
        <f>IF(Tiere!B15="4 - andere Kälber und Jungrinder unter 1/2 Jahr - Tiefstallmist",Tiere!I15,0)</f>
        <v>0</v>
      </c>
      <c r="Z18" s="1064">
        <f>IF(Tiere!B15="5 - Jungvieh 1/2 bis 1 Jahr - Gülle",Tiere!I15,0)</f>
        <v>0</v>
      </c>
      <c r="AA18" s="1064">
        <f>IF(Tiere!B15="6 - Jungvieh 1/2 bis 1 Jahr - Mist/Jauche",Tiere!I15,0)</f>
        <v>0</v>
      </c>
      <c r="AB18" s="1064">
        <f>IF(Tiere!B15="7 - Jungvieh 1/2 bis 1 Jahr - Tiefstallmist",Tiere!I15,0)</f>
        <v>0</v>
      </c>
      <c r="AC18" s="1064">
        <f>IF(Tiere!B15="8 - Jungvieh 1 bis 2 Jahr - Gülle",Tiere!I15,0)</f>
        <v>0</v>
      </c>
      <c r="AD18" s="1064">
        <f>IF(Tiere!B15="9 - Jungvieh 1 bis 2 Jahr - Mist/Jauche",Tiere!I15,0)</f>
        <v>0</v>
      </c>
      <c r="AE18" s="1064">
        <f>IF(Tiere!B15="10 - Jungvieh 1 bis 2 Jahr - Tiefstallmist",Tiere!I15,0)</f>
        <v>0</v>
      </c>
      <c r="AF18" s="1064">
        <f>IF(Tiere!B15="11 - Ochsen, Stiere - Gülle",Tiere!I15,0)</f>
        <v>0</v>
      </c>
      <c r="AG18" s="1064">
        <f>IF(Tiere!B15="12 - Ochsen, Stiere - Mist/Jauche",Tiere!I15,0)</f>
        <v>0</v>
      </c>
      <c r="AH18" s="1366">
        <f>IF(Tiere!B15="13 - Ochsen, Stiere - Tiefstallmist",Tiere!I15,0)</f>
        <v>0</v>
      </c>
      <c r="AI18" s="1064">
        <f>IF(Tiere!B15="14 - Kalbinnen - Gülle",Tiere!I15,0)</f>
        <v>0</v>
      </c>
      <c r="AJ18" s="1064">
        <f>IF(Tiere!B15="15 - Kalbinnen - Mist/Jauche",Tiere!I15,0)</f>
        <v>0</v>
      </c>
      <c r="AK18" s="1064">
        <f>IF(Tiere!B15="16 - Kalbinnen - Tiefstallmist",Tiere!I15,0)</f>
        <v>0</v>
      </c>
      <c r="AL18" s="1064">
        <f>IF(Tiere!B15="17 - Milch- bzw. Mutterkühe (3000 kg Milch) - Gülle",Tiere!I15,0)</f>
        <v>0</v>
      </c>
      <c r="AM18" s="1064">
        <f>IF(Tiere!B15="18 - Milch- bzw. Mutterkühe (3000 kg Milch) - Mist/Jauche",Tiere!I15,0)</f>
        <v>0</v>
      </c>
      <c r="AN18" s="1064">
        <f>IF(Tiere!B15="19 - Milch- bzw. Mutterkühe (3000 kg Milch) - Tiefstallmist",Tiere!I15,0)</f>
        <v>0</v>
      </c>
      <c r="AO18" s="1064">
        <f>IF(Tiere!B15="20 - Milch- bzw. Ammenkühe (4000 kg Milch) - Gülle",Tiere!I15,0)</f>
        <v>0</v>
      </c>
      <c r="AP18" s="1064">
        <f>IF(Tiere!B15="21 - Milch- bzw. Ammenkühe (4000 kg Milch) - Mist/Jauche",Tiere!I15,0)</f>
        <v>0</v>
      </c>
      <c r="AQ18" s="1064">
        <f>IF(Tiere!B15="22 - Milch- bzw. Ammenkühe (4000 kg Milch) - Tiefstallmist",Tiere!I15,0)</f>
        <v>0</v>
      </c>
      <c r="AR18" s="1064">
        <f>IF(Tiere!B15="23 - Milchkühe (5000 kg Milch) - Gülle",Tiere!I15,0)</f>
        <v>0</v>
      </c>
      <c r="AS18" s="1064">
        <f>IF(Tiere!B15="24 - Milchkühe (5000 kg Milch) -Mist/Jauche",Tiere!I15,0)</f>
        <v>0</v>
      </c>
      <c r="AT18" s="1064">
        <f>IF(Tiere!B15="25 - Milchkühe (5000 kg Milch) - Tiefstallmist",Tiere!I15,0)</f>
        <v>0</v>
      </c>
      <c r="AU18" s="1064">
        <f>IF(Tiere!B15="26 - Milchkühe (6000 kg Milch) - Gülle",Tiere!I15,0)</f>
        <v>0</v>
      </c>
      <c r="AV18" s="1064">
        <f>IF(Tiere!B15="27 - Milchkühe (6000 kg Milch) - Mist/Jauche",Tiere!I15,0)</f>
        <v>0</v>
      </c>
      <c r="AW18" s="1064">
        <f>IF(Tiere!B15="28 - Milchkühe (6000 kg Milch) - Tiefstallmist",Tiere!I15,0)</f>
        <v>0</v>
      </c>
      <c r="AX18" s="1064">
        <f>IF(Tiere!B15="29 - Milchkühe (7000 kg Milch) - Gülle",Tiere!I15,0)</f>
        <v>0</v>
      </c>
      <c r="AY18" s="1064">
        <f>IF(Tiere!B15="30 - Milchkühe (7000 kg Milch) - Mist/Jauche",Tiere!I15,0)</f>
        <v>0</v>
      </c>
      <c r="AZ18" s="1064">
        <f>IF(Tiere!B15="31 - Milchkühe (7000 kg Milch) - Tiefstallmist",Tiere!I15,0)</f>
        <v>0</v>
      </c>
      <c r="BA18" s="1064">
        <f>IF(Tiere!B15="32 - Milchkühe (8000 kg Milch) - Gülle",Tiere!I15,0)</f>
        <v>0</v>
      </c>
      <c r="BB18" s="1064">
        <f>IF(Tiere!B15="33 - Milchkühe (8000 kg Milch) - Mist/Jauche",Tiere!I15,0)</f>
        <v>0</v>
      </c>
      <c r="BC18" s="1064">
        <f>IF(Tiere!B15="34 - Milchkühe (8000 kg Milch) - Tiefstallmist",Tiere!I15,0)</f>
        <v>0</v>
      </c>
      <c r="BD18" s="1064">
        <f>IF(Tiere!B15="35 - Milchkühe (9000 kg Milch) - Gülle",Tiere!I15,0)</f>
        <v>0</v>
      </c>
      <c r="BE18" s="1064">
        <f>IF(Tiere!B15="36 - Milchkühe (9000 kg Milch) - Mist/Jauche",Tiere!I15,0)</f>
        <v>0</v>
      </c>
      <c r="BF18" s="1064">
        <f>IF(Tiere!B15="37 - Milchkühe (9000 kg Milch) - Tiefstallmist",Tiere!I15,0)</f>
        <v>0</v>
      </c>
      <c r="BG18" s="1064">
        <f>IF(Tiere!B15="38 - Milchkühe (&lt; 10.000 kg Milch) - Gülle",Tiere!I15,0)</f>
        <v>0</v>
      </c>
      <c r="BH18" s="1064">
        <f>IF(Tiere!B15="39 - Milchkühe (&lt; 10.000 kg Milch) - Mist/Jauche",Tiere!I15,0)</f>
        <v>0</v>
      </c>
      <c r="BI18" s="1064">
        <f>IF(Tiere!B15="40 - Milchkühe (&lt; 10.000 kg Milch) - Tiefstallmist",Tiere!I15,0)</f>
        <v>0</v>
      </c>
      <c r="BJ18" s="1064"/>
      <c r="BK18" s="1064"/>
      <c r="BL18" s="1064"/>
      <c r="BM18" s="878"/>
      <c r="BN18" s="878"/>
      <c r="BO18" s="878"/>
      <c r="BP18" s="878"/>
      <c r="BQ18" s="878"/>
      <c r="BR18" s="878"/>
      <c r="BS18" s="878"/>
      <c r="BT18" s="878"/>
      <c r="BU18" s="878"/>
      <c r="BV18" s="878"/>
      <c r="BW18" s="878"/>
      <c r="BX18" s="878"/>
      <c r="BY18" s="878"/>
    </row>
    <row r="19" spans="1:77" ht="12.75" customHeight="1">
      <c r="A19" s="1003"/>
      <c r="B19" s="1006"/>
      <c r="C19" s="1081"/>
      <c r="D19" s="1066"/>
      <c r="E19" s="1082"/>
      <c r="F19" s="1081"/>
      <c r="G19" s="1083"/>
      <c r="H19" s="1081"/>
      <c r="I19" s="1081"/>
      <c r="K19" s="878"/>
      <c r="L19" s="1084">
        <v>13</v>
      </c>
      <c r="M19" s="1085" t="str">
        <f>Grünland!C16</f>
        <v>-</v>
      </c>
      <c r="N19" s="1066">
        <f>Grünland!BW16</f>
        <v>0</v>
      </c>
      <c r="O19" s="1066">
        <f>Grünland!BX16</f>
        <v>0</v>
      </c>
      <c r="P19" s="1066">
        <f>Grünland!BY16</f>
        <v>0</v>
      </c>
      <c r="Q19" s="1086"/>
      <c r="R19" s="1086"/>
      <c r="S19" s="1086"/>
      <c r="U19" s="1064"/>
      <c r="V19" s="1064"/>
      <c r="W19" s="1064">
        <f>IF(Tiere!B16="2 - andere Kälber und Jungrinder unter 1/2 Jahr - Gülle",Tiere!I16,0)</f>
        <v>0</v>
      </c>
      <c r="X19" s="1064">
        <f>IF(Tiere!B16="3 - andere Kälber und Jungrinder unter 1/2 Jahr - Mist/Jauche",Tiere!I16,0)</f>
        <v>0</v>
      </c>
      <c r="Y19" s="1064">
        <f>IF(Tiere!B16="4 - andere Kälber und Jungrinder unter 1/2 Jahr - Tiefstallmist",Tiere!I16,0)</f>
        <v>0</v>
      </c>
      <c r="Z19" s="1064">
        <f>IF(Tiere!B16="5 - Jungvieh 1/2 bis 1 Jahr - Gülle",Tiere!I16,0)</f>
        <v>0</v>
      </c>
      <c r="AA19" s="1064">
        <f>IF(Tiere!B16="6 - Jungvieh 1/2 bis 1 Jahr - Mist/Jauche",Tiere!I16,0)</f>
        <v>0</v>
      </c>
      <c r="AB19" s="1064">
        <f>IF(Tiere!B16="7 - Jungvieh 1/2 bis 1 Jahr - Tiefstallmist",Tiere!I16,0)</f>
        <v>0</v>
      </c>
      <c r="AC19" s="1064">
        <f>IF(Tiere!B16="8 - Jungvieh 1 bis 2 Jahr - Gülle",Tiere!I16,0)</f>
        <v>0</v>
      </c>
      <c r="AD19" s="1064">
        <f>IF(Tiere!B16="9 - Jungvieh 1 bis 2 Jahr - Mist/Jauche",Tiere!I16,0)</f>
        <v>0</v>
      </c>
      <c r="AE19" s="1064">
        <f>IF(Tiere!B16="10 - Jungvieh 1 bis 2 Jahr - Tiefstallmist",Tiere!I16,0)</f>
        <v>0</v>
      </c>
      <c r="AF19" s="1064">
        <f>IF(Tiere!B16="11 - Ochsen, Stiere - Gülle",Tiere!I16,0)</f>
        <v>0</v>
      </c>
      <c r="AG19" s="1064">
        <f>IF(Tiere!B16="12 - Ochsen, Stiere - Mist/Jauche",Tiere!I16,0)</f>
        <v>0</v>
      </c>
      <c r="AH19" s="1366">
        <f>IF(Tiere!B16="13 - Ochsen, Stiere - Tiefstallmist",Tiere!I16,0)</f>
        <v>0</v>
      </c>
      <c r="AI19" s="1064">
        <f>IF(Tiere!B16="14 - Kalbinnen - Gülle",Tiere!I16,0)</f>
        <v>0</v>
      </c>
      <c r="AJ19" s="1064">
        <f>IF(Tiere!B16="15 - Kalbinnen - Mist/Jauche",Tiere!I16,0)</f>
        <v>0</v>
      </c>
      <c r="AK19" s="1064">
        <f>IF(Tiere!B16="16 - Kalbinnen - Tiefstallmist",Tiere!I16,0)</f>
        <v>0</v>
      </c>
      <c r="AL19" s="1064">
        <f>IF(Tiere!B16="17 - Milch- bzw. Mutterkühe (3000 kg Milch) - Gülle",Tiere!I16,0)</f>
        <v>0</v>
      </c>
      <c r="AM19" s="1064">
        <f>IF(Tiere!B16="18 - Milch- bzw. Mutterkühe (3000 kg Milch) - Mist/Jauche",Tiere!I16,0)</f>
        <v>0</v>
      </c>
      <c r="AN19" s="1064">
        <f>IF(Tiere!B16="19 - Milch- bzw. Mutterkühe (3000 kg Milch) - Tiefstallmist",Tiere!I16,0)</f>
        <v>0</v>
      </c>
      <c r="AO19" s="1064">
        <f>IF(Tiere!B16="20 - Milch- bzw. Ammenkühe (4000 kg Milch) - Gülle",Tiere!I16,0)</f>
        <v>0</v>
      </c>
      <c r="AP19" s="1064">
        <f>IF(Tiere!B16="21 - Milch- bzw. Ammenkühe (4000 kg Milch) - Mist/Jauche",Tiere!I16,0)</f>
        <v>0</v>
      </c>
      <c r="AQ19" s="1064">
        <f>IF(Tiere!B16="22 - Milch- bzw. Ammenkühe (4000 kg Milch) - Tiefstallmist",Tiere!I16,0)</f>
        <v>0</v>
      </c>
      <c r="AR19" s="1064">
        <f>IF(Tiere!B16="23 - Milchkühe (5000 kg Milch) - Gülle",Tiere!I16,0)</f>
        <v>0</v>
      </c>
      <c r="AS19" s="1064">
        <f>IF(Tiere!B16="24 - Milchkühe (5000 kg Milch) -Mist/Jauche",Tiere!I16,0)</f>
        <v>0</v>
      </c>
      <c r="AT19" s="1064">
        <f>IF(Tiere!B16="25 - Milchkühe (5000 kg Milch) - Tiefstallmist",Tiere!I16,0)</f>
        <v>0</v>
      </c>
      <c r="AU19" s="1064">
        <f>IF(Tiere!B16="26 - Milchkühe (6000 kg Milch) - Gülle",Tiere!I16,0)</f>
        <v>0</v>
      </c>
      <c r="AV19" s="1064">
        <f>IF(Tiere!B16="27 - Milchkühe (6000 kg Milch) - Mist/Jauche",Tiere!I16,0)</f>
        <v>0</v>
      </c>
      <c r="AW19" s="1064">
        <f>IF(Tiere!B16="28 - Milchkühe (6000 kg Milch) - Tiefstallmist",Tiere!I16,0)</f>
        <v>0</v>
      </c>
      <c r="AX19" s="1064">
        <f>IF(Tiere!B16="29 - Milchkühe (7000 kg Milch) - Gülle",Tiere!I16,0)</f>
        <v>0</v>
      </c>
      <c r="AY19" s="1064">
        <f>IF(Tiere!B16="30 - Milchkühe (7000 kg Milch) - Mist/Jauche",Tiere!I16,0)</f>
        <v>0</v>
      </c>
      <c r="AZ19" s="1064">
        <f>IF(Tiere!B16="31 - Milchkühe (7000 kg Milch) - Tiefstallmist",Tiere!I16,0)</f>
        <v>0</v>
      </c>
      <c r="BA19" s="1064">
        <f>IF(Tiere!B16="32 - Milchkühe (8000 kg Milch) - Gülle",Tiere!I16,0)</f>
        <v>0</v>
      </c>
      <c r="BB19" s="1064">
        <f>IF(Tiere!B16="33 - Milchkühe (8000 kg Milch) - Mist/Jauche",Tiere!I16,0)</f>
        <v>0</v>
      </c>
      <c r="BC19" s="1064">
        <f>IF(Tiere!B16="34 - Milchkühe (8000 kg Milch) - Tiefstallmist",Tiere!I16,0)</f>
        <v>0</v>
      </c>
      <c r="BD19" s="1064">
        <f>IF(Tiere!B16="35 - Milchkühe (9000 kg Milch) - Gülle",Tiere!I16,0)</f>
        <v>0</v>
      </c>
      <c r="BE19" s="1064">
        <f>IF(Tiere!B16="36 - Milchkühe (9000 kg Milch) - Mist/Jauche",Tiere!I16,0)</f>
        <v>0</v>
      </c>
      <c r="BF19" s="1064">
        <f>IF(Tiere!B16="37 - Milchkühe (9000 kg Milch) - Tiefstallmist",Tiere!I16,0)</f>
        <v>0</v>
      </c>
      <c r="BG19" s="1064">
        <f>IF(Tiere!B16="38 - Milchkühe (&lt; 10.000 kg Milch) - Gülle",Tiere!I16,0)</f>
        <v>0</v>
      </c>
      <c r="BH19" s="1064">
        <f>IF(Tiere!B16="39 - Milchkühe (&lt; 10.000 kg Milch) - Mist/Jauche",Tiere!I16,0)</f>
        <v>0</v>
      </c>
      <c r="BI19" s="1064">
        <f>IF(Tiere!B16="40 - Milchkühe (&lt; 10.000 kg Milch) - Tiefstallmist",Tiere!I16,0)</f>
        <v>0</v>
      </c>
      <c r="BJ19" s="1064"/>
      <c r="BK19" s="1064"/>
      <c r="BL19" s="1064"/>
      <c r="BM19" s="878"/>
      <c r="BN19" s="878"/>
      <c r="BO19" s="878"/>
      <c r="BP19" s="878"/>
      <c r="BQ19" s="878"/>
      <c r="BR19" s="878"/>
      <c r="BS19" s="878"/>
      <c r="BT19" s="878"/>
      <c r="BU19" s="878"/>
      <c r="BV19" s="878"/>
      <c r="BW19" s="878"/>
      <c r="BX19" s="878"/>
      <c r="BY19" s="878"/>
    </row>
    <row r="20" spans="1:77" ht="12.75" customHeight="1">
      <c r="A20" s="1003"/>
      <c r="B20" s="1006"/>
      <c r="C20" s="1081"/>
      <c r="D20" s="1066"/>
      <c r="E20" s="1082"/>
      <c r="F20" s="1081"/>
      <c r="G20" s="1083"/>
      <c r="H20" s="1081"/>
      <c r="I20" s="1081"/>
      <c r="K20" s="878"/>
      <c r="L20" s="1084">
        <v>14</v>
      </c>
      <c r="M20" s="1085" t="str">
        <f>Grünland!C17</f>
        <v>-</v>
      </c>
      <c r="N20" s="1066">
        <f>Grünland!BW17</f>
        <v>0</v>
      </c>
      <c r="O20" s="1066">
        <f>Grünland!BX17</f>
        <v>0</v>
      </c>
      <c r="P20" s="1066">
        <f>Grünland!BY17</f>
        <v>0</v>
      </c>
      <c r="Q20" s="1086"/>
      <c r="R20" s="1086"/>
      <c r="S20" s="1086"/>
      <c r="U20" s="1064"/>
      <c r="V20" s="1064"/>
      <c r="W20" s="1064">
        <f>IF(Tiere!B17="2 - andere Kälber und Jungrinder unter 1/2 Jahr - Gülle",Tiere!I17,0)</f>
        <v>0</v>
      </c>
      <c r="X20" s="1064">
        <f>IF(Tiere!B17="3 - andere Kälber und Jungrinder unter 1/2 Jahr - Mist/Jauche",Tiere!I17,0)</f>
        <v>0</v>
      </c>
      <c r="Y20" s="1064">
        <f>IF(Tiere!B17="4 - andere Kälber und Jungrinder unter 1/2 Jahr - Tiefstallmist",Tiere!I17,0)</f>
        <v>0</v>
      </c>
      <c r="Z20" s="1064">
        <f>IF(Tiere!B17="5 - Jungvieh 1/2 bis 1 Jahr - Gülle",Tiere!I17,0)</f>
        <v>0</v>
      </c>
      <c r="AA20" s="1064">
        <f>IF(Tiere!B17="6 - Jungvieh 1/2 bis 1 Jahr - Mist/Jauche",Tiere!I17,0)</f>
        <v>0</v>
      </c>
      <c r="AB20" s="1064">
        <f>IF(Tiere!B17="7 - Jungvieh 1/2 bis 1 Jahr - Tiefstallmist",Tiere!I17,0)</f>
        <v>0</v>
      </c>
      <c r="AC20" s="1064">
        <f>IF(Tiere!B17="8 - Jungvieh 1 bis 2 Jahr - Gülle",Tiere!I17,0)</f>
        <v>0</v>
      </c>
      <c r="AD20" s="1064">
        <f>IF(Tiere!B17="9 - Jungvieh 1 bis 2 Jahr - Mist/Jauche",Tiere!I17,0)</f>
        <v>0</v>
      </c>
      <c r="AE20" s="1064">
        <f>IF(Tiere!B17="10 - Jungvieh 1 bis 2 Jahr - Tiefstallmist",Tiere!I17,0)</f>
        <v>0</v>
      </c>
      <c r="AF20" s="1064">
        <f>IF(Tiere!B17="11 - Ochsen, Stiere - Gülle",Tiere!I17,0)</f>
        <v>0</v>
      </c>
      <c r="AG20" s="1064">
        <f>IF(Tiere!B17="12 - Ochsen, Stiere - Mist/Jauche",Tiere!I17,0)</f>
        <v>0</v>
      </c>
      <c r="AH20" s="1366">
        <f>IF(Tiere!B17="13 - Ochsen, Stiere - Tiefstallmist",Tiere!I17,0)</f>
        <v>0</v>
      </c>
      <c r="AI20" s="1064">
        <f>IF(Tiere!B17="14 - Kalbinnen - Gülle",Tiere!I17,0)</f>
        <v>0</v>
      </c>
      <c r="AJ20" s="1064">
        <f>IF(Tiere!B17="15 - Kalbinnen - Mist/Jauche",Tiere!I17,0)</f>
        <v>0</v>
      </c>
      <c r="AK20" s="1064">
        <f>IF(Tiere!B17="16 - Kalbinnen - Tiefstallmist",Tiere!I17,0)</f>
        <v>0</v>
      </c>
      <c r="AL20" s="1064">
        <f>IF(Tiere!B17="17 - Milch- bzw. Mutterkühe (3000 kg Milch) - Gülle",Tiere!I17,0)</f>
        <v>0</v>
      </c>
      <c r="AM20" s="1064">
        <f>IF(Tiere!B17="18 - Milch- bzw. Mutterkühe (3000 kg Milch) - Mist/Jauche",Tiere!I17,0)</f>
        <v>0</v>
      </c>
      <c r="AN20" s="1064">
        <f>IF(Tiere!B17="19 - Milch- bzw. Mutterkühe (3000 kg Milch) - Tiefstallmist",Tiere!I17,0)</f>
        <v>0</v>
      </c>
      <c r="AO20" s="1064">
        <f>IF(Tiere!B17="20 - Milch- bzw. Ammenkühe (4000 kg Milch) - Gülle",Tiere!I17,0)</f>
        <v>0</v>
      </c>
      <c r="AP20" s="1064">
        <f>IF(Tiere!B17="21 - Milch- bzw. Ammenkühe (4000 kg Milch) - Mist/Jauche",Tiere!I17,0)</f>
        <v>0</v>
      </c>
      <c r="AQ20" s="1064">
        <f>IF(Tiere!B17="22 - Milch- bzw. Ammenkühe (4000 kg Milch) - Tiefstallmist",Tiere!I17,0)</f>
        <v>0</v>
      </c>
      <c r="AR20" s="1064">
        <f>IF(Tiere!B17="23 - Milchkühe (5000 kg Milch) - Gülle",Tiere!I17,0)</f>
        <v>0</v>
      </c>
      <c r="AS20" s="1064">
        <f>IF(Tiere!B17="24 - Milchkühe (5000 kg Milch) -Mist/Jauche",Tiere!I17,0)</f>
        <v>0</v>
      </c>
      <c r="AT20" s="1064">
        <f>IF(Tiere!B17="25 - Milchkühe (5000 kg Milch) - Tiefstallmist",Tiere!I17,0)</f>
        <v>0</v>
      </c>
      <c r="AU20" s="1064">
        <f>IF(Tiere!B17="26 - Milchkühe (6000 kg Milch) - Gülle",Tiere!I17,0)</f>
        <v>0</v>
      </c>
      <c r="AV20" s="1064">
        <f>IF(Tiere!B17="27 - Milchkühe (6000 kg Milch) - Mist/Jauche",Tiere!I17,0)</f>
        <v>0</v>
      </c>
      <c r="AW20" s="1064">
        <f>IF(Tiere!B17="28 - Milchkühe (6000 kg Milch) - Tiefstallmist",Tiere!I17,0)</f>
        <v>0</v>
      </c>
      <c r="AX20" s="1064">
        <f>IF(Tiere!B17="29 - Milchkühe (7000 kg Milch) - Gülle",Tiere!I17,0)</f>
        <v>0</v>
      </c>
      <c r="AY20" s="1064">
        <f>IF(Tiere!B17="30 - Milchkühe (7000 kg Milch) - Mist/Jauche",Tiere!I17,0)</f>
        <v>0</v>
      </c>
      <c r="AZ20" s="1064">
        <f>IF(Tiere!B17="31 - Milchkühe (7000 kg Milch) - Tiefstallmist",Tiere!I17,0)</f>
        <v>0</v>
      </c>
      <c r="BA20" s="1064">
        <f>IF(Tiere!B17="32 - Milchkühe (8000 kg Milch) - Gülle",Tiere!I17,0)</f>
        <v>0</v>
      </c>
      <c r="BB20" s="1064">
        <f>IF(Tiere!B17="33 - Milchkühe (8000 kg Milch) - Mist/Jauche",Tiere!I17,0)</f>
        <v>0</v>
      </c>
      <c r="BC20" s="1064">
        <f>IF(Tiere!B17="34 - Milchkühe (8000 kg Milch) - Tiefstallmist",Tiere!I17,0)</f>
        <v>0</v>
      </c>
      <c r="BD20" s="1064">
        <f>IF(Tiere!B17="35 - Milchkühe (9000 kg Milch) - Gülle",Tiere!I17,0)</f>
        <v>0</v>
      </c>
      <c r="BE20" s="1064">
        <f>IF(Tiere!B17="36 - Milchkühe (9000 kg Milch) - Mist/Jauche",Tiere!I17,0)</f>
        <v>0</v>
      </c>
      <c r="BF20" s="1064">
        <f>IF(Tiere!B17="37 - Milchkühe (9000 kg Milch) - Tiefstallmist",Tiere!I17,0)</f>
        <v>0</v>
      </c>
      <c r="BG20" s="1064">
        <f>IF(Tiere!B17="38 - Milchkühe (&lt; 10.000 kg Milch) - Gülle",Tiere!I17,0)</f>
        <v>0</v>
      </c>
      <c r="BH20" s="1064">
        <f>IF(Tiere!B17="39 - Milchkühe (&lt; 10.000 kg Milch) - Mist/Jauche",Tiere!I17,0)</f>
        <v>0</v>
      </c>
      <c r="BI20" s="1064">
        <f>IF(Tiere!B17="40 - Milchkühe (&lt; 10.000 kg Milch) - Tiefstallmist",Tiere!I17,0)</f>
        <v>0</v>
      </c>
      <c r="BJ20" s="1064"/>
      <c r="BK20" s="1064"/>
      <c r="BL20" s="1064"/>
      <c r="BM20" s="878"/>
      <c r="BN20" s="878"/>
      <c r="BO20" s="878"/>
      <c r="BP20" s="878"/>
      <c r="BQ20" s="878"/>
      <c r="BR20" s="878"/>
      <c r="BS20" s="878"/>
      <c r="BT20" s="878"/>
      <c r="BU20" s="878"/>
      <c r="BV20" s="878"/>
      <c r="BW20" s="878"/>
      <c r="BX20" s="878"/>
      <c r="BY20" s="878"/>
    </row>
    <row r="21" spans="1:77" ht="12.75" customHeight="1">
      <c r="A21" s="1003"/>
      <c r="B21" s="1006"/>
      <c r="C21" s="1081"/>
      <c r="D21" s="1066"/>
      <c r="E21" s="1082"/>
      <c r="F21" s="1081"/>
      <c r="G21" s="1083"/>
      <c r="H21" s="1081"/>
      <c r="I21" s="1081"/>
      <c r="K21" s="878"/>
      <c r="L21" s="1084">
        <v>15</v>
      </c>
      <c r="M21" s="1085" t="str">
        <f>Grünland!C18</f>
        <v>-</v>
      </c>
      <c r="N21" s="1066">
        <f>Grünland!BW18</f>
        <v>0</v>
      </c>
      <c r="O21" s="1066">
        <f>Grünland!BX18</f>
        <v>0</v>
      </c>
      <c r="P21" s="1066">
        <f>Grünland!BY18</f>
        <v>0</v>
      </c>
      <c r="Q21" s="1086"/>
      <c r="R21" s="1086"/>
      <c r="S21" s="1086"/>
      <c r="U21" s="1064"/>
      <c r="V21" s="1064"/>
      <c r="W21" s="1064">
        <f>IF(Tiere!B18="2 - andere Kälber und Jungrinder unter 1/2 Jahr - Gülle",Tiere!I18,0)</f>
        <v>0</v>
      </c>
      <c r="X21" s="1064">
        <f>IF(Tiere!B18="3 - andere Kälber und Jungrinder unter 1/2 Jahr - Mist/Jauche",Tiere!I18,0)</f>
        <v>0</v>
      </c>
      <c r="Y21" s="1064">
        <f>IF(Tiere!B18="4 - andere Kälber und Jungrinder unter 1/2 Jahr - Tiefstallmist",Tiere!I18,0)</f>
        <v>0</v>
      </c>
      <c r="Z21" s="1064">
        <f>IF(Tiere!B18="5 - Jungvieh 1/2 bis 1 Jahr - Gülle",Tiere!I18,0)</f>
        <v>0</v>
      </c>
      <c r="AA21" s="1064">
        <f>IF(Tiere!B18="6 - Jungvieh 1/2 bis 1 Jahr - Mist/Jauche",Tiere!I18,0)</f>
        <v>0</v>
      </c>
      <c r="AB21" s="1064">
        <f>IF(Tiere!B18="7 - Jungvieh 1/2 bis 1 Jahr - Tiefstallmist",Tiere!I18,0)</f>
        <v>0</v>
      </c>
      <c r="AC21" s="1064">
        <f>IF(Tiere!B18="8 - Jungvieh 1 bis 2 Jahr - Gülle",Tiere!I18,0)</f>
        <v>0</v>
      </c>
      <c r="AD21" s="1064">
        <f>IF(Tiere!B18="9 - Jungvieh 1 bis 2 Jahr - Mist/Jauche",Tiere!I18,0)</f>
        <v>0</v>
      </c>
      <c r="AE21" s="1064">
        <f>IF(Tiere!B18="10 - Jungvieh 1 bis 2 Jahr - Tiefstallmist",Tiere!I18,0)</f>
        <v>0</v>
      </c>
      <c r="AF21" s="1064">
        <f>IF(Tiere!B18="11 - Ochsen, Stiere - Gülle",Tiere!I18,0)</f>
        <v>0</v>
      </c>
      <c r="AG21" s="1064">
        <f>IF(Tiere!B18="12 - Ochsen, Stiere - Mist/Jauche",Tiere!I18,0)</f>
        <v>0</v>
      </c>
      <c r="AH21" s="1366">
        <f>IF(Tiere!B18="13 - Ochsen, Stiere - Tiefstallmist",Tiere!I18,0)</f>
        <v>0</v>
      </c>
      <c r="AI21" s="1064">
        <f>IF(Tiere!B18="14 - Kalbinnen - Gülle",Tiere!I18,0)</f>
        <v>0</v>
      </c>
      <c r="AJ21" s="1064">
        <f>IF(Tiere!B18="15 - Kalbinnen - Mist/Jauche",Tiere!I18,0)</f>
        <v>0</v>
      </c>
      <c r="AK21" s="1064">
        <f>IF(Tiere!B18="16 - Kalbinnen - Tiefstallmist",Tiere!I18,0)</f>
        <v>0</v>
      </c>
      <c r="AL21" s="1064">
        <f>IF(Tiere!B18="17 - Milch- bzw. Mutterkühe (3000 kg Milch) - Gülle",Tiere!I18,0)</f>
        <v>0</v>
      </c>
      <c r="AM21" s="1064">
        <f>IF(Tiere!B18="18 - Milch- bzw. Mutterkühe (3000 kg Milch) - Mist/Jauche",Tiere!I18,0)</f>
        <v>0</v>
      </c>
      <c r="AN21" s="1064">
        <f>IF(Tiere!B18="19 - Milch- bzw. Mutterkühe (3000 kg Milch) - Tiefstallmist",Tiere!I18,0)</f>
        <v>0</v>
      </c>
      <c r="AO21" s="1064">
        <f>IF(Tiere!B18="20 - Milch- bzw. Ammenkühe (4000 kg Milch) - Gülle",Tiere!I18,0)</f>
        <v>0</v>
      </c>
      <c r="AP21" s="1064">
        <f>IF(Tiere!B18="21 - Milch- bzw. Ammenkühe (4000 kg Milch) - Mist/Jauche",Tiere!I18,0)</f>
        <v>0</v>
      </c>
      <c r="AQ21" s="1064">
        <f>IF(Tiere!B18="22 - Milch- bzw. Ammenkühe (4000 kg Milch) - Tiefstallmist",Tiere!I18,0)</f>
        <v>0</v>
      </c>
      <c r="AR21" s="1064">
        <f>IF(Tiere!B18="23 - Milchkühe (5000 kg Milch) - Gülle",Tiere!I18,0)</f>
        <v>0</v>
      </c>
      <c r="AS21" s="1064">
        <f>IF(Tiere!B18="24 - Milchkühe (5000 kg Milch) -Mist/Jauche",Tiere!I18,0)</f>
        <v>0</v>
      </c>
      <c r="AT21" s="1064">
        <f>IF(Tiere!B18="25 - Milchkühe (5000 kg Milch) - Tiefstallmist",Tiere!I18,0)</f>
        <v>0</v>
      </c>
      <c r="AU21" s="1064">
        <f>IF(Tiere!B18="26 - Milchkühe (6000 kg Milch) - Gülle",Tiere!I18,0)</f>
        <v>0</v>
      </c>
      <c r="AV21" s="1064">
        <f>IF(Tiere!B18="27 - Milchkühe (6000 kg Milch) - Mist/Jauche",Tiere!I18,0)</f>
        <v>0</v>
      </c>
      <c r="AW21" s="1064">
        <f>IF(Tiere!B18="28 - Milchkühe (6000 kg Milch) - Tiefstallmist",Tiere!I18,0)</f>
        <v>0</v>
      </c>
      <c r="AX21" s="1064">
        <f>IF(Tiere!B18="29 - Milchkühe (7000 kg Milch) - Gülle",Tiere!I18,0)</f>
        <v>0</v>
      </c>
      <c r="AY21" s="1064">
        <f>IF(Tiere!B18="30 - Milchkühe (7000 kg Milch) - Mist/Jauche",Tiere!I18,0)</f>
        <v>0</v>
      </c>
      <c r="AZ21" s="1064">
        <f>IF(Tiere!B18="31 - Milchkühe (7000 kg Milch) - Tiefstallmist",Tiere!I18,0)</f>
        <v>0</v>
      </c>
      <c r="BA21" s="1064">
        <f>IF(Tiere!B18="32 - Milchkühe (8000 kg Milch) - Gülle",Tiere!I18,0)</f>
        <v>0</v>
      </c>
      <c r="BB21" s="1064">
        <f>IF(Tiere!B18="33 - Milchkühe (8000 kg Milch) - Mist/Jauche",Tiere!I18,0)</f>
        <v>0</v>
      </c>
      <c r="BC21" s="1064">
        <f>IF(Tiere!B18="34 - Milchkühe (8000 kg Milch) - Tiefstallmist",Tiere!I18,0)</f>
        <v>0</v>
      </c>
      <c r="BD21" s="1064">
        <f>IF(Tiere!B18="35 - Milchkühe (9000 kg Milch) - Gülle",Tiere!I18,0)</f>
        <v>0</v>
      </c>
      <c r="BE21" s="1064">
        <f>IF(Tiere!B18="36 - Milchkühe (9000 kg Milch) - Mist/Jauche",Tiere!I18,0)</f>
        <v>0</v>
      </c>
      <c r="BF21" s="1064">
        <f>IF(Tiere!B18="37 - Milchkühe (9000 kg Milch) - Tiefstallmist",Tiere!I18,0)</f>
        <v>0</v>
      </c>
      <c r="BG21" s="1064">
        <f>IF(Tiere!B18="38 - Milchkühe (&lt; 10.000 kg Milch) - Gülle",Tiere!I18,0)</f>
        <v>0</v>
      </c>
      <c r="BH21" s="1064">
        <f>IF(Tiere!B18="39 - Milchkühe (&lt; 10.000 kg Milch) - Mist/Jauche",Tiere!I18,0)</f>
        <v>0</v>
      </c>
      <c r="BI21" s="1064">
        <f>IF(Tiere!B18="40 - Milchkühe (&lt; 10.000 kg Milch) - Tiefstallmist",Tiere!I18,0)</f>
        <v>0</v>
      </c>
      <c r="BJ21" s="1064"/>
      <c r="BK21" s="1064"/>
      <c r="BL21" s="1064"/>
      <c r="BM21" s="878"/>
      <c r="BN21" s="878"/>
      <c r="BO21" s="878"/>
      <c r="BP21" s="878"/>
      <c r="BQ21" s="878"/>
      <c r="BR21" s="878"/>
      <c r="BS21" s="878"/>
      <c r="BT21" s="878"/>
      <c r="BU21" s="878"/>
      <c r="BV21" s="878"/>
      <c r="BW21" s="878"/>
      <c r="BX21" s="878"/>
      <c r="BY21" s="878"/>
    </row>
    <row r="22" spans="1:77" ht="12.75" customHeight="1">
      <c r="A22" s="1003"/>
      <c r="B22" s="1006"/>
      <c r="C22" s="1081"/>
      <c r="D22" s="1066"/>
      <c r="E22" s="1082"/>
      <c r="F22" s="1081"/>
      <c r="G22" s="1083"/>
      <c r="H22" s="1081"/>
      <c r="I22" s="1081"/>
      <c r="K22" s="878"/>
      <c r="L22" s="1084">
        <v>16</v>
      </c>
      <c r="M22" s="1085" t="str">
        <f>Grünland!C19</f>
        <v>-</v>
      </c>
      <c r="N22" s="1066">
        <f>Grünland!BW19</f>
        <v>0</v>
      </c>
      <c r="O22" s="1066">
        <f>Grünland!BX19</f>
        <v>0</v>
      </c>
      <c r="P22" s="1066">
        <f>Grünland!BY19</f>
        <v>0</v>
      </c>
      <c r="Q22" s="1086"/>
      <c r="R22" s="1086"/>
      <c r="S22" s="1086"/>
      <c r="U22" s="1064"/>
      <c r="V22" s="1064"/>
      <c r="W22" s="1064">
        <f>IF(Tiere!B19="2 - andere Kälber und Jungrinder unter 1/2 Jahr - Gülle",Tiere!I19,0)</f>
        <v>0</v>
      </c>
      <c r="X22" s="1064">
        <f>IF(Tiere!B19="3 - andere Kälber und Jungrinder unter 1/2 Jahr - Mist/Jauche",Tiere!I19,0)</f>
        <v>0</v>
      </c>
      <c r="Y22" s="1064">
        <f>IF(Tiere!B19="4 - andere Kälber und Jungrinder unter 1/2 Jahr - Tiefstallmist",Tiere!I19,0)</f>
        <v>0</v>
      </c>
      <c r="Z22" s="1064">
        <f>IF(Tiere!B19="5 - Jungvieh 1/2 bis 1 Jahr - Gülle",Tiere!I19,0)</f>
        <v>0</v>
      </c>
      <c r="AA22" s="1064">
        <f>IF(Tiere!B19="6 - Jungvieh 1/2 bis 1 Jahr - Mist/Jauche",Tiere!I19,0)</f>
        <v>0</v>
      </c>
      <c r="AB22" s="1064">
        <f>IF(Tiere!B19="7 - Jungvieh 1/2 bis 1 Jahr - Tiefstallmist",Tiere!I19,0)</f>
        <v>0</v>
      </c>
      <c r="AC22" s="1064">
        <f>IF(Tiere!B19="8 - Jungvieh 1 bis 2 Jahr - Gülle",Tiere!I19,0)</f>
        <v>0</v>
      </c>
      <c r="AD22" s="1064">
        <f>IF(Tiere!B19="9 - Jungvieh 1 bis 2 Jahr - Mist/Jauche",Tiere!I19,0)</f>
        <v>0</v>
      </c>
      <c r="AE22" s="1064">
        <f>IF(Tiere!B19="10 - Jungvieh 1 bis 2 Jahr - Tiefstallmist",Tiere!I19,0)</f>
        <v>0</v>
      </c>
      <c r="AF22" s="1064">
        <f>IF(Tiere!B19="11 - Ochsen, Stiere - Gülle",Tiere!I19,0)</f>
        <v>0</v>
      </c>
      <c r="AG22" s="1064">
        <f>IF(Tiere!B19="12 - Ochsen, Stiere - Mist/Jauche",Tiere!I19,0)</f>
        <v>0</v>
      </c>
      <c r="AH22" s="1366">
        <f>IF(Tiere!B19="13 - Ochsen, Stiere - Tiefstallmist",Tiere!I19,0)</f>
        <v>0</v>
      </c>
      <c r="AI22" s="1064">
        <f>IF(Tiere!B19="14 - Kalbinnen - Gülle",Tiere!I19,0)</f>
        <v>0</v>
      </c>
      <c r="AJ22" s="1064">
        <f>IF(Tiere!B19="15 - Kalbinnen - Mist/Jauche",Tiere!I19,0)</f>
        <v>0</v>
      </c>
      <c r="AK22" s="1064">
        <f>IF(Tiere!B19="16 - Kalbinnen - Tiefstallmist",Tiere!I19,0)</f>
        <v>0</v>
      </c>
      <c r="AL22" s="1064">
        <f>IF(Tiere!B19="17 - Milch- bzw. Mutterkühe (3000 kg Milch) - Gülle",Tiere!I19,0)</f>
        <v>0</v>
      </c>
      <c r="AM22" s="1064">
        <f>IF(Tiere!B19="18 - Milch- bzw. Mutterkühe (3000 kg Milch) - Mist/Jauche",Tiere!I19,0)</f>
        <v>0</v>
      </c>
      <c r="AN22" s="1064">
        <f>IF(Tiere!B19="19 - Milch- bzw. Mutterkühe (3000 kg Milch) - Tiefstallmist",Tiere!I19,0)</f>
        <v>0</v>
      </c>
      <c r="AO22" s="1064">
        <f>IF(Tiere!B19="20 - Milch- bzw. Ammenkühe (4000 kg Milch) - Gülle",Tiere!I19,0)</f>
        <v>0</v>
      </c>
      <c r="AP22" s="1064">
        <f>IF(Tiere!B19="21 - Milch- bzw. Ammenkühe (4000 kg Milch) - Mist/Jauche",Tiere!I19,0)</f>
        <v>0</v>
      </c>
      <c r="AQ22" s="1064">
        <f>IF(Tiere!B19="22 - Milch- bzw. Ammenkühe (4000 kg Milch) - Tiefstallmist",Tiere!I19,0)</f>
        <v>0</v>
      </c>
      <c r="AR22" s="1064">
        <f>IF(Tiere!B19="23 - Milchkühe (5000 kg Milch) - Gülle",Tiere!I19,0)</f>
        <v>0</v>
      </c>
      <c r="AS22" s="1064">
        <f>IF(Tiere!B19="24 - Milchkühe (5000 kg Milch) -Mist/Jauche",Tiere!I19,0)</f>
        <v>0</v>
      </c>
      <c r="AT22" s="1064">
        <f>IF(Tiere!B19="25 - Milchkühe (5000 kg Milch) - Tiefstallmist",Tiere!I19,0)</f>
        <v>0</v>
      </c>
      <c r="AU22" s="1064">
        <f>IF(Tiere!B19="26 - Milchkühe (6000 kg Milch) - Gülle",Tiere!I19,0)</f>
        <v>0</v>
      </c>
      <c r="AV22" s="1064">
        <f>IF(Tiere!B19="27 - Milchkühe (6000 kg Milch) - Mist/Jauche",Tiere!I19,0)</f>
        <v>0</v>
      </c>
      <c r="AW22" s="1064">
        <f>IF(Tiere!B19="28 - Milchkühe (6000 kg Milch) - Tiefstallmist",Tiere!I19,0)</f>
        <v>0</v>
      </c>
      <c r="AX22" s="1064">
        <f>IF(Tiere!B19="29 - Milchkühe (7000 kg Milch) - Gülle",Tiere!I19,0)</f>
        <v>0</v>
      </c>
      <c r="AY22" s="1064">
        <f>IF(Tiere!B19="30 - Milchkühe (7000 kg Milch) - Mist/Jauche",Tiere!I19,0)</f>
        <v>0</v>
      </c>
      <c r="AZ22" s="1064">
        <f>IF(Tiere!B19="31 - Milchkühe (7000 kg Milch) - Tiefstallmist",Tiere!I19,0)</f>
        <v>0</v>
      </c>
      <c r="BA22" s="1064">
        <f>IF(Tiere!B19="32 - Milchkühe (8000 kg Milch) - Gülle",Tiere!I19,0)</f>
        <v>0</v>
      </c>
      <c r="BB22" s="1064">
        <f>IF(Tiere!B19="33 - Milchkühe (8000 kg Milch) - Mist/Jauche",Tiere!I19,0)</f>
        <v>0</v>
      </c>
      <c r="BC22" s="1064">
        <f>IF(Tiere!B19="34 - Milchkühe (8000 kg Milch) - Tiefstallmist",Tiere!I19,0)</f>
        <v>0</v>
      </c>
      <c r="BD22" s="1064">
        <f>IF(Tiere!B19="35 - Milchkühe (9000 kg Milch) - Gülle",Tiere!I19,0)</f>
        <v>0</v>
      </c>
      <c r="BE22" s="1064">
        <f>IF(Tiere!B19="36 - Milchkühe (9000 kg Milch) - Mist/Jauche",Tiere!I19,0)</f>
        <v>0</v>
      </c>
      <c r="BF22" s="1064">
        <f>IF(Tiere!B19="37 - Milchkühe (9000 kg Milch) - Tiefstallmist",Tiere!I19,0)</f>
        <v>0</v>
      </c>
      <c r="BG22" s="1064">
        <f>IF(Tiere!B19="38 - Milchkühe (&lt; 10.000 kg Milch) - Gülle",Tiere!I19,0)</f>
        <v>0</v>
      </c>
      <c r="BH22" s="1064">
        <f>IF(Tiere!B19="39 - Milchkühe (&lt; 10.000 kg Milch) - Mist/Jauche",Tiere!I19,0)</f>
        <v>0</v>
      </c>
      <c r="BI22" s="1064">
        <f>IF(Tiere!B19="40 - Milchkühe (&lt; 10.000 kg Milch) - Tiefstallmist",Tiere!I19,0)</f>
        <v>0</v>
      </c>
      <c r="BJ22" s="1064"/>
      <c r="BK22" s="1064"/>
      <c r="BL22" s="1064"/>
      <c r="BM22" s="878"/>
      <c r="BN22" s="878"/>
      <c r="BO22" s="878"/>
      <c r="BP22" s="878"/>
      <c r="BQ22" s="878"/>
      <c r="BR22" s="878"/>
      <c r="BS22" s="878"/>
      <c r="BT22" s="878"/>
      <c r="BU22" s="878"/>
      <c r="BV22" s="878"/>
      <c r="BW22" s="878"/>
      <c r="BX22" s="878"/>
      <c r="BY22" s="878"/>
    </row>
    <row r="23" spans="1:77" ht="12.75" customHeight="1">
      <c r="A23" s="1003"/>
      <c r="B23" s="1006"/>
      <c r="C23" s="1081"/>
      <c r="D23" s="1066"/>
      <c r="E23" s="1082"/>
      <c r="F23" s="1081"/>
      <c r="G23" s="1083"/>
      <c r="H23" s="1081"/>
      <c r="I23" s="1081"/>
      <c r="K23" s="878"/>
      <c r="L23" s="1084">
        <v>17</v>
      </c>
      <c r="M23" s="1085" t="str">
        <f>Grünland!C20</f>
        <v>-</v>
      </c>
      <c r="N23" s="1066">
        <f>Grünland!BW20</f>
        <v>0</v>
      </c>
      <c r="O23" s="1066">
        <f>Grünland!BX20</f>
        <v>0</v>
      </c>
      <c r="P23" s="1066">
        <f>Grünland!BY20</f>
        <v>0</v>
      </c>
      <c r="Q23" s="1086"/>
      <c r="R23" s="1086"/>
      <c r="S23" s="1086"/>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c r="AT23" s="1064"/>
      <c r="AU23" s="1064"/>
      <c r="AV23" s="1064"/>
      <c r="AW23" s="1064"/>
      <c r="AX23" s="1064"/>
      <c r="AY23" s="1064"/>
      <c r="AZ23" s="1064"/>
      <c r="BA23" s="1064"/>
      <c r="BB23" s="1064"/>
      <c r="BC23" s="1064"/>
      <c r="BD23" s="1064"/>
      <c r="BE23" s="1064"/>
      <c r="BF23" s="1064"/>
      <c r="BG23" s="1064"/>
      <c r="BH23" s="1064"/>
      <c r="BI23" s="1064"/>
      <c r="BJ23" s="1064"/>
      <c r="BK23" s="1064"/>
      <c r="BL23" s="1064"/>
      <c r="BM23" s="878"/>
      <c r="BN23" s="878"/>
      <c r="BO23" s="878"/>
      <c r="BP23" s="878"/>
      <c r="BQ23" s="878"/>
      <c r="BR23" s="878"/>
      <c r="BS23" s="878"/>
      <c r="BT23" s="878"/>
      <c r="BU23" s="878"/>
      <c r="BV23" s="878"/>
      <c r="BW23" s="878"/>
      <c r="BX23" s="878"/>
      <c r="BY23" s="878"/>
    </row>
    <row r="24" spans="1:77" ht="12.75" customHeight="1">
      <c r="A24" s="1003"/>
      <c r="B24" s="1006"/>
      <c r="C24" s="1081"/>
      <c r="D24" s="1066"/>
      <c r="E24" s="1082"/>
      <c r="F24" s="1081"/>
      <c r="G24" s="1083"/>
      <c r="H24" s="1081"/>
      <c r="I24" s="1081"/>
      <c r="K24" s="878"/>
      <c r="L24" s="1084">
        <v>18</v>
      </c>
      <c r="M24" s="1085" t="str">
        <f>Grünland!C21</f>
        <v>-</v>
      </c>
      <c r="N24" s="1066">
        <f>Grünland!BW21</f>
        <v>0</v>
      </c>
      <c r="O24" s="1066">
        <f>Grünland!BX21</f>
        <v>0</v>
      </c>
      <c r="P24" s="1066">
        <f>Grünland!BY21</f>
        <v>0</v>
      </c>
      <c r="Q24" s="1086"/>
      <c r="R24" s="1086"/>
      <c r="S24" s="1086"/>
      <c r="U24" s="1064"/>
      <c r="V24" s="1064"/>
      <c r="W24" s="1064"/>
      <c r="X24" s="1064"/>
      <c r="Y24" s="1064"/>
      <c r="Z24" s="1064"/>
      <c r="AA24" s="1064"/>
      <c r="AB24" s="1064"/>
      <c r="AC24" s="1064"/>
      <c r="AD24" s="1064"/>
      <c r="AE24" s="1064"/>
      <c r="AF24" s="1064"/>
      <c r="AG24" s="1064"/>
      <c r="AH24" s="1064"/>
      <c r="AI24" s="1064"/>
      <c r="AJ24" s="1064"/>
      <c r="AK24" s="1064"/>
      <c r="AL24" s="1064"/>
      <c r="AM24" s="1064"/>
      <c r="AN24" s="1064"/>
      <c r="AO24" s="1064"/>
      <c r="AP24" s="1064"/>
      <c r="AQ24" s="1064"/>
      <c r="AR24" s="1064"/>
      <c r="AS24" s="1064"/>
      <c r="AT24" s="1064"/>
      <c r="AU24" s="1064"/>
      <c r="AV24" s="1064"/>
      <c r="AW24" s="1064"/>
      <c r="AX24" s="1064"/>
      <c r="AY24" s="1064"/>
      <c r="AZ24" s="1064"/>
      <c r="BA24" s="1064"/>
      <c r="BB24" s="1064"/>
      <c r="BC24" s="1064"/>
      <c r="BD24" s="1064"/>
      <c r="BE24" s="1064"/>
      <c r="BF24" s="1064"/>
      <c r="BG24" s="1064"/>
      <c r="BH24" s="1064"/>
      <c r="BI24" s="1064"/>
      <c r="BJ24" s="1064"/>
      <c r="BK24" s="1064"/>
      <c r="BL24" s="1064"/>
      <c r="BM24" s="878"/>
      <c r="BN24" s="878"/>
      <c r="BO24" s="878"/>
      <c r="BP24" s="878"/>
      <c r="BQ24" s="878"/>
      <c r="BR24" s="878"/>
      <c r="BS24" s="878"/>
      <c r="BT24" s="878"/>
      <c r="BU24" s="878"/>
      <c r="BV24" s="878"/>
      <c r="BW24" s="878"/>
      <c r="BX24" s="878"/>
      <c r="BY24" s="878"/>
    </row>
    <row r="25" spans="1:77" ht="12.75" customHeight="1">
      <c r="A25" s="1003"/>
      <c r="B25" s="1006"/>
      <c r="C25" s="1081"/>
      <c r="D25" s="1066"/>
      <c r="E25" s="1082"/>
      <c r="F25" s="1081"/>
      <c r="G25" s="1083"/>
      <c r="H25" s="1081"/>
      <c r="I25" s="1081"/>
      <c r="K25" s="878"/>
      <c r="L25" s="1084">
        <v>19</v>
      </c>
      <c r="M25" s="1085" t="str">
        <f>Grünland!C22</f>
        <v>-</v>
      </c>
      <c r="N25" s="1066">
        <f>Grünland!BW22</f>
        <v>0</v>
      </c>
      <c r="O25" s="1066">
        <f>Grünland!BX22</f>
        <v>0</v>
      </c>
      <c r="P25" s="1066">
        <f>Grünland!BY22</f>
        <v>0</v>
      </c>
      <c r="Q25" s="1086"/>
      <c r="R25" s="1086"/>
      <c r="S25" s="1086"/>
      <c r="U25" s="1064"/>
      <c r="V25" s="1064"/>
      <c r="W25" s="1064"/>
      <c r="X25" s="1064"/>
      <c r="Y25" s="1064"/>
      <c r="Z25" s="1064"/>
      <c r="AA25" s="1064"/>
      <c r="AB25" s="1064"/>
      <c r="AC25" s="1064"/>
      <c r="AD25" s="1064"/>
      <c r="AE25" s="1064"/>
      <c r="AF25" s="1064"/>
      <c r="AG25" s="1064"/>
      <c r="AH25" s="1064"/>
      <c r="AI25" s="1064"/>
      <c r="AJ25" s="1064"/>
      <c r="AK25" s="1064"/>
      <c r="AL25" s="1064"/>
      <c r="AM25" s="1064"/>
      <c r="AN25" s="1064"/>
      <c r="AO25" s="1064"/>
      <c r="AP25" s="1064"/>
      <c r="AQ25" s="1064"/>
      <c r="AR25" s="1064"/>
      <c r="AS25" s="1064"/>
      <c r="AT25" s="1064"/>
      <c r="AU25" s="1064"/>
      <c r="AV25" s="1064"/>
      <c r="AW25" s="1064"/>
      <c r="AX25" s="1064"/>
      <c r="AY25" s="1064"/>
      <c r="AZ25" s="1064"/>
      <c r="BA25" s="1064"/>
      <c r="BB25" s="1064"/>
      <c r="BC25" s="1064"/>
      <c r="BD25" s="1064"/>
      <c r="BE25" s="1064"/>
      <c r="BF25" s="1064"/>
      <c r="BG25" s="1064"/>
      <c r="BH25" s="1064"/>
      <c r="BI25" s="1064"/>
      <c r="BJ25" s="1064"/>
      <c r="BK25" s="1064"/>
      <c r="BL25" s="1064"/>
      <c r="BM25" s="878"/>
      <c r="BN25" s="878"/>
      <c r="BO25" s="878"/>
      <c r="BP25" s="878"/>
      <c r="BQ25" s="878"/>
      <c r="BR25" s="878"/>
      <c r="BS25" s="878"/>
      <c r="BT25" s="878"/>
      <c r="BU25" s="878"/>
      <c r="BV25" s="878"/>
      <c r="BW25" s="878"/>
      <c r="BX25" s="878"/>
      <c r="BY25" s="878"/>
    </row>
    <row r="26" spans="1:77" ht="12.75" customHeight="1">
      <c r="A26" s="1003"/>
      <c r="B26" s="1006"/>
      <c r="C26" s="1081"/>
      <c r="D26" s="1066"/>
      <c r="E26" s="1082"/>
      <c r="F26" s="1081"/>
      <c r="G26" s="1083"/>
      <c r="H26" s="1081"/>
      <c r="I26" s="1081"/>
      <c r="K26" s="878"/>
      <c r="L26" s="1084">
        <v>20</v>
      </c>
      <c r="M26" s="1085" t="str">
        <f>Grünland!C23</f>
        <v>-</v>
      </c>
      <c r="N26" s="1066">
        <f>Grünland!BW23</f>
        <v>0</v>
      </c>
      <c r="O26" s="1066">
        <f>Grünland!BX23</f>
        <v>0</v>
      </c>
      <c r="P26" s="1066">
        <f>Grünland!BY23</f>
        <v>0</v>
      </c>
      <c r="Q26" s="1086"/>
      <c r="R26" s="1086"/>
      <c r="S26" s="1086"/>
      <c r="U26" s="1064"/>
      <c r="V26" s="1064"/>
      <c r="W26" s="1064"/>
      <c r="X26" s="1064"/>
      <c r="Y26" s="1064"/>
      <c r="Z26" s="1064"/>
      <c r="AA26" s="1064"/>
      <c r="AB26" s="1064"/>
      <c r="AC26" s="1064"/>
      <c r="AD26" s="1064"/>
      <c r="AE26" s="1064"/>
      <c r="AF26" s="1064"/>
      <c r="AG26" s="1064"/>
      <c r="AH26" s="1064"/>
      <c r="AI26" s="1064"/>
      <c r="AJ26" s="1064"/>
      <c r="AK26" s="1064"/>
      <c r="AL26" s="1064"/>
      <c r="AM26" s="1064"/>
      <c r="AN26" s="1064"/>
      <c r="AO26" s="1064"/>
      <c r="AP26" s="1064"/>
      <c r="AQ26" s="1064"/>
      <c r="AR26" s="1064"/>
      <c r="AS26" s="1064"/>
      <c r="AT26" s="1064"/>
      <c r="AU26" s="1064"/>
      <c r="AV26" s="1064"/>
      <c r="AW26" s="1064"/>
      <c r="AX26" s="1064"/>
      <c r="AY26" s="1064"/>
      <c r="AZ26" s="1064"/>
      <c r="BA26" s="1064"/>
      <c r="BB26" s="1064"/>
      <c r="BC26" s="1064"/>
      <c r="BD26" s="1064"/>
      <c r="BE26" s="1064"/>
      <c r="BF26" s="1064"/>
      <c r="BG26" s="1064"/>
      <c r="BH26" s="1064"/>
      <c r="BI26" s="1064"/>
      <c r="BJ26" s="1064"/>
      <c r="BK26" s="1064"/>
      <c r="BL26" s="1064"/>
      <c r="BM26" s="878"/>
      <c r="BN26" s="878"/>
      <c r="BO26" s="878"/>
      <c r="BP26" s="878"/>
      <c r="BQ26" s="878"/>
      <c r="BR26" s="878"/>
      <c r="BS26" s="878"/>
      <c r="BT26" s="878"/>
      <c r="BU26" s="878"/>
      <c r="BV26" s="878"/>
      <c r="BW26" s="878"/>
      <c r="BX26" s="878"/>
      <c r="BY26" s="878"/>
    </row>
    <row r="27" spans="1:77" ht="12.75" customHeight="1">
      <c r="A27" s="1003"/>
      <c r="B27" s="1006"/>
      <c r="C27" s="1081"/>
      <c r="D27" s="1066"/>
      <c r="E27" s="1082"/>
      <c r="F27" s="1081"/>
      <c r="G27" s="1083"/>
      <c r="H27" s="1081"/>
      <c r="I27" s="1081"/>
      <c r="K27" s="878"/>
      <c r="L27" s="1084">
        <v>21</v>
      </c>
      <c r="M27" s="1085" t="str">
        <f>Grünland!C24</f>
        <v>-</v>
      </c>
      <c r="N27" s="1066">
        <f>Grünland!BW24</f>
        <v>0</v>
      </c>
      <c r="O27" s="1066">
        <f>Grünland!BX24</f>
        <v>0</v>
      </c>
      <c r="P27" s="1066">
        <f>Grünland!BY24</f>
        <v>0</v>
      </c>
      <c r="Q27" s="1086"/>
      <c r="R27" s="1086"/>
      <c r="S27" s="1086"/>
      <c r="U27" s="1064"/>
      <c r="V27" s="1064"/>
      <c r="W27" s="1064"/>
      <c r="X27" s="1064"/>
      <c r="Y27" s="1064"/>
      <c r="Z27" s="1064"/>
      <c r="AA27" s="1064"/>
      <c r="AB27" s="1064"/>
      <c r="AC27" s="1064"/>
      <c r="AD27" s="1064"/>
      <c r="AE27" s="1064"/>
      <c r="AF27" s="1064"/>
      <c r="AG27" s="1064"/>
      <c r="AH27" s="1064"/>
      <c r="AI27" s="1064"/>
      <c r="AJ27" s="1064"/>
      <c r="AK27" s="1064"/>
      <c r="AL27" s="1064"/>
      <c r="AM27" s="1064"/>
      <c r="AN27" s="1064"/>
      <c r="AO27" s="1064"/>
      <c r="AP27" s="1064"/>
      <c r="AQ27" s="1064"/>
      <c r="AR27" s="1064"/>
      <c r="AS27" s="1064"/>
      <c r="AT27" s="1064"/>
      <c r="AU27" s="1064"/>
      <c r="AV27" s="1064"/>
      <c r="AW27" s="1064"/>
      <c r="AX27" s="1064"/>
      <c r="AY27" s="1064"/>
      <c r="AZ27" s="1064"/>
      <c r="BA27" s="1064"/>
      <c r="BB27" s="1064"/>
      <c r="BC27" s="1064"/>
      <c r="BD27" s="1064"/>
      <c r="BE27" s="1064"/>
      <c r="BF27" s="1064"/>
      <c r="BG27" s="1064"/>
      <c r="BH27" s="1064"/>
      <c r="BI27" s="1064"/>
      <c r="BJ27" s="1064"/>
      <c r="BK27" s="1064"/>
      <c r="BL27" s="1064"/>
      <c r="BM27" s="878"/>
      <c r="BN27" s="878"/>
      <c r="BO27" s="878"/>
      <c r="BP27" s="878"/>
      <c r="BQ27" s="878"/>
      <c r="BR27" s="878"/>
      <c r="BS27" s="878"/>
      <c r="BT27" s="878"/>
      <c r="BU27" s="878"/>
      <c r="BV27" s="878"/>
      <c r="BW27" s="878"/>
      <c r="BX27" s="878"/>
      <c r="BY27" s="878"/>
    </row>
    <row r="28" spans="1:77" ht="12.75" customHeight="1">
      <c r="A28" s="1003"/>
      <c r="B28" s="1006"/>
      <c r="C28" s="1081"/>
      <c r="D28" s="1066"/>
      <c r="E28" s="1082"/>
      <c r="F28" s="1081"/>
      <c r="G28" s="1083"/>
      <c r="H28" s="1081"/>
      <c r="I28" s="1081"/>
      <c r="K28" s="878"/>
      <c r="L28" s="1084">
        <v>22</v>
      </c>
      <c r="M28" s="1085" t="str">
        <f>Grünland!C25</f>
        <v>-</v>
      </c>
      <c r="N28" s="1066">
        <f>Grünland!BW25</f>
        <v>0</v>
      </c>
      <c r="O28" s="1066">
        <f>Grünland!BX25</f>
        <v>0</v>
      </c>
      <c r="P28" s="1066">
        <f>Grünland!BY25</f>
        <v>0</v>
      </c>
      <c r="Q28" s="1086"/>
      <c r="R28" s="1086"/>
      <c r="S28" s="1086"/>
      <c r="U28" s="1064"/>
      <c r="V28" s="1064"/>
      <c r="W28" s="1064"/>
      <c r="X28" s="1064"/>
      <c r="Y28" s="1064"/>
      <c r="Z28" s="1064"/>
      <c r="AA28" s="1064"/>
      <c r="AB28" s="1064"/>
      <c r="AC28" s="1064"/>
      <c r="AD28" s="1064"/>
      <c r="AE28" s="1064"/>
      <c r="AF28" s="1064"/>
      <c r="AG28" s="1064"/>
      <c r="AH28" s="1064"/>
      <c r="AI28" s="1064"/>
      <c r="AJ28" s="1064"/>
      <c r="AK28" s="1064"/>
      <c r="AL28" s="1064"/>
      <c r="AM28" s="1064"/>
      <c r="AN28" s="1064"/>
      <c r="AO28" s="1064"/>
      <c r="AP28" s="1064"/>
      <c r="AQ28" s="1064"/>
      <c r="AR28" s="1064"/>
      <c r="AS28" s="1064"/>
      <c r="AT28" s="1064"/>
      <c r="AU28" s="1064"/>
      <c r="AV28" s="1064"/>
      <c r="AW28" s="1064"/>
      <c r="AX28" s="1064"/>
      <c r="AY28" s="1064"/>
      <c r="AZ28" s="1064"/>
      <c r="BA28" s="1064"/>
      <c r="BB28" s="1064"/>
      <c r="BC28" s="1064"/>
      <c r="BD28" s="1064"/>
      <c r="BE28" s="1064"/>
      <c r="BF28" s="1064"/>
      <c r="BG28" s="1064"/>
      <c r="BH28" s="1064"/>
      <c r="BI28" s="1064"/>
      <c r="BJ28" s="1064"/>
      <c r="BK28" s="1064"/>
      <c r="BL28" s="1064"/>
      <c r="BM28" s="878"/>
      <c r="BN28" s="878"/>
      <c r="BO28" s="878"/>
      <c r="BP28" s="878"/>
      <c r="BQ28" s="878"/>
      <c r="BR28" s="878"/>
      <c r="BS28" s="878"/>
      <c r="BT28" s="878"/>
      <c r="BU28" s="878"/>
      <c r="BV28" s="878"/>
      <c r="BW28" s="878"/>
      <c r="BX28" s="878"/>
      <c r="BY28" s="878"/>
    </row>
    <row r="29" spans="1:77" ht="12.75" customHeight="1">
      <c r="A29" s="1003" t="s">
        <v>1113</v>
      </c>
      <c r="B29" s="1006">
        <f>SUM(AR8:AT22)*0.83</f>
        <v>0</v>
      </c>
      <c r="C29" s="1081">
        <f t="shared" ref="C29:C34" si="4">AA47</f>
        <v>14.366666666666667</v>
      </c>
      <c r="D29" s="1066">
        <f t="shared" si="2"/>
        <v>0</v>
      </c>
      <c r="E29" s="1082"/>
      <c r="F29" s="1081">
        <v>0.2</v>
      </c>
      <c r="G29" s="1083">
        <v>0.8</v>
      </c>
      <c r="H29" s="1081">
        <f t="shared" si="3"/>
        <v>0</v>
      </c>
      <c r="I29" s="1081">
        <f t="shared" si="1"/>
        <v>0</v>
      </c>
      <c r="J29" s="1087"/>
      <c r="K29" s="1368"/>
      <c r="L29" s="1084">
        <v>23</v>
      </c>
      <c r="M29" s="1085" t="str">
        <f>Grünland!C26</f>
        <v>-</v>
      </c>
      <c r="N29" s="1066">
        <f>Grünland!BW26</f>
        <v>0</v>
      </c>
      <c r="O29" s="1066">
        <f>Grünland!BX26</f>
        <v>0</v>
      </c>
      <c r="P29" s="1066">
        <f>Grünland!BY26</f>
        <v>0</v>
      </c>
      <c r="Q29" s="1086"/>
      <c r="R29" s="1086"/>
      <c r="S29" s="1086"/>
      <c r="U29" s="1064"/>
      <c r="V29" s="1064"/>
      <c r="W29" s="1064"/>
      <c r="X29" s="1064"/>
      <c r="Y29" s="1064"/>
      <c r="Z29" s="1064"/>
      <c r="AA29" s="1064"/>
      <c r="AB29" s="1064"/>
      <c r="AC29" s="1064"/>
      <c r="AD29" s="1064"/>
      <c r="AE29" s="1064"/>
      <c r="AF29" s="1064"/>
      <c r="AG29" s="1064"/>
      <c r="AH29" s="1064"/>
      <c r="AI29" s="1064"/>
      <c r="AJ29" s="1064"/>
      <c r="AK29" s="1064"/>
      <c r="AL29" s="1064"/>
      <c r="AM29" s="1064"/>
      <c r="AN29" s="1064"/>
      <c r="AO29" s="1064"/>
      <c r="AP29" s="1064"/>
      <c r="AQ29" s="1064"/>
      <c r="AR29" s="1064"/>
      <c r="AS29" s="1064"/>
      <c r="AT29" s="1064"/>
      <c r="AU29" s="1064"/>
      <c r="AV29" s="1064"/>
      <c r="AW29" s="1064"/>
      <c r="AX29" s="1064"/>
      <c r="AY29" s="1064"/>
      <c r="AZ29" s="1064"/>
      <c r="BA29" s="1064"/>
      <c r="BB29" s="1064"/>
      <c r="BC29" s="1064"/>
      <c r="BD29" s="1064"/>
      <c r="BE29" s="1064"/>
      <c r="BF29" s="1064"/>
      <c r="BG29" s="1064"/>
      <c r="BH29" s="1064"/>
      <c r="BI29" s="1064"/>
      <c r="BJ29" s="1064"/>
      <c r="BK29" s="1064"/>
      <c r="BL29" s="1064"/>
      <c r="BM29" s="878"/>
      <c r="BN29" s="878"/>
      <c r="BO29" s="878"/>
      <c r="BP29" s="878"/>
      <c r="BQ29" s="878"/>
      <c r="BR29" s="878"/>
      <c r="BS29" s="878"/>
      <c r="BT29" s="878"/>
      <c r="BU29" s="878"/>
      <c r="BV29" s="878"/>
      <c r="BW29" s="878"/>
      <c r="BX29" s="878"/>
      <c r="BY29" s="878"/>
    </row>
    <row r="30" spans="1:77" ht="12.75" customHeight="1">
      <c r="A30" s="1003" t="s">
        <v>1114</v>
      </c>
      <c r="B30" s="1006">
        <f>SUM(AU8:AW22)*0.83</f>
        <v>0</v>
      </c>
      <c r="C30" s="1081">
        <f t="shared" si="4"/>
        <v>14.066666666666668</v>
      </c>
      <c r="D30" s="1066">
        <f t="shared" si="2"/>
        <v>0</v>
      </c>
      <c r="E30" s="1082"/>
      <c r="F30" s="1088">
        <v>0.15</v>
      </c>
      <c r="G30" s="1089">
        <v>0.85</v>
      </c>
      <c r="H30" s="1081">
        <f t="shared" si="3"/>
        <v>0</v>
      </c>
      <c r="I30" s="1081">
        <f t="shared" si="1"/>
        <v>0</v>
      </c>
      <c r="J30" s="1087"/>
      <c r="K30" s="1368"/>
      <c r="L30" s="1084">
        <v>24</v>
      </c>
      <c r="M30" s="1085" t="str">
        <f>Grünland!C27</f>
        <v>-</v>
      </c>
      <c r="N30" s="1066">
        <f>Grünland!BW27</f>
        <v>0</v>
      </c>
      <c r="O30" s="1066">
        <f>Grünland!BX27</f>
        <v>0</v>
      </c>
      <c r="P30" s="1066">
        <f>Grünland!BY27</f>
        <v>0</v>
      </c>
      <c r="Q30" s="1086"/>
      <c r="R30" s="1086"/>
      <c r="S30" s="1086"/>
      <c r="U30" s="1064"/>
      <c r="V30" s="1064"/>
      <c r="W30" s="1064"/>
      <c r="X30" s="1064"/>
      <c r="Y30" s="1064"/>
      <c r="Z30" s="1064"/>
      <c r="AA30" s="1064"/>
      <c r="AB30" s="1064"/>
      <c r="AC30" s="1064"/>
      <c r="AD30" s="1064"/>
      <c r="AE30" s="1064"/>
      <c r="AF30" s="1064"/>
      <c r="AG30" s="1064"/>
      <c r="AH30" s="1064"/>
      <c r="AI30" s="1064"/>
      <c r="AJ30" s="1064"/>
      <c r="AK30" s="1064"/>
      <c r="AL30" s="1064"/>
      <c r="AM30" s="1064"/>
      <c r="AN30" s="1064"/>
      <c r="AO30" s="1064"/>
      <c r="AP30" s="1064"/>
      <c r="AQ30" s="1064"/>
      <c r="AR30" s="1064"/>
      <c r="AS30" s="1064"/>
      <c r="AT30" s="1064"/>
      <c r="AU30" s="1064"/>
      <c r="AV30" s="1064"/>
      <c r="AW30" s="1064"/>
      <c r="AX30" s="1064"/>
      <c r="AY30" s="1064"/>
      <c r="AZ30" s="1064"/>
      <c r="BA30" s="1064"/>
      <c r="BB30" s="1064"/>
      <c r="BC30" s="1064"/>
      <c r="BD30" s="1064"/>
      <c r="BE30" s="1064"/>
      <c r="BF30" s="1064"/>
      <c r="BG30" s="1064"/>
      <c r="BH30" s="1064"/>
      <c r="BI30" s="1064"/>
      <c r="BJ30" s="1064"/>
      <c r="BK30" s="1064"/>
      <c r="BL30" s="1064"/>
      <c r="BM30" s="878"/>
      <c r="BN30" s="878"/>
      <c r="BO30" s="878"/>
      <c r="BP30" s="878"/>
      <c r="BQ30" s="878"/>
      <c r="BR30" s="878"/>
      <c r="BS30" s="878"/>
      <c r="BT30" s="878"/>
      <c r="BU30" s="878"/>
      <c r="BV30" s="878"/>
      <c r="BW30" s="878"/>
      <c r="BX30" s="878"/>
      <c r="BY30" s="878"/>
    </row>
    <row r="31" spans="1:77" ht="12.75" customHeight="1">
      <c r="A31" s="1003" t="s">
        <v>1115</v>
      </c>
      <c r="B31" s="1006">
        <f>SUM(AX8:AZ22)*0.83</f>
        <v>0</v>
      </c>
      <c r="C31" s="1081">
        <f t="shared" si="4"/>
        <v>13.966666666666667</v>
      </c>
      <c r="D31" s="1066">
        <f t="shared" si="2"/>
        <v>0</v>
      </c>
      <c r="E31" s="1082"/>
      <c r="F31" s="1081">
        <v>0.1</v>
      </c>
      <c r="G31" s="1083">
        <v>0.9</v>
      </c>
      <c r="H31" s="1081">
        <f t="shared" si="3"/>
        <v>0</v>
      </c>
      <c r="I31" s="1081">
        <f t="shared" si="1"/>
        <v>0</v>
      </c>
      <c r="J31" s="1087"/>
      <c r="K31" s="1368"/>
      <c r="L31" s="1084">
        <v>25</v>
      </c>
      <c r="M31" s="1085" t="str">
        <f>Grünland!C28</f>
        <v>-</v>
      </c>
      <c r="N31" s="1066">
        <f>Grünland!BW28</f>
        <v>0</v>
      </c>
      <c r="O31" s="1066">
        <f>Grünland!BX28</f>
        <v>0</v>
      </c>
      <c r="P31" s="1066">
        <f>Grünland!BY28</f>
        <v>0</v>
      </c>
      <c r="Q31" s="1086"/>
      <c r="R31" s="1086"/>
      <c r="S31" s="1086"/>
      <c r="U31" s="1064"/>
      <c r="V31" s="1064"/>
      <c r="W31" s="1064"/>
      <c r="X31" s="1064"/>
      <c r="Y31" s="1064"/>
      <c r="Z31" s="1064"/>
      <c r="AA31" s="1064"/>
      <c r="AB31" s="1064"/>
      <c r="AC31" s="1064"/>
      <c r="AD31" s="1064"/>
      <c r="AE31" s="1064"/>
      <c r="AF31" s="1064"/>
      <c r="AG31" s="1064"/>
      <c r="AH31" s="1064"/>
      <c r="AI31" s="1064"/>
      <c r="AJ31" s="1064"/>
      <c r="AK31" s="1064"/>
      <c r="AL31" s="1064"/>
      <c r="AM31" s="1064"/>
      <c r="AN31" s="1064"/>
      <c r="AO31" s="1064"/>
      <c r="AP31" s="1064"/>
      <c r="AQ31" s="1064"/>
      <c r="AR31" s="1064"/>
      <c r="AS31" s="1064"/>
      <c r="AT31" s="1064"/>
      <c r="AU31" s="1064"/>
      <c r="AV31" s="1064"/>
      <c r="AW31" s="1064"/>
      <c r="AX31" s="1064"/>
      <c r="AY31" s="1064"/>
      <c r="AZ31" s="1064"/>
      <c r="BA31" s="1064"/>
      <c r="BB31" s="1064"/>
      <c r="BC31" s="1064"/>
      <c r="BD31" s="1064"/>
      <c r="BE31" s="1064"/>
      <c r="BF31" s="1064"/>
      <c r="BG31" s="1064"/>
      <c r="BH31" s="1064"/>
      <c r="BI31" s="1064"/>
      <c r="BJ31" s="1064"/>
      <c r="BK31" s="1064"/>
      <c r="BL31" s="1064"/>
      <c r="BM31" s="878"/>
      <c r="BN31" s="878"/>
      <c r="BO31" s="878"/>
      <c r="BP31" s="878"/>
      <c r="BQ31" s="878"/>
      <c r="BR31" s="878"/>
      <c r="BS31" s="878"/>
      <c r="BT31" s="878"/>
      <c r="BU31" s="878"/>
      <c r="BV31" s="878"/>
      <c r="BW31" s="878"/>
      <c r="BX31" s="878"/>
      <c r="BY31" s="878"/>
    </row>
    <row r="32" spans="1:77" ht="12.75" customHeight="1">
      <c r="A32" s="1003" t="s">
        <v>1116</v>
      </c>
      <c r="B32" s="1006">
        <f>SUM(BA8:BC22)*0.83</f>
        <v>0</v>
      </c>
      <c r="C32" s="1081">
        <f t="shared" si="4"/>
        <v>13.6</v>
      </c>
      <c r="D32" s="1066">
        <f t="shared" si="2"/>
        <v>0</v>
      </c>
      <c r="E32" s="1082"/>
      <c r="F32" s="1088">
        <v>0.05</v>
      </c>
      <c r="G32" s="1089">
        <v>0.95</v>
      </c>
      <c r="H32" s="1081">
        <f t="shared" si="3"/>
        <v>0</v>
      </c>
      <c r="I32" s="1081">
        <f t="shared" si="1"/>
        <v>0</v>
      </c>
      <c r="J32" s="1087"/>
      <c r="K32" s="1368"/>
      <c r="L32" s="1084">
        <v>26</v>
      </c>
      <c r="M32" s="1085" t="str">
        <f>Grünland!C29</f>
        <v>-</v>
      </c>
      <c r="N32" s="1066">
        <f>Grünland!BW29</f>
        <v>0</v>
      </c>
      <c r="O32" s="1066">
        <f>Grünland!BX29</f>
        <v>0</v>
      </c>
      <c r="P32" s="1066">
        <f>Grünland!BY29</f>
        <v>0</v>
      </c>
      <c r="Q32" s="1086"/>
      <c r="R32" s="1086"/>
      <c r="S32" s="1086"/>
      <c r="U32" s="1064"/>
      <c r="V32" s="1064"/>
      <c r="W32" s="1064"/>
      <c r="X32" s="1064"/>
      <c r="Y32" s="1064"/>
      <c r="Z32" s="1064"/>
      <c r="AA32" s="1064"/>
      <c r="AB32" s="1064"/>
      <c r="AC32" s="1064"/>
      <c r="AD32" s="1064"/>
      <c r="AE32" s="1064"/>
      <c r="AF32" s="1064"/>
      <c r="AG32" s="1064"/>
      <c r="AH32" s="1064"/>
      <c r="AI32" s="1064"/>
      <c r="AJ32" s="1064"/>
      <c r="AK32" s="1064"/>
      <c r="AL32" s="1064"/>
      <c r="AM32" s="1064"/>
      <c r="AN32" s="1064"/>
      <c r="AO32" s="1064"/>
      <c r="AP32" s="1064"/>
      <c r="AQ32" s="1064"/>
      <c r="AR32" s="1064"/>
      <c r="AS32" s="1064"/>
      <c r="AT32" s="1064"/>
      <c r="AU32" s="1064"/>
      <c r="AV32" s="1064"/>
      <c r="AW32" s="1064"/>
      <c r="AX32" s="1064"/>
      <c r="AY32" s="1064"/>
      <c r="AZ32" s="1064"/>
      <c r="BA32" s="1064"/>
      <c r="BB32" s="1064"/>
      <c r="BC32" s="1064"/>
      <c r="BD32" s="1064"/>
      <c r="BE32" s="1064"/>
      <c r="BF32" s="1064"/>
      <c r="BG32" s="1064"/>
      <c r="BH32" s="1064"/>
      <c r="BI32" s="1064"/>
      <c r="BJ32" s="1064"/>
      <c r="BK32" s="1064"/>
      <c r="BL32" s="1064"/>
      <c r="BM32" s="878"/>
      <c r="BN32" s="878"/>
      <c r="BO32" s="878"/>
      <c r="BP32" s="878"/>
      <c r="BQ32" s="878"/>
      <c r="BR32" s="878"/>
      <c r="BS32" s="878"/>
      <c r="BT32" s="878"/>
      <c r="BU32" s="878"/>
      <c r="BV32" s="878"/>
      <c r="BW32" s="878"/>
      <c r="BX32" s="878"/>
      <c r="BY32" s="878"/>
    </row>
    <row r="33" spans="1:77" ht="12.75" customHeight="1">
      <c r="A33" s="1003" t="s">
        <v>1117</v>
      </c>
      <c r="B33" s="1006">
        <f>SUM(BD8:BF22)*0.83</f>
        <v>0</v>
      </c>
      <c r="C33" s="1081">
        <f t="shared" si="4"/>
        <v>13.233333333333334</v>
      </c>
      <c r="D33" s="1066">
        <f t="shared" si="2"/>
        <v>0</v>
      </c>
      <c r="E33" s="1082"/>
      <c r="F33" s="1066">
        <v>0</v>
      </c>
      <c r="G33" s="1090">
        <v>1</v>
      </c>
      <c r="H33" s="1081">
        <f t="shared" si="3"/>
        <v>0</v>
      </c>
      <c r="I33" s="1081">
        <f t="shared" si="1"/>
        <v>0</v>
      </c>
      <c r="J33" s="1087"/>
      <c r="K33" s="1368"/>
      <c r="L33" s="1084">
        <v>27</v>
      </c>
      <c r="M33" s="1085" t="str">
        <f>Grünland!C30</f>
        <v>-</v>
      </c>
      <c r="N33" s="1066">
        <f>Grünland!BW30</f>
        <v>0</v>
      </c>
      <c r="O33" s="1066">
        <f>Grünland!BX30</f>
        <v>0</v>
      </c>
      <c r="P33" s="1066">
        <f>Grünland!BY30</f>
        <v>0</v>
      </c>
      <c r="Q33" s="1086"/>
      <c r="R33" s="1086"/>
      <c r="S33" s="1086"/>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c r="AU33" s="1064"/>
      <c r="AV33" s="1064"/>
      <c r="AW33" s="1064"/>
      <c r="AX33" s="1064"/>
      <c r="AY33" s="1064"/>
      <c r="AZ33" s="1064"/>
      <c r="BA33" s="1064"/>
      <c r="BB33" s="1064"/>
      <c r="BC33" s="1064"/>
      <c r="BD33" s="1064"/>
      <c r="BE33" s="1064"/>
      <c r="BF33" s="1064"/>
      <c r="BG33" s="1064"/>
      <c r="BH33" s="1064"/>
      <c r="BI33" s="1064"/>
      <c r="BJ33" s="1064"/>
      <c r="BK33" s="1064"/>
      <c r="BL33" s="1064"/>
      <c r="BM33" s="878"/>
      <c r="BN33" s="878"/>
      <c r="BO33" s="878"/>
      <c r="BP33" s="878"/>
      <c r="BQ33" s="878"/>
      <c r="BR33" s="878"/>
      <c r="BS33" s="878"/>
      <c r="BT33" s="878"/>
      <c r="BU33" s="878"/>
      <c r="BV33" s="878"/>
      <c r="BW33" s="878"/>
      <c r="BX33" s="878"/>
      <c r="BY33" s="878"/>
    </row>
    <row r="34" spans="1:77" ht="12.75" customHeight="1">
      <c r="A34" s="1003" t="s">
        <v>1118</v>
      </c>
      <c r="B34" s="1006">
        <f>SUM(BG8:BI22)*0.83</f>
        <v>0</v>
      </c>
      <c r="C34" s="1081">
        <f t="shared" si="4"/>
        <v>12.966666666666669</v>
      </c>
      <c r="D34" s="1066">
        <f t="shared" si="2"/>
        <v>0</v>
      </c>
      <c r="E34" s="1082"/>
      <c r="F34" s="1066">
        <v>0</v>
      </c>
      <c r="G34" s="1090">
        <v>1</v>
      </c>
      <c r="H34" s="1081">
        <f t="shared" si="3"/>
        <v>0</v>
      </c>
      <c r="I34" s="1081">
        <f t="shared" si="1"/>
        <v>0</v>
      </c>
      <c r="J34" s="1087"/>
      <c r="K34" s="1368"/>
      <c r="L34" s="1084">
        <v>28</v>
      </c>
      <c r="M34" s="1085" t="str">
        <f>Grünland!C31</f>
        <v>-</v>
      </c>
      <c r="N34" s="1066">
        <f>Grünland!BW31</f>
        <v>0</v>
      </c>
      <c r="O34" s="1066">
        <f>Grünland!BX31</f>
        <v>0</v>
      </c>
      <c r="P34" s="1066">
        <f>Grünland!BY31</f>
        <v>0</v>
      </c>
      <c r="Q34" s="1086"/>
      <c r="R34" s="1086"/>
      <c r="S34" s="1086"/>
      <c r="U34" s="1064"/>
      <c r="V34" s="1064"/>
      <c r="W34" s="1064"/>
      <c r="X34" s="1064"/>
      <c r="Y34" s="1064"/>
      <c r="Z34" s="1064"/>
      <c r="AA34" s="1064"/>
      <c r="AB34" s="1064"/>
      <c r="AC34" s="1064"/>
      <c r="AD34" s="1064"/>
      <c r="AE34" s="1064"/>
      <c r="AF34" s="1064"/>
      <c r="AG34" s="1064"/>
      <c r="AH34" s="1064"/>
      <c r="AI34" s="1064"/>
      <c r="AJ34" s="1064"/>
      <c r="AK34" s="1064"/>
      <c r="AL34" s="1064"/>
      <c r="AM34" s="1064"/>
      <c r="AN34" s="1064"/>
      <c r="AO34" s="1064"/>
      <c r="AP34" s="1064"/>
      <c r="AQ34" s="1064"/>
      <c r="AR34" s="1064"/>
      <c r="AS34" s="1064"/>
      <c r="AT34" s="1064"/>
      <c r="AU34" s="1064"/>
      <c r="AV34" s="1064"/>
      <c r="AW34" s="1064"/>
      <c r="AX34" s="1064"/>
      <c r="AY34" s="1064"/>
      <c r="AZ34" s="1064"/>
      <c r="BA34" s="1064"/>
      <c r="BB34" s="1064"/>
      <c r="BC34" s="1064"/>
      <c r="BD34" s="1064"/>
      <c r="BE34" s="1064"/>
      <c r="BF34" s="1064"/>
      <c r="BG34" s="1064"/>
      <c r="BH34" s="1064"/>
      <c r="BI34" s="1064"/>
      <c r="BJ34" s="1064"/>
      <c r="BK34" s="1064"/>
      <c r="BL34" s="1064"/>
      <c r="BM34" s="878"/>
      <c r="BN34" s="878"/>
      <c r="BO34" s="878"/>
      <c r="BP34" s="878"/>
      <c r="BQ34" s="878"/>
      <c r="BR34" s="878"/>
      <c r="BS34" s="878"/>
      <c r="BT34" s="878"/>
      <c r="BU34" s="878"/>
      <c r="BV34" s="878"/>
      <c r="BW34" s="878"/>
      <c r="BX34" s="878"/>
      <c r="BY34" s="878"/>
    </row>
    <row r="35" spans="1:77" ht="12.75" customHeight="1">
      <c r="A35" s="1003"/>
      <c r="B35" s="1006"/>
      <c r="C35" s="1083"/>
      <c r="D35" s="1066"/>
      <c r="E35" s="1082"/>
      <c r="F35" s="1066"/>
      <c r="G35" s="1090"/>
      <c r="H35" s="1081"/>
      <c r="I35" s="1081"/>
      <c r="J35" s="1087"/>
      <c r="K35" s="1368"/>
      <c r="L35" s="1084">
        <v>29</v>
      </c>
      <c r="M35" s="1085" t="str">
        <f>Grünland!C32</f>
        <v>-</v>
      </c>
      <c r="N35" s="1066">
        <f>Grünland!BW32</f>
        <v>0</v>
      </c>
      <c r="O35" s="1066">
        <f>Grünland!BX32</f>
        <v>0</v>
      </c>
      <c r="P35" s="1066">
        <f>Grünland!BY32</f>
        <v>0</v>
      </c>
      <c r="Q35" s="1086"/>
      <c r="R35" s="1086"/>
      <c r="S35" s="1086"/>
      <c r="U35" s="1064"/>
      <c r="V35" s="1064"/>
      <c r="W35" s="1064"/>
      <c r="X35" s="1064"/>
      <c r="Y35" s="1064"/>
      <c r="Z35" s="1064"/>
      <c r="AA35" s="1064"/>
      <c r="AB35" s="1064"/>
      <c r="AC35" s="1064"/>
      <c r="AD35" s="1064"/>
      <c r="AE35" s="1064"/>
      <c r="AF35" s="1064"/>
      <c r="AG35" s="1064"/>
      <c r="AH35" s="1064"/>
      <c r="AI35" s="1064"/>
      <c r="AJ35" s="1064"/>
      <c r="AK35" s="1064"/>
      <c r="AL35" s="1064"/>
      <c r="AM35" s="1064"/>
      <c r="AN35" s="1064"/>
      <c r="AO35" s="1064"/>
      <c r="AP35" s="1064"/>
      <c r="AQ35" s="1064"/>
      <c r="AR35" s="1064"/>
      <c r="AS35" s="1064"/>
      <c r="AT35" s="1064"/>
      <c r="AU35" s="1064"/>
      <c r="AV35" s="1064"/>
      <c r="AW35" s="1064"/>
      <c r="AX35" s="1064"/>
      <c r="AY35" s="1064"/>
      <c r="AZ35" s="1064"/>
      <c r="BA35" s="1064"/>
      <c r="BB35" s="1064"/>
      <c r="BC35" s="1064"/>
      <c r="BD35" s="1064"/>
      <c r="BE35" s="1064"/>
      <c r="BF35" s="1064"/>
      <c r="BG35" s="1064"/>
      <c r="BH35" s="1064"/>
      <c r="BI35" s="1064"/>
      <c r="BJ35" s="1064"/>
      <c r="BK35" s="1064"/>
      <c r="BL35" s="1064"/>
      <c r="BM35" s="878"/>
      <c r="BN35" s="878"/>
      <c r="BO35" s="878"/>
      <c r="BP35" s="878"/>
      <c r="BQ35" s="878"/>
      <c r="BR35" s="878"/>
      <c r="BS35" s="878"/>
      <c r="BT35" s="878"/>
      <c r="BU35" s="878"/>
      <c r="BV35" s="878"/>
      <c r="BW35" s="878"/>
      <c r="BX35" s="878"/>
      <c r="BY35" s="878"/>
    </row>
    <row r="36" spans="1:77" ht="12.75" customHeight="1">
      <c r="A36" s="1003" t="s">
        <v>1119</v>
      </c>
      <c r="B36" s="1006">
        <f>B37*0.17</f>
        <v>0</v>
      </c>
      <c r="C36" s="1083">
        <f>AA53</f>
        <v>13</v>
      </c>
      <c r="D36" s="1066">
        <f t="shared" si="2"/>
        <v>0</v>
      </c>
      <c r="E36" s="1082"/>
      <c r="F36" s="1081">
        <v>0.5</v>
      </c>
      <c r="G36" s="1083">
        <v>0.5</v>
      </c>
      <c r="H36" s="1081">
        <f t="shared" si="3"/>
        <v>0</v>
      </c>
      <c r="I36" s="1081">
        <f t="shared" si="1"/>
        <v>0</v>
      </c>
      <c r="K36" s="878"/>
      <c r="L36" s="1084">
        <v>30</v>
      </c>
      <c r="M36" s="1085" t="str">
        <f>Grünland!C33</f>
        <v>-</v>
      </c>
      <c r="N36" s="1066">
        <f>Grünland!BW33</f>
        <v>0</v>
      </c>
      <c r="O36" s="1066">
        <f>Grünland!BX33</f>
        <v>0</v>
      </c>
      <c r="P36" s="1066">
        <f>Grünland!BY33</f>
        <v>0</v>
      </c>
      <c r="Q36" s="1086"/>
      <c r="R36" s="1086"/>
      <c r="S36" s="1086"/>
      <c r="U36" s="1064"/>
      <c r="V36" s="1064"/>
      <c r="W36" s="1064"/>
      <c r="X36" s="1064"/>
      <c r="Y36" s="1064"/>
      <c r="Z36" s="1064"/>
      <c r="AA36" s="1064"/>
      <c r="AB36" s="1064"/>
      <c r="AC36" s="1064"/>
      <c r="AD36" s="1064"/>
      <c r="AE36" s="1064"/>
      <c r="AF36" s="1064"/>
      <c r="AG36" s="1064"/>
      <c r="AH36" s="1064"/>
      <c r="AI36" s="1064"/>
      <c r="AJ36" s="1064"/>
      <c r="AK36" s="1064"/>
      <c r="AL36" s="1064"/>
      <c r="AM36" s="1064"/>
      <c r="AN36" s="1064"/>
      <c r="AO36" s="1064"/>
      <c r="AP36" s="1064"/>
      <c r="AQ36" s="1064"/>
      <c r="AR36" s="1064"/>
      <c r="AS36" s="1064"/>
      <c r="AT36" s="1064"/>
      <c r="AU36" s="1064"/>
      <c r="AV36" s="1064"/>
      <c r="AW36" s="1064"/>
      <c r="AX36" s="1064"/>
      <c r="AY36" s="1064"/>
      <c r="AZ36" s="1064"/>
      <c r="BA36" s="1064"/>
      <c r="BB36" s="1064"/>
      <c r="BC36" s="1064"/>
      <c r="BD36" s="1064"/>
      <c r="BE36" s="1064"/>
      <c r="BF36" s="1064"/>
      <c r="BG36" s="1064"/>
      <c r="BH36" s="1064"/>
      <c r="BI36" s="1064"/>
      <c r="BJ36" s="1064"/>
      <c r="BK36" s="1064"/>
      <c r="BL36" s="1064"/>
      <c r="BM36" s="878"/>
      <c r="BN36" s="878"/>
      <c r="BO36" s="878"/>
      <c r="BP36" s="878"/>
      <c r="BQ36" s="878"/>
      <c r="BR36" s="878"/>
      <c r="BS36" s="878"/>
      <c r="BT36" s="878"/>
      <c r="BU36" s="878"/>
      <c r="BV36" s="878"/>
      <c r="BW36" s="878"/>
      <c r="BX36" s="878"/>
      <c r="BY36" s="878"/>
    </row>
    <row r="37" spans="1:77" ht="13.5" customHeight="1">
      <c r="A37" s="1007" t="s">
        <v>1120</v>
      </c>
      <c r="B37" s="1091">
        <f>SUM(AL8:BI30)</f>
        <v>0</v>
      </c>
      <c r="C37" s="1082"/>
      <c r="D37" s="1092">
        <f>SUM(D8:D36)</f>
        <v>0</v>
      </c>
      <c r="E37" s="1082"/>
      <c r="F37" s="1082"/>
      <c r="G37" s="1082"/>
      <c r="H37" s="1092">
        <f>SUM(H8:H36)</f>
        <v>0</v>
      </c>
      <c r="I37" s="1092">
        <f>SUM(I8:I36)</f>
        <v>0</v>
      </c>
      <c r="K37" s="878"/>
      <c r="L37" s="2524" t="s">
        <v>1121</v>
      </c>
      <c r="M37" s="2525"/>
      <c r="N37" s="2526"/>
      <c r="O37" s="1092">
        <f>SUM(O8:O36)</f>
        <v>0</v>
      </c>
      <c r="P37" s="1092">
        <f>SUM(P8:P36)</f>
        <v>0</v>
      </c>
      <c r="Q37" s="1093"/>
      <c r="R37" s="1093"/>
      <c r="S37" s="1093"/>
      <c r="U37" s="1064"/>
      <c r="V37" s="1064"/>
      <c r="W37" s="1064"/>
      <c r="X37" s="1064"/>
      <c r="Y37" s="1064"/>
      <c r="Z37" s="1064"/>
      <c r="AA37" s="1064"/>
      <c r="AB37" s="1064"/>
      <c r="AC37" s="1064" t="s">
        <v>1122</v>
      </c>
      <c r="AD37" s="1064"/>
      <c r="AE37" s="1064"/>
      <c r="AF37" s="1064"/>
      <c r="AG37" s="1064"/>
      <c r="AH37" s="1064"/>
      <c r="AI37" s="1064"/>
      <c r="AJ37" s="1064"/>
      <c r="AK37" s="1064"/>
      <c r="AL37" s="1064"/>
      <c r="AM37" s="1064"/>
      <c r="AN37" s="1064"/>
      <c r="AO37" s="1064"/>
      <c r="AP37" s="1064"/>
      <c r="AQ37" s="1064"/>
      <c r="AR37" s="1064"/>
      <c r="AS37" s="1064"/>
      <c r="AT37" s="1064"/>
      <c r="AU37" s="1064"/>
      <c r="AV37" s="1064"/>
      <c r="AW37" s="1064"/>
      <c r="AX37" s="1064"/>
      <c r="AY37" s="1064"/>
      <c r="AZ37" s="1064"/>
      <c r="BA37" s="1064"/>
      <c r="BB37" s="1064"/>
      <c r="BC37" s="1064"/>
      <c r="BD37" s="1064"/>
      <c r="BE37" s="1064"/>
      <c r="BF37" s="1064"/>
      <c r="BG37" s="1064"/>
      <c r="BH37" s="1064"/>
      <c r="BI37" s="1064"/>
      <c r="BJ37" s="1064"/>
      <c r="BK37" s="1064"/>
      <c r="BL37" s="1064"/>
      <c r="BM37" s="878"/>
      <c r="BN37" s="878"/>
      <c r="BO37" s="878"/>
      <c r="BP37" s="878"/>
      <c r="BQ37" s="878"/>
      <c r="BR37" s="878"/>
      <c r="BS37" s="878"/>
      <c r="BT37" s="878"/>
      <c r="BU37" s="878"/>
      <c r="BV37" s="878"/>
      <c r="BW37" s="878"/>
      <c r="BX37" s="878"/>
      <c r="BY37" s="878"/>
    </row>
    <row r="38" spans="1:77" ht="13.5" customHeight="1">
      <c r="K38" s="878"/>
      <c r="L38" s="2524" t="s">
        <v>1123</v>
      </c>
      <c r="M38" s="2525"/>
      <c r="N38" s="2526"/>
      <c r="O38" s="1092">
        <f>H37</f>
        <v>0</v>
      </c>
      <c r="P38" s="1092">
        <f>I37</f>
        <v>0</v>
      </c>
      <c r="Q38" s="1093"/>
      <c r="R38" s="1093"/>
      <c r="S38" s="1093"/>
      <c r="U38" s="1064"/>
      <c r="V38" s="1064"/>
      <c r="W38" s="1064"/>
      <c r="X38" s="2527" t="s">
        <v>1124</v>
      </c>
      <c r="Y38" s="2528"/>
      <c r="Z38" s="2529"/>
      <c r="AA38" s="2530" t="s">
        <v>1125</v>
      </c>
      <c r="AB38" s="1064"/>
      <c r="AC38" s="1064" t="s">
        <v>1126</v>
      </c>
      <c r="AD38" s="1064"/>
      <c r="AE38" s="1064"/>
      <c r="AF38" s="1064"/>
      <c r="AG38" s="1064"/>
      <c r="AH38" s="1064"/>
      <c r="AI38" s="1064"/>
      <c r="AJ38" s="1064"/>
      <c r="AK38" s="1064"/>
      <c r="AL38" s="1064"/>
      <c r="AM38" s="1064"/>
      <c r="AN38" s="1064"/>
      <c r="AO38" s="1064"/>
      <c r="AP38" s="1064"/>
      <c r="AQ38" s="1064"/>
      <c r="AR38" s="1064"/>
      <c r="AS38" s="1064"/>
      <c r="AT38" s="1064"/>
      <c r="AU38" s="1064"/>
      <c r="AV38" s="1064"/>
      <c r="AW38" s="1064"/>
      <c r="AX38" s="1064"/>
      <c r="AY38" s="1064"/>
      <c r="AZ38" s="1064"/>
      <c r="BA38" s="1064"/>
      <c r="BB38" s="1064"/>
      <c r="BC38" s="1064"/>
      <c r="BD38" s="1064"/>
      <c r="BE38" s="1064"/>
      <c r="BF38" s="1064"/>
      <c r="BG38" s="1064"/>
      <c r="BH38" s="1064"/>
      <c r="BI38" s="1064"/>
      <c r="BJ38" s="1064"/>
      <c r="BK38" s="1064"/>
      <c r="BL38" s="1064"/>
      <c r="BM38" s="878"/>
      <c r="BN38" s="878"/>
      <c r="BO38" s="878"/>
      <c r="BP38" s="878"/>
      <c r="BQ38" s="878"/>
      <c r="BR38" s="878"/>
      <c r="BS38" s="878"/>
      <c r="BT38" s="878"/>
      <c r="BU38" s="878"/>
      <c r="BV38" s="878"/>
      <c r="BW38" s="878"/>
      <c r="BX38" s="878"/>
      <c r="BY38" s="878"/>
    </row>
    <row r="39" spans="1:77" ht="16.5" customHeight="1">
      <c r="K39" s="878"/>
      <c r="L39" s="878"/>
      <c r="M39" s="878"/>
      <c r="N39" s="878"/>
      <c r="O39" s="878"/>
      <c r="P39" s="878"/>
      <c r="Q39" s="878"/>
      <c r="R39" s="878"/>
      <c r="S39" s="878"/>
      <c r="T39" s="6"/>
      <c r="U39" s="1064"/>
      <c r="V39" s="1094"/>
      <c r="W39" s="836" t="s">
        <v>1104</v>
      </c>
      <c r="X39" s="1095" t="s">
        <v>1127</v>
      </c>
      <c r="Y39" s="837" t="s">
        <v>1128</v>
      </c>
      <c r="Z39" s="837" t="s">
        <v>1129</v>
      </c>
      <c r="AA39" s="2531"/>
      <c r="AB39" s="1064"/>
      <c r="AC39" s="1064"/>
      <c r="AD39" s="1064"/>
      <c r="AE39" s="1064"/>
      <c r="AF39" s="1064"/>
      <c r="AG39" s="1064"/>
      <c r="AH39" s="1064"/>
      <c r="AI39" s="1064"/>
      <c r="AJ39" s="1064"/>
      <c r="AK39" s="1064"/>
      <c r="AL39" s="1064"/>
      <c r="AM39" s="1064"/>
      <c r="AN39" s="1064"/>
      <c r="AO39" s="1064"/>
      <c r="AP39" s="1064"/>
      <c r="AQ39" s="1064"/>
      <c r="AR39" s="1064"/>
      <c r="AS39" s="1064"/>
      <c r="AT39" s="1064"/>
      <c r="AU39" s="1064"/>
      <c r="AV39" s="1064"/>
      <c r="AW39" s="1064"/>
      <c r="AX39" s="1064"/>
      <c r="AY39" s="1064"/>
      <c r="AZ39" s="1064"/>
      <c r="BA39" s="1064"/>
      <c r="BB39" s="1064"/>
      <c r="BC39" s="1064"/>
      <c r="BD39" s="1064"/>
      <c r="BE39" s="1064"/>
      <c r="BF39" s="1064"/>
      <c r="BG39" s="1064"/>
      <c r="BH39" s="1064"/>
      <c r="BI39" s="1064"/>
      <c r="BJ39" s="1064"/>
      <c r="BK39" s="1064"/>
      <c r="BL39" s="1064"/>
      <c r="BM39" s="878"/>
      <c r="BN39" s="878"/>
      <c r="BO39" s="878"/>
      <c r="BP39" s="878"/>
      <c r="BQ39" s="878"/>
      <c r="BR39" s="878"/>
      <c r="BS39" s="878"/>
      <c r="BT39" s="878"/>
      <c r="BU39" s="878"/>
      <c r="BV39" s="878"/>
      <c r="BW39" s="878"/>
      <c r="BX39" s="878"/>
      <c r="BY39" s="878"/>
    </row>
    <row r="40" spans="1:77" ht="13.5" customHeight="1">
      <c r="K40" s="878"/>
      <c r="L40" s="1009"/>
      <c r="M40" s="1010"/>
      <c r="N40" s="1004"/>
      <c r="O40" s="1004"/>
      <c r="P40" s="1004"/>
      <c r="Q40" s="1004"/>
      <c r="R40" s="1004"/>
      <c r="S40" s="1004"/>
      <c r="T40" s="6"/>
      <c r="U40" s="1064"/>
      <c r="V40" s="837" t="s">
        <v>1106</v>
      </c>
      <c r="W40" s="1096">
        <f t="shared" ref="W40:W46" si="5">B8</f>
        <v>0</v>
      </c>
      <c r="X40" s="2532"/>
      <c r="Y40" s="2533"/>
      <c r="Z40" s="2534"/>
      <c r="AA40" s="1097">
        <v>2.2000000000000002</v>
      </c>
      <c r="AB40" s="1064"/>
      <c r="AC40" s="2541" t="s">
        <v>1130</v>
      </c>
      <c r="AD40" s="2541"/>
      <c r="AE40" s="2520" t="s">
        <v>1131</v>
      </c>
      <c r="AF40" s="2521"/>
      <c r="AG40" s="2520" t="s">
        <v>1132</v>
      </c>
      <c r="AH40" s="2521"/>
      <c r="AI40" s="1064"/>
      <c r="AJ40" s="1064"/>
      <c r="AK40" s="1064"/>
      <c r="AL40" s="1064"/>
      <c r="AM40" s="1064"/>
      <c r="AN40" s="1064"/>
      <c r="AO40" s="1064"/>
      <c r="AP40" s="1064"/>
      <c r="AQ40" s="1064"/>
      <c r="AR40" s="1064"/>
      <c r="AS40" s="1064"/>
      <c r="AT40" s="1064"/>
      <c r="AU40" s="1064"/>
      <c r="AV40" s="1064"/>
      <c r="AW40" s="1064"/>
      <c r="AX40" s="1064"/>
      <c r="AY40" s="1064"/>
      <c r="AZ40" s="1064"/>
      <c r="BA40" s="1064"/>
      <c r="BB40" s="1064"/>
      <c r="BC40" s="1064"/>
      <c r="BD40" s="1064"/>
      <c r="BE40" s="1064"/>
      <c r="BF40" s="1064"/>
      <c r="BG40" s="1064"/>
      <c r="BH40" s="1064"/>
      <c r="BI40" s="1064"/>
      <c r="BJ40" s="1064"/>
      <c r="BK40" s="1064"/>
      <c r="BL40" s="1064"/>
      <c r="BM40" s="878"/>
      <c r="BN40" s="878"/>
      <c r="BO40" s="878"/>
      <c r="BP40" s="878"/>
      <c r="BQ40" s="878"/>
      <c r="BR40" s="878"/>
      <c r="BS40" s="878"/>
      <c r="BT40" s="878"/>
      <c r="BU40" s="878"/>
      <c r="BV40" s="878"/>
      <c r="BW40" s="878"/>
      <c r="BX40" s="878"/>
      <c r="BY40" s="878"/>
    </row>
    <row r="41" spans="1:77">
      <c r="I41" s="1098"/>
      <c r="K41" s="878"/>
      <c r="L41" s="1004"/>
      <c r="M41" s="1099"/>
      <c r="N41" s="1004"/>
      <c r="O41" s="1004"/>
      <c r="P41" s="1004"/>
      <c r="Q41" s="1004"/>
      <c r="R41" s="1004"/>
      <c r="S41" s="1004"/>
      <c r="T41" s="6"/>
      <c r="U41" s="1064"/>
      <c r="V41" s="837" t="s">
        <v>1107</v>
      </c>
      <c r="W41" s="1096">
        <f t="shared" si="5"/>
        <v>0</v>
      </c>
      <c r="X41" s="2535"/>
      <c r="Y41" s="2536"/>
      <c r="Z41" s="2537"/>
      <c r="AA41" s="1097">
        <v>4.5999999999999996</v>
      </c>
      <c r="AB41" s="1064"/>
      <c r="AC41" s="1064" t="s">
        <v>1133</v>
      </c>
      <c r="AD41" s="1064" t="s">
        <v>1134</v>
      </c>
      <c r="AE41" s="1100" t="s">
        <v>1133</v>
      </c>
      <c r="AF41" s="6" t="s">
        <v>1134</v>
      </c>
      <c r="AG41" s="1100" t="s">
        <v>1133</v>
      </c>
      <c r="AH41" s="6" t="s">
        <v>1134</v>
      </c>
      <c r="AI41" s="1064"/>
      <c r="AJ41" s="1064"/>
      <c r="AK41" s="1064"/>
      <c r="AL41" s="1064"/>
      <c r="AM41" s="1064"/>
      <c r="AN41" s="1064"/>
      <c r="AO41" s="1064"/>
      <c r="AP41" s="1064"/>
      <c r="AQ41" s="1064"/>
      <c r="AR41" s="1064"/>
      <c r="AS41" s="1064"/>
      <c r="AT41" s="1064"/>
      <c r="AU41" s="1064"/>
      <c r="AV41" s="1064"/>
      <c r="AW41" s="1064"/>
      <c r="AX41" s="1064"/>
      <c r="AY41" s="1064"/>
      <c r="AZ41" s="1064"/>
      <c r="BA41" s="1064"/>
      <c r="BB41" s="1064"/>
      <c r="BC41" s="1064"/>
      <c r="BD41" s="1064"/>
      <c r="BE41" s="1064"/>
      <c r="BF41" s="1064"/>
      <c r="BG41" s="1064"/>
      <c r="BH41" s="1064"/>
      <c r="BI41" s="1064"/>
      <c r="BJ41" s="1064"/>
      <c r="BK41" s="1064"/>
      <c r="BL41" s="1064"/>
      <c r="BM41" s="878"/>
      <c r="BN41" s="878"/>
      <c r="BO41" s="878"/>
      <c r="BP41" s="878"/>
      <c r="BQ41" s="878"/>
      <c r="BR41" s="878"/>
      <c r="BS41" s="878"/>
      <c r="BT41" s="878"/>
      <c r="BU41" s="878"/>
      <c r="BV41" s="878"/>
      <c r="BW41" s="878"/>
      <c r="BX41" s="878"/>
      <c r="BY41" s="878"/>
    </row>
    <row r="42" spans="1:77">
      <c r="K42" s="878"/>
      <c r="L42" s="2522"/>
      <c r="M42" s="2522"/>
      <c r="N42" s="1004"/>
      <c r="O42" s="1004"/>
      <c r="P42" s="1004"/>
      <c r="Q42" s="1004"/>
      <c r="R42" s="1004"/>
      <c r="S42" s="1004"/>
      <c r="T42" s="6"/>
      <c r="U42" s="1064"/>
      <c r="V42" s="837" t="s">
        <v>1108</v>
      </c>
      <c r="W42" s="1096">
        <f t="shared" si="5"/>
        <v>0</v>
      </c>
      <c r="X42" s="2535"/>
      <c r="Y42" s="2536"/>
      <c r="Z42" s="2537"/>
      <c r="AA42" s="1097">
        <v>8.5</v>
      </c>
      <c r="AB42" s="1064"/>
      <c r="AC42" s="1064">
        <v>20</v>
      </c>
      <c r="AD42" s="1064">
        <v>13.5</v>
      </c>
      <c r="AE42" s="1100">
        <v>16</v>
      </c>
      <c r="AF42" s="6">
        <v>14.7</v>
      </c>
      <c r="AG42" s="1100">
        <v>14</v>
      </c>
      <c r="AH42" s="6">
        <v>15.1</v>
      </c>
      <c r="AI42" s="1064"/>
      <c r="AJ42" s="1064"/>
      <c r="AK42" s="1064"/>
      <c r="AL42" s="1064"/>
      <c r="AM42" s="1064"/>
      <c r="AN42" s="1064"/>
      <c r="AO42" s="1064"/>
      <c r="AP42" s="1064"/>
      <c r="AQ42" s="1064"/>
      <c r="AR42" s="1064"/>
      <c r="AS42" s="1064"/>
      <c r="AT42" s="1064"/>
      <c r="AU42" s="1064"/>
      <c r="AV42" s="1064"/>
      <c r="AW42" s="1064"/>
      <c r="AX42" s="1064"/>
      <c r="AY42" s="1064"/>
      <c r="AZ42" s="1064"/>
      <c r="BA42" s="1064"/>
      <c r="BB42" s="1064"/>
      <c r="BC42" s="1064"/>
      <c r="BD42" s="1064"/>
      <c r="BE42" s="1064"/>
      <c r="BF42" s="1064"/>
      <c r="BG42" s="1064"/>
      <c r="BH42" s="1064"/>
      <c r="BI42" s="1064"/>
      <c r="BJ42" s="1064"/>
      <c r="BK42" s="1064"/>
      <c r="BL42" s="1064"/>
      <c r="BM42" s="878"/>
      <c r="BN42" s="878"/>
      <c r="BO42" s="878"/>
      <c r="BP42" s="878"/>
      <c r="BQ42" s="878"/>
      <c r="BR42" s="878"/>
      <c r="BS42" s="878"/>
      <c r="BT42" s="878"/>
      <c r="BU42" s="878"/>
      <c r="BV42" s="878"/>
      <c r="BW42" s="878"/>
      <c r="BX42" s="878"/>
      <c r="BY42" s="878"/>
    </row>
    <row r="43" spans="1:77">
      <c r="K43" s="878"/>
      <c r="L43" s="878"/>
      <c r="M43" s="1101"/>
      <c r="N43" s="878"/>
      <c r="O43" s="878"/>
      <c r="P43" s="878"/>
      <c r="Q43" s="878"/>
      <c r="R43" s="878"/>
      <c r="S43" s="878"/>
      <c r="U43" s="1064"/>
      <c r="V43" s="837" t="s">
        <v>1109</v>
      </c>
      <c r="W43" s="1096">
        <f t="shared" si="5"/>
        <v>0</v>
      </c>
      <c r="X43" s="2535"/>
      <c r="Y43" s="2536"/>
      <c r="Z43" s="2537"/>
      <c r="AA43" s="1097">
        <v>10</v>
      </c>
      <c r="AB43" s="1064"/>
      <c r="AC43" s="1064">
        <v>22</v>
      </c>
      <c r="AD43" s="1064">
        <v>13.3</v>
      </c>
      <c r="AE43" s="1100">
        <v>18</v>
      </c>
      <c r="AF43" s="6">
        <v>14.6</v>
      </c>
      <c r="AG43" s="1100">
        <v>16</v>
      </c>
      <c r="AH43" s="6">
        <v>15.5</v>
      </c>
      <c r="AI43" s="1064"/>
      <c r="AJ43" s="1064"/>
      <c r="AK43" s="1064"/>
      <c r="AL43" s="1064"/>
      <c r="AM43" s="1064"/>
      <c r="AN43" s="1064"/>
      <c r="AO43" s="1064"/>
      <c r="AP43" s="1064"/>
      <c r="AQ43" s="1064"/>
      <c r="AR43" s="1064"/>
      <c r="AS43" s="1064"/>
      <c r="AT43" s="1064"/>
      <c r="AU43" s="1064"/>
      <c r="AV43" s="1064"/>
      <c r="AW43" s="1064"/>
      <c r="AX43" s="1064"/>
      <c r="AY43" s="1064"/>
      <c r="AZ43" s="1064"/>
      <c r="BA43" s="1064"/>
      <c r="BB43" s="1064"/>
      <c r="BC43" s="1064"/>
      <c r="BD43" s="1064"/>
      <c r="BE43" s="1064"/>
      <c r="BF43" s="1064"/>
      <c r="BG43" s="1064"/>
      <c r="BH43" s="1064"/>
      <c r="BI43" s="1064"/>
      <c r="BJ43" s="1064"/>
      <c r="BK43" s="1064"/>
      <c r="BL43" s="1064"/>
      <c r="BM43" s="878"/>
      <c r="BN43" s="878"/>
      <c r="BO43" s="878"/>
      <c r="BP43" s="878"/>
      <c r="BQ43" s="878"/>
      <c r="BR43" s="878"/>
      <c r="BS43" s="878"/>
      <c r="BT43" s="878"/>
      <c r="BU43" s="878"/>
      <c r="BV43" s="878"/>
      <c r="BW43" s="878"/>
      <c r="BX43" s="878"/>
      <c r="BY43" s="878"/>
    </row>
    <row r="44" spans="1:77">
      <c r="K44" s="878"/>
      <c r="L44" s="878"/>
      <c r="M44" s="878"/>
      <c r="N44" s="878"/>
      <c r="O44" s="878"/>
      <c r="P44" s="878"/>
      <c r="Q44" s="878"/>
      <c r="R44" s="878"/>
      <c r="S44" s="878"/>
      <c r="U44" s="1064"/>
      <c r="V44" s="837" t="s">
        <v>1110</v>
      </c>
      <c r="W44" s="1096">
        <f t="shared" si="5"/>
        <v>0</v>
      </c>
      <c r="X44" s="2535"/>
      <c r="Y44" s="2536"/>
      <c r="Z44" s="2537"/>
      <c r="AA44" s="1097">
        <v>10</v>
      </c>
      <c r="AB44" s="1064"/>
      <c r="AC44" s="1064">
        <v>24</v>
      </c>
      <c r="AD44" s="1064">
        <v>13</v>
      </c>
      <c r="AE44" s="1100">
        <v>20</v>
      </c>
      <c r="AF44" s="6">
        <v>14.3</v>
      </c>
      <c r="AG44" s="1100">
        <v>18</v>
      </c>
      <c r="AH44" s="6">
        <v>15.2</v>
      </c>
      <c r="AI44" s="1064"/>
      <c r="AJ44" s="1064"/>
      <c r="AK44" s="1064"/>
      <c r="AL44" s="1064"/>
      <c r="AM44" s="1064"/>
      <c r="AN44" s="1064"/>
      <c r="AO44" s="1064"/>
      <c r="AP44" s="1064"/>
      <c r="AQ44" s="1064"/>
      <c r="AR44" s="1064"/>
      <c r="AS44" s="1064"/>
      <c r="AT44" s="1064"/>
      <c r="AU44" s="1064"/>
      <c r="AV44" s="1064"/>
      <c r="AW44" s="1064"/>
      <c r="AX44" s="1064"/>
      <c r="AY44" s="1064"/>
      <c r="AZ44" s="1064"/>
      <c r="BA44" s="1064"/>
      <c r="BB44" s="1064"/>
      <c r="BC44" s="1064"/>
      <c r="BD44" s="1064"/>
      <c r="BE44" s="1064"/>
      <c r="BF44" s="1064"/>
      <c r="BG44" s="1064"/>
      <c r="BH44" s="1064"/>
      <c r="BI44" s="1064"/>
      <c r="BJ44" s="1064"/>
      <c r="BK44" s="1064"/>
      <c r="BL44" s="1064"/>
      <c r="BM44" s="878"/>
      <c r="BN44" s="878"/>
      <c r="BO44" s="878"/>
      <c r="BP44" s="878"/>
      <c r="BQ44" s="878"/>
      <c r="BR44" s="878"/>
      <c r="BS44" s="878"/>
      <c r="BT44" s="878"/>
      <c r="BU44" s="878"/>
      <c r="BV44" s="878"/>
      <c r="BW44" s="878"/>
      <c r="BX44" s="878"/>
      <c r="BY44" s="878"/>
    </row>
    <row r="45" spans="1:77">
      <c r="K45" s="878"/>
      <c r="L45" s="878"/>
      <c r="M45" s="878"/>
      <c r="N45" s="878"/>
      <c r="O45" s="878"/>
      <c r="P45" s="878"/>
      <c r="Q45" s="878"/>
      <c r="R45" s="878"/>
      <c r="S45" s="878"/>
      <c r="U45" s="1064"/>
      <c r="V45" s="837" t="s">
        <v>1111</v>
      </c>
      <c r="W45" s="1096">
        <f t="shared" si="5"/>
        <v>0</v>
      </c>
      <c r="X45" s="2535"/>
      <c r="Y45" s="2536"/>
      <c r="Z45" s="2537"/>
      <c r="AA45" s="1102">
        <v>14.5</v>
      </c>
      <c r="AB45" s="1064"/>
      <c r="AC45" s="1064">
        <v>26</v>
      </c>
      <c r="AD45" s="1064">
        <v>12.8</v>
      </c>
      <c r="AE45" s="1100">
        <v>22</v>
      </c>
      <c r="AF45" s="6">
        <v>14.1</v>
      </c>
      <c r="AG45" s="1100">
        <v>20</v>
      </c>
      <c r="AH45" s="6">
        <v>15</v>
      </c>
      <c r="AI45" s="1064"/>
      <c r="AJ45" s="1064"/>
      <c r="AK45" s="1064"/>
      <c r="AL45" s="1064"/>
      <c r="AM45" s="1064"/>
      <c r="AN45" s="1064"/>
      <c r="AO45" s="1064"/>
      <c r="AP45" s="1064"/>
      <c r="AQ45" s="1064"/>
      <c r="AR45" s="1064"/>
      <c r="AS45" s="1064"/>
      <c r="AT45" s="1064"/>
      <c r="AU45" s="1064"/>
      <c r="AV45" s="1064"/>
      <c r="AW45" s="1064"/>
      <c r="AX45" s="1064"/>
      <c r="AY45" s="1064"/>
      <c r="AZ45" s="1064"/>
      <c r="BA45" s="1064"/>
      <c r="BB45" s="1064"/>
      <c r="BC45" s="1064"/>
      <c r="BD45" s="1064"/>
      <c r="BE45" s="1064"/>
      <c r="BF45" s="1064"/>
      <c r="BG45" s="1064"/>
      <c r="BH45" s="1064"/>
      <c r="BI45" s="1064"/>
      <c r="BJ45" s="1064"/>
      <c r="BK45" s="1064"/>
      <c r="BL45" s="1064"/>
      <c r="BM45" s="878"/>
      <c r="BN45" s="878"/>
      <c r="BO45" s="878"/>
      <c r="BP45" s="878"/>
      <c r="BQ45" s="878"/>
      <c r="BR45" s="878"/>
      <c r="BS45" s="878"/>
      <c r="BT45" s="878"/>
      <c r="BU45" s="878"/>
      <c r="BV45" s="878"/>
      <c r="BW45" s="878"/>
      <c r="BX45" s="878"/>
      <c r="BY45" s="878"/>
    </row>
    <row r="46" spans="1:77">
      <c r="K46" s="878"/>
      <c r="L46" s="878"/>
      <c r="M46" s="878"/>
      <c r="N46" s="878"/>
      <c r="O46" s="878"/>
      <c r="P46" s="878"/>
      <c r="Q46" s="878"/>
      <c r="R46" s="878"/>
      <c r="S46" s="878"/>
      <c r="U46" s="1064"/>
      <c r="V46" s="837" t="s">
        <v>1112</v>
      </c>
      <c r="W46" s="1096">
        <f t="shared" si="5"/>
        <v>0</v>
      </c>
      <c r="X46" s="2538"/>
      <c r="Y46" s="2539"/>
      <c r="Z46" s="2540"/>
      <c r="AA46" s="1102">
        <v>14.5</v>
      </c>
      <c r="AB46" s="1064"/>
      <c r="AC46" s="1064">
        <v>28</v>
      </c>
      <c r="AD46" s="1064">
        <v>12.6</v>
      </c>
      <c r="AE46" s="1100">
        <v>24</v>
      </c>
      <c r="AF46" s="6">
        <v>13.8</v>
      </c>
      <c r="AG46" s="1100">
        <v>22</v>
      </c>
      <c r="AH46" s="6">
        <v>14.8</v>
      </c>
      <c r="AI46" s="1064"/>
      <c r="AJ46" s="1064"/>
      <c r="AK46" s="1064"/>
      <c r="AL46" s="1064"/>
      <c r="AM46" s="1064"/>
      <c r="AN46" s="1064"/>
      <c r="AO46" s="1064"/>
      <c r="AP46" s="1064"/>
      <c r="AQ46" s="1064"/>
      <c r="AR46" s="1064"/>
      <c r="AS46" s="1064"/>
      <c r="AT46" s="1064"/>
      <c r="AU46" s="1064"/>
      <c r="AV46" s="1064"/>
      <c r="AW46" s="1064"/>
      <c r="AX46" s="1064"/>
      <c r="AY46" s="1064"/>
      <c r="AZ46" s="1064"/>
      <c r="BA46" s="1064"/>
      <c r="BB46" s="1064"/>
      <c r="BC46" s="1064"/>
      <c r="BD46" s="1064"/>
      <c r="BE46" s="1064"/>
      <c r="BF46" s="1064"/>
      <c r="BG46" s="1064"/>
      <c r="BH46" s="1064"/>
      <c r="BI46" s="1064"/>
      <c r="BJ46" s="1064"/>
      <c r="BK46" s="1064"/>
      <c r="BL46" s="1064"/>
      <c r="BM46" s="878"/>
      <c r="BN46" s="878"/>
      <c r="BO46" s="878"/>
      <c r="BP46" s="878"/>
      <c r="BQ46" s="878"/>
      <c r="BR46" s="878"/>
      <c r="BS46" s="878"/>
      <c r="BT46" s="878"/>
      <c r="BU46" s="878"/>
      <c r="BV46" s="878"/>
      <c r="BW46" s="878"/>
      <c r="BX46" s="878"/>
      <c r="BY46" s="878"/>
    </row>
    <row r="47" spans="1:77">
      <c r="K47" s="878"/>
      <c r="L47" s="878"/>
      <c r="M47" s="878"/>
      <c r="N47" s="878"/>
      <c r="O47" s="878"/>
      <c r="P47" s="878"/>
      <c r="Q47" s="878"/>
      <c r="R47" s="878"/>
      <c r="S47" s="878"/>
      <c r="U47" s="1064"/>
      <c r="V47" s="837" t="s">
        <v>1113</v>
      </c>
      <c r="W47" s="1096">
        <f t="shared" ref="W47:W52" si="6">B29</f>
        <v>0</v>
      </c>
      <c r="X47" s="1103">
        <f t="shared" ref="X47:X52" si="7">Y47*1.3</f>
        <v>21.311475409836063</v>
      </c>
      <c r="Y47" s="1103">
        <f>5000/305</f>
        <v>16.393442622950818</v>
      </c>
      <c r="Z47" s="1103">
        <f t="shared" ref="Z47:Z52" si="8">Y47*0.7</f>
        <v>11.475409836065571</v>
      </c>
      <c r="AA47" s="1102">
        <f>(13.4+14.7+15)/3</f>
        <v>14.366666666666667</v>
      </c>
      <c r="AB47" s="1064"/>
      <c r="AC47" s="1064">
        <v>30</v>
      </c>
      <c r="AD47" s="1064">
        <v>12.4</v>
      </c>
      <c r="AE47" s="1100">
        <v>26</v>
      </c>
      <c r="AF47" s="6">
        <v>13.6</v>
      </c>
      <c r="AG47" s="1100">
        <v>24</v>
      </c>
      <c r="AH47" s="6">
        <v>14.6</v>
      </c>
      <c r="AI47" s="1064"/>
      <c r="AJ47" s="1064"/>
      <c r="AK47" s="1064"/>
      <c r="AL47" s="1064"/>
      <c r="AM47" s="1064"/>
      <c r="AN47" s="1064"/>
      <c r="AO47" s="1064"/>
      <c r="AP47" s="1064"/>
      <c r="AQ47" s="1064"/>
      <c r="AR47" s="1064"/>
      <c r="AS47" s="1064"/>
      <c r="AT47" s="1064"/>
      <c r="AU47" s="1064"/>
      <c r="AV47" s="1064"/>
      <c r="AW47" s="1064"/>
      <c r="AX47" s="1064"/>
      <c r="AY47" s="1064"/>
      <c r="AZ47" s="1064"/>
      <c r="BA47" s="1064"/>
      <c r="BB47" s="1064"/>
      <c r="BC47" s="1064"/>
      <c r="BD47" s="1064"/>
      <c r="BE47" s="1064"/>
      <c r="BF47" s="1064"/>
      <c r="BG47" s="1064"/>
      <c r="BH47" s="1064"/>
      <c r="BI47" s="1064"/>
      <c r="BJ47" s="1064"/>
      <c r="BK47" s="1064"/>
      <c r="BL47" s="1064"/>
      <c r="BM47" s="878"/>
      <c r="BN47" s="878"/>
      <c r="BO47" s="878"/>
      <c r="BP47" s="878"/>
      <c r="BQ47" s="878"/>
      <c r="BR47" s="878"/>
      <c r="BS47" s="878"/>
      <c r="BT47" s="878"/>
      <c r="BU47" s="878"/>
      <c r="BV47" s="878"/>
      <c r="BW47" s="878"/>
      <c r="BX47" s="878"/>
      <c r="BY47" s="878"/>
    </row>
    <row r="48" spans="1:77">
      <c r="K48" s="878"/>
      <c r="L48" s="878"/>
      <c r="M48" s="878"/>
      <c r="N48" s="878"/>
      <c r="O48" s="878"/>
      <c r="P48" s="878"/>
      <c r="Q48" s="878"/>
      <c r="R48" s="878"/>
      <c r="S48" s="878"/>
      <c r="U48" s="1064"/>
      <c r="V48" s="837" t="s">
        <v>1114</v>
      </c>
      <c r="W48" s="1096">
        <f t="shared" si="6"/>
        <v>0</v>
      </c>
      <c r="X48" s="1103">
        <f>Y48*1.3</f>
        <v>25.57377049180328</v>
      </c>
      <c r="Y48" s="1103">
        <f>6000/305</f>
        <v>19.672131147540984</v>
      </c>
      <c r="Z48" s="1103">
        <f>Y48*0.7</f>
        <v>13.770491803278688</v>
      </c>
      <c r="AA48" s="1102">
        <f>(12.8+14.3+15.1)/3</f>
        <v>14.066666666666668</v>
      </c>
      <c r="AB48" s="1064"/>
      <c r="AC48" s="1064">
        <v>32</v>
      </c>
      <c r="AD48" s="1064">
        <v>12.2</v>
      </c>
      <c r="AE48" s="1100">
        <v>28</v>
      </c>
      <c r="AF48" s="6">
        <v>13.3</v>
      </c>
      <c r="AG48" s="1100"/>
      <c r="AH48" s="6"/>
      <c r="AI48" s="1064"/>
      <c r="AJ48" s="1064"/>
      <c r="AK48" s="1064"/>
      <c r="AL48" s="1064"/>
      <c r="AM48" s="1064"/>
      <c r="AN48" s="1064"/>
      <c r="AO48" s="1064"/>
      <c r="AP48" s="1064"/>
      <c r="AQ48" s="1064"/>
      <c r="AR48" s="1064"/>
      <c r="AS48" s="1064"/>
      <c r="AT48" s="1064"/>
      <c r="AU48" s="1064"/>
      <c r="AV48" s="1064"/>
      <c r="AW48" s="1064"/>
      <c r="AX48" s="1064"/>
      <c r="AY48" s="1064"/>
      <c r="AZ48" s="1064"/>
      <c r="BA48" s="1064"/>
      <c r="BB48" s="1064"/>
      <c r="BC48" s="1064"/>
      <c r="BD48" s="1064"/>
      <c r="BE48" s="1064"/>
      <c r="BF48" s="1064"/>
      <c r="BG48" s="1064"/>
      <c r="BH48" s="1064"/>
      <c r="BI48" s="1064"/>
      <c r="BJ48" s="1064"/>
      <c r="BK48" s="1064"/>
      <c r="BL48" s="1064"/>
      <c r="BM48" s="878"/>
      <c r="BN48" s="878"/>
      <c r="BO48" s="878"/>
      <c r="BP48" s="878"/>
      <c r="BQ48" s="878"/>
      <c r="BR48" s="878"/>
      <c r="BS48" s="878"/>
      <c r="BT48" s="878"/>
      <c r="BU48" s="878"/>
      <c r="BV48" s="878"/>
      <c r="BW48" s="878"/>
      <c r="BX48" s="878"/>
      <c r="BY48" s="878"/>
    </row>
    <row r="49" spans="11:77">
      <c r="K49" s="878"/>
      <c r="L49" s="878"/>
      <c r="M49" s="878"/>
      <c r="N49" s="878"/>
      <c r="O49" s="878"/>
      <c r="P49" s="878"/>
      <c r="Q49" s="878"/>
      <c r="R49" s="878"/>
      <c r="S49" s="878"/>
      <c r="U49" s="1064"/>
      <c r="V49" s="837" t="s">
        <v>1115</v>
      </c>
      <c r="W49" s="1096">
        <f t="shared" si="6"/>
        <v>0</v>
      </c>
      <c r="X49" s="1103">
        <f>Y49*1.3</f>
        <v>29.83606557377049</v>
      </c>
      <c r="Y49" s="1103">
        <f>7000/305</f>
        <v>22.950819672131146</v>
      </c>
      <c r="Z49" s="1103">
        <f t="shared" si="8"/>
        <v>16.065573770491802</v>
      </c>
      <c r="AA49" s="1102">
        <f>(12.4+14+15.5)/3</f>
        <v>13.966666666666667</v>
      </c>
      <c r="AB49" s="1064"/>
      <c r="AC49" s="1064">
        <v>34</v>
      </c>
      <c r="AD49" s="1064">
        <v>12</v>
      </c>
      <c r="AE49" s="1100">
        <v>30</v>
      </c>
      <c r="AF49" s="6">
        <v>13.1</v>
      </c>
      <c r="AG49" s="1100"/>
      <c r="AH49" s="6"/>
      <c r="AI49" s="1064"/>
      <c r="AJ49" s="1064"/>
      <c r="AK49" s="1064"/>
      <c r="AL49" s="1064"/>
      <c r="AM49" s="1064"/>
      <c r="AN49" s="1064"/>
      <c r="AO49" s="1064"/>
      <c r="AP49" s="1064"/>
      <c r="AQ49" s="1064"/>
      <c r="AR49" s="1064"/>
      <c r="AS49" s="1064"/>
      <c r="AT49" s="1064"/>
      <c r="AU49" s="1064"/>
      <c r="AV49" s="1064"/>
      <c r="AW49" s="1064"/>
      <c r="AX49" s="1064"/>
      <c r="AY49" s="1064"/>
      <c r="AZ49" s="1064"/>
      <c r="BA49" s="1064"/>
      <c r="BB49" s="1064"/>
      <c r="BC49" s="1064"/>
      <c r="BD49" s="1064"/>
      <c r="BE49" s="1064"/>
      <c r="BF49" s="1064"/>
      <c r="BG49" s="1064"/>
      <c r="BH49" s="1064"/>
      <c r="BI49" s="1064"/>
      <c r="BJ49" s="1064"/>
      <c r="BK49" s="1064"/>
      <c r="BL49" s="1064"/>
      <c r="BM49" s="878"/>
      <c r="BN49" s="878"/>
      <c r="BO49" s="878"/>
      <c r="BP49" s="878"/>
      <c r="BQ49" s="878"/>
      <c r="BR49" s="878"/>
      <c r="BS49" s="878"/>
      <c r="BT49" s="878"/>
      <c r="BU49" s="878"/>
      <c r="BV49" s="878"/>
      <c r="BW49" s="878"/>
      <c r="BX49" s="878"/>
      <c r="BY49" s="878"/>
    </row>
    <row r="50" spans="11:77">
      <c r="K50" s="878"/>
      <c r="L50" s="878"/>
      <c r="M50" s="878"/>
      <c r="N50" s="878"/>
      <c r="O50" s="878"/>
      <c r="P50" s="878"/>
      <c r="Q50" s="878"/>
      <c r="R50" s="878"/>
      <c r="S50" s="878"/>
      <c r="U50" s="1064"/>
      <c r="V50" s="837" t="s">
        <v>1116</v>
      </c>
      <c r="W50" s="1096">
        <f t="shared" si="6"/>
        <v>0</v>
      </c>
      <c r="X50" s="1103">
        <f t="shared" si="7"/>
        <v>34.098360655737707</v>
      </c>
      <c r="Y50" s="1103">
        <f>8000/305</f>
        <v>26.229508196721312</v>
      </c>
      <c r="Z50" s="1103">
        <f t="shared" si="8"/>
        <v>18.360655737704917</v>
      </c>
      <c r="AA50" s="1102">
        <f>(12+13.6+15.2)/3</f>
        <v>13.6</v>
      </c>
      <c r="AB50" s="1064"/>
      <c r="AC50" s="1064">
        <v>36</v>
      </c>
      <c r="AD50" s="1064">
        <v>11.7</v>
      </c>
      <c r="AE50" s="1100">
        <v>32</v>
      </c>
      <c r="AF50" s="6">
        <v>12.9</v>
      </c>
      <c r="AG50" s="1100"/>
      <c r="AH50" s="6"/>
      <c r="AI50" s="1064"/>
      <c r="AJ50" s="1064"/>
      <c r="AK50" s="1064"/>
      <c r="AL50" s="1064"/>
      <c r="AM50" s="1064"/>
      <c r="AN50" s="1064"/>
      <c r="AO50" s="1064"/>
      <c r="AP50" s="1064"/>
      <c r="AQ50" s="1064"/>
      <c r="AR50" s="1064"/>
      <c r="AS50" s="1064"/>
      <c r="AT50" s="1064"/>
      <c r="AU50" s="1064"/>
      <c r="AV50" s="1064"/>
      <c r="AW50" s="1064"/>
      <c r="AX50" s="1064"/>
      <c r="AY50" s="1064"/>
      <c r="AZ50" s="1064"/>
      <c r="BA50" s="1064"/>
      <c r="BB50" s="1064"/>
      <c r="BC50" s="1064"/>
      <c r="BD50" s="1064"/>
      <c r="BE50" s="1064"/>
      <c r="BF50" s="1064"/>
      <c r="BG50" s="1064"/>
      <c r="BH50" s="1064"/>
      <c r="BI50" s="1064"/>
      <c r="BJ50" s="1064"/>
      <c r="BK50" s="1064"/>
      <c r="BL50" s="1064"/>
      <c r="BM50" s="878"/>
      <c r="BN50" s="878"/>
      <c r="BO50" s="878"/>
      <c r="BP50" s="878"/>
      <c r="BQ50" s="878"/>
      <c r="BR50" s="878"/>
      <c r="BS50" s="878"/>
      <c r="BT50" s="878"/>
      <c r="BU50" s="878"/>
      <c r="BV50" s="878"/>
      <c r="BW50" s="878"/>
      <c r="BX50" s="878"/>
      <c r="BY50" s="878"/>
    </row>
    <row r="51" spans="11:77">
      <c r="K51" s="878"/>
      <c r="L51" s="878"/>
      <c r="M51" s="878"/>
      <c r="N51" s="878"/>
      <c r="O51" s="878"/>
      <c r="P51" s="878"/>
      <c r="Q51" s="878"/>
      <c r="R51" s="878"/>
      <c r="S51" s="878"/>
      <c r="U51" s="1064"/>
      <c r="V51" s="837" t="s">
        <v>1117</v>
      </c>
      <c r="W51" s="1096">
        <f t="shared" si="6"/>
        <v>0</v>
      </c>
      <c r="X51" s="1103">
        <f t="shared" si="7"/>
        <v>37.741935483870968</v>
      </c>
      <c r="Y51" s="1103">
        <f>9000/310</f>
        <v>29.032258064516128</v>
      </c>
      <c r="Z51" s="1103">
        <f t="shared" si="8"/>
        <v>20.322580645161288</v>
      </c>
      <c r="AA51" s="1102">
        <f>(11.5+13.2+15)/3</f>
        <v>13.233333333333334</v>
      </c>
      <c r="AB51" s="1064"/>
      <c r="AC51" s="1064">
        <v>38</v>
      </c>
      <c r="AD51" s="1064">
        <v>11.5</v>
      </c>
      <c r="AE51" s="1100"/>
      <c r="AF51" s="6"/>
      <c r="AG51" s="1100"/>
      <c r="AH51" s="6"/>
      <c r="AI51" s="1064"/>
      <c r="AJ51" s="1064"/>
      <c r="AK51" s="1064"/>
      <c r="AL51" s="1064"/>
      <c r="AM51" s="1064"/>
      <c r="AN51" s="1064"/>
      <c r="AO51" s="1064"/>
      <c r="AP51" s="1064"/>
      <c r="AQ51" s="1064"/>
      <c r="AR51" s="1064"/>
      <c r="AS51" s="1064"/>
      <c r="AT51" s="1064"/>
      <c r="AU51" s="1064"/>
      <c r="AV51" s="1064"/>
      <c r="AW51" s="1064"/>
      <c r="AX51" s="1064"/>
      <c r="AY51" s="1064"/>
      <c r="AZ51" s="1064"/>
      <c r="BA51" s="1064"/>
      <c r="BB51" s="1064"/>
      <c r="BC51" s="1064"/>
      <c r="BD51" s="1064"/>
      <c r="BE51" s="1064"/>
      <c r="BF51" s="1064"/>
      <c r="BG51" s="1064"/>
      <c r="BH51" s="1064"/>
      <c r="BI51" s="1064"/>
      <c r="BJ51" s="1064"/>
      <c r="BK51" s="1064"/>
      <c r="BL51" s="1064"/>
      <c r="BM51" s="878"/>
      <c r="BN51" s="878"/>
      <c r="BO51" s="878"/>
      <c r="BP51" s="878"/>
      <c r="BQ51" s="878"/>
      <c r="BR51" s="878"/>
      <c r="BS51" s="878"/>
      <c r="BT51" s="878"/>
      <c r="BU51" s="878"/>
      <c r="BV51" s="878"/>
      <c r="BW51" s="878"/>
      <c r="BX51" s="878"/>
      <c r="BY51" s="878"/>
    </row>
    <row r="52" spans="11:77">
      <c r="K52" s="878"/>
      <c r="L52" s="878"/>
      <c r="M52" s="878"/>
      <c r="N52" s="878"/>
      <c r="O52" s="878"/>
      <c r="P52" s="878"/>
      <c r="Q52" s="878"/>
      <c r="R52" s="878"/>
      <c r="S52" s="878"/>
      <c r="U52" s="1064"/>
      <c r="V52" s="1104" t="s">
        <v>1118</v>
      </c>
      <c r="W52" s="1096">
        <f t="shared" si="6"/>
        <v>0</v>
      </c>
      <c r="X52" s="1103">
        <f t="shared" si="7"/>
        <v>41.935483870967744</v>
      </c>
      <c r="Y52" s="1103">
        <f>10000/310</f>
        <v>32.258064516129032</v>
      </c>
      <c r="Z52" s="1103">
        <f t="shared" si="8"/>
        <v>22.58064516129032</v>
      </c>
      <c r="AA52" s="1102">
        <f>(11.3+12.9+14.7)/3</f>
        <v>12.966666666666669</v>
      </c>
      <c r="AB52" s="1064"/>
      <c r="AC52" s="1064">
        <v>40</v>
      </c>
      <c r="AD52" s="1064">
        <v>11.3</v>
      </c>
      <c r="AE52" s="1100"/>
      <c r="AF52" s="6"/>
      <c r="AG52" s="1100"/>
      <c r="AH52" s="6"/>
      <c r="AI52" s="1064"/>
      <c r="AJ52" s="1064"/>
      <c r="AK52" s="1064"/>
      <c r="AL52" s="1064"/>
      <c r="AM52" s="1064"/>
      <c r="AN52" s="1064"/>
      <c r="AO52" s="1064"/>
      <c r="AP52" s="1064"/>
      <c r="AQ52" s="1064"/>
      <c r="AR52" s="1064"/>
      <c r="AS52" s="1064"/>
      <c r="AT52" s="1064"/>
      <c r="AU52" s="1064"/>
      <c r="AV52" s="1064"/>
      <c r="AW52" s="1064"/>
      <c r="AX52" s="1064"/>
      <c r="AY52" s="1064"/>
      <c r="AZ52" s="1064"/>
      <c r="BA52" s="1064"/>
      <c r="BB52" s="1064"/>
      <c r="BC52" s="1064"/>
      <c r="BD52" s="1064"/>
      <c r="BE52" s="1064"/>
      <c r="BF52" s="1064"/>
      <c r="BG52" s="1064"/>
      <c r="BH52" s="1064"/>
      <c r="BI52" s="1064"/>
      <c r="BJ52" s="1064"/>
      <c r="BK52" s="1064"/>
      <c r="BL52" s="1064"/>
      <c r="BM52" s="878"/>
      <c r="BN52" s="878"/>
      <c r="BO52" s="878"/>
      <c r="BP52" s="878"/>
      <c r="BQ52" s="878"/>
      <c r="BR52" s="878"/>
      <c r="BS52" s="878"/>
      <c r="BT52" s="878"/>
      <c r="BU52" s="878"/>
      <c r="BV52" s="878"/>
      <c r="BW52" s="878"/>
      <c r="BX52" s="878"/>
      <c r="BY52" s="878"/>
    </row>
    <row r="53" spans="11:77" s="1064" customFormat="1">
      <c r="K53" s="878"/>
      <c r="L53" s="878"/>
      <c r="M53" s="878"/>
      <c r="N53" s="878"/>
      <c r="O53" s="878"/>
      <c r="P53" s="878"/>
      <c r="Q53" s="878"/>
      <c r="R53" s="878"/>
      <c r="S53" s="878"/>
      <c r="V53" s="837" t="s">
        <v>1119</v>
      </c>
      <c r="W53" s="1096">
        <f>B36</f>
        <v>0</v>
      </c>
      <c r="X53" s="2523"/>
      <c r="Y53" s="2523"/>
      <c r="Z53" s="2523"/>
      <c r="AA53" s="1102">
        <v>13</v>
      </c>
      <c r="AC53" s="1064">
        <v>42</v>
      </c>
      <c r="AD53" s="1064">
        <v>11.3</v>
      </c>
      <c r="AE53" s="1100"/>
      <c r="AF53" s="6"/>
      <c r="AG53" s="1100"/>
      <c r="AH53" s="6"/>
      <c r="BM53" s="878"/>
      <c r="BN53" s="878"/>
      <c r="BO53" s="878"/>
      <c r="BP53" s="878"/>
      <c r="BQ53" s="878"/>
      <c r="BR53" s="878"/>
      <c r="BS53" s="878"/>
      <c r="BT53" s="878"/>
      <c r="BU53" s="878"/>
      <c r="BV53" s="878"/>
      <c r="BW53" s="878"/>
      <c r="BX53" s="878"/>
      <c r="BY53" s="878"/>
    </row>
    <row r="54" spans="11:77">
      <c r="K54" s="878"/>
      <c r="L54" s="878"/>
      <c r="M54" s="878"/>
      <c r="N54" s="878"/>
      <c r="O54" s="878"/>
      <c r="P54" s="878"/>
      <c r="Q54" s="878"/>
      <c r="R54" s="878"/>
      <c r="S54" s="878"/>
      <c r="U54" s="1064"/>
      <c r="V54" s="6"/>
      <c r="W54" s="6"/>
      <c r="X54" s="6"/>
      <c r="Y54" s="1064"/>
      <c r="Z54" s="1064"/>
      <c r="AA54" s="1064"/>
      <c r="AB54" s="1064"/>
      <c r="AC54" s="1064"/>
      <c r="AD54" s="1064"/>
      <c r="AE54" s="1064"/>
      <c r="AF54" s="1064"/>
      <c r="AG54" s="1064"/>
      <c r="AH54" s="1064"/>
      <c r="AI54" s="1064"/>
      <c r="AJ54" s="1064"/>
      <c r="AK54" s="1064"/>
      <c r="AL54" s="1064"/>
      <c r="AM54" s="1064"/>
      <c r="AN54" s="1064"/>
      <c r="AO54" s="1064"/>
      <c r="AP54" s="1064"/>
      <c r="AQ54" s="1064"/>
      <c r="AR54" s="1064"/>
      <c r="AS54" s="1064"/>
      <c r="AT54" s="1064"/>
      <c r="AU54" s="1064"/>
      <c r="AV54" s="1064"/>
      <c r="AW54" s="1064"/>
      <c r="AX54" s="1064"/>
      <c r="AY54" s="1064"/>
      <c r="AZ54" s="1064"/>
      <c r="BA54" s="1064"/>
      <c r="BB54" s="1064"/>
      <c r="BC54" s="1064"/>
      <c r="BD54" s="1064"/>
      <c r="BE54" s="1064"/>
      <c r="BF54" s="1064"/>
      <c r="BG54" s="1064"/>
      <c r="BH54" s="1064"/>
      <c r="BI54" s="1064"/>
      <c r="BJ54" s="1064"/>
      <c r="BK54" s="1064"/>
      <c r="BL54" s="1064"/>
      <c r="BM54" s="878"/>
      <c r="BN54" s="878"/>
      <c r="BO54" s="878"/>
      <c r="BP54" s="878"/>
      <c r="BQ54" s="878"/>
      <c r="BR54" s="878"/>
      <c r="BS54" s="878"/>
      <c r="BT54" s="878"/>
      <c r="BU54" s="878"/>
      <c r="BV54" s="878"/>
      <c r="BW54" s="878"/>
      <c r="BX54" s="878"/>
      <c r="BY54" s="878"/>
    </row>
    <row r="55" spans="11:77">
      <c r="K55" s="878"/>
      <c r="L55" s="878"/>
      <c r="M55" s="878"/>
      <c r="N55" s="878"/>
      <c r="O55" s="878"/>
      <c r="P55" s="878"/>
      <c r="Q55" s="878"/>
      <c r="R55" s="878"/>
      <c r="S55" s="878"/>
      <c r="U55" s="1064"/>
      <c r="V55" s="6"/>
      <c r="W55" s="6"/>
      <c r="X55" s="6"/>
      <c r="Y55" s="1064"/>
      <c r="Z55" s="1064"/>
      <c r="AA55" s="1064"/>
      <c r="AB55" s="1064"/>
      <c r="AC55" s="1064"/>
      <c r="AD55" s="1064"/>
      <c r="AE55" s="1064"/>
      <c r="AF55" s="1064"/>
      <c r="AG55" s="1064"/>
      <c r="AH55" s="1064"/>
      <c r="AI55" s="1064"/>
      <c r="AJ55" s="1064"/>
      <c r="AK55" s="1064"/>
      <c r="AL55" s="1064"/>
      <c r="AM55" s="1064"/>
      <c r="AN55" s="1064"/>
      <c r="AO55" s="1064"/>
      <c r="AP55" s="1064"/>
      <c r="AQ55" s="1064"/>
      <c r="AR55" s="1064"/>
      <c r="AS55" s="1064"/>
      <c r="AT55" s="1064"/>
      <c r="AU55" s="1064"/>
      <c r="AV55" s="1064"/>
      <c r="AW55" s="1064"/>
      <c r="AX55" s="1064"/>
      <c r="AY55" s="1064"/>
      <c r="AZ55" s="1064"/>
      <c r="BA55" s="1064"/>
      <c r="BB55" s="1064"/>
      <c r="BC55" s="1064"/>
      <c r="BD55" s="1064"/>
      <c r="BE55" s="1064"/>
      <c r="BF55" s="1064"/>
      <c r="BG55" s="1064"/>
      <c r="BH55" s="1064"/>
      <c r="BI55" s="1064"/>
      <c r="BJ55" s="1064"/>
      <c r="BK55" s="1064"/>
      <c r="BL55" s="1064"/>
      <c r="BM55" s="878"/>
      <c r="BN55" s="878"/>
      <c r="BO55" s="878"/>
      <c r="BP55" s="878"/>
      <c r="BQ55" s="878"/>
      <c r="BR55" s="878"/>
      <c r="BS55" s="878"/>
      <c r="BT55" s="878"/>
      <c r="BU55" s="878"/>
      <c r="BV55" s="878"/>
      <c r="BW55" s="878"/>
      <c r="BX55" s="878"/>
      <c r="BY55" s="878"/>
    </row>
    <row r="56" spans="11:77">
      <c r="K56" s="878"/>
      <c r="L56" s="878"/>
      <c r="M56" s="878"/>
      <c r="N56" s="878"/>
      <c r="O56" s="878"/>
      <c r="P56" s="878"/>
      <c r="Q56" s="878"/>
      <c r="R56" s="878"/>
      <c r="S56" s="878"/>
      <c r="U56" s="1064"/>
      <c r="V56" s="6"/>
      <c r="W56" s="6"/>
      <c r="X56" s="6"/>
      <c r="Y56" s="1064"/>
      <c r="Z56" s="1064"/>
      <c r="AA56" s="1064"/>
      <c r="AB56" s="1064"/>
      <c r="AC56" s="1064"/>
      <c r="AD56" s="1064"/>
      <c r="AE56" s="1064"/>
      <c r="AF56" s="1064"/>
      <c r="AG56" s="1064"/>
      <c r="AH56" s="1064"/>
      <c r="AI56" s="1064"/>
      <c r="AJ56" s="1064"/>
      <c r="AK56" s="1064"/>
      <c r="AL56" s="1064"/>
      <c r="AM56" s="1064"/>
      <c r="AN56" s="1064"/>
      <c r="AO56" s="1064"/>
      <c r="AP56" s="1064"/>
      <c r="AQ56" s="1064"/>
      <c r="AR56" s="1064"/>
      <c r="AS56" s="1064"/>
      <c r="AT56" s="1064"/>
      <c r="AU56" s="1064"/>
      <c r="AV56" s="1064"/>
      <c r="AW56" s="1064"/>
      <c r="AX56" s="1064"/>
      <c r="AY56" s="1064"/>
      <c r="AZ56" s="1064"/>
      <c r="BA56" s="1064"/>
      <c r="BB56" s="1064"/>
      <c r="BC56" s="1064"/>
      <c r="BD56" s="1064"/>
      <c r="BE56" s="1064"/>
      <c r="BF56" s="1064"/>
      <c r="BG56" s="1064"/>
      <c r="BH56" s="1064"/>
      <c r="BI56" s="1064"/>
      <c r="BJ56" s="1064"/>
      <c r="BK56" s="1064"/>
      <c r="BL56" s="1064"/>
      <c r="BM56" s="878"/>
      <c r="BN56" s="878"/>
      <c r="BO56" s="878"/>
      <c r="BP56" s="878"/>
      <c r="BQ56" s="878"/>
      <c r="BR56" s="878"/>
      <c r="BS56" s="878"/>
      <c r="BT56" s="878"/>
      <c r="BU56" s="878"/>
      <c r="BV56" s="878"/>
      <c r="BW56" s="878"/>
      <c r="BX56" s="878"/>
      <c r="BY56" s="878"/>
    </row>
    <row r="57" spans="11:77">
      <c r="K57" s="878"/>
      <c r="L57" s="878"/>
      <c r="M57" s="878"/>
      <c r="N57" s="878"/>
      <c r="O57" s="878"/>
      <c r="P57" s="878"/>
      <c r="Q57" s="878"/>
      <c r="R57" s="878"/>
      <c r="S57" s="878"/>
      <c r="U57" s="1064"/>
      <c r="V57" s="6"/>
      <c r="W57" s="6"/>
      <c r="X57" s="6"/>
      <c r="Y57" s="1064"/>
      <c r="Z57" s="1064"/>
      <c r="AA57" s="1064"/>
      <c r="AB57" s="1064"/>
      <c r="AC57" s="1064"/>
      <c r="AD57" s="1064"/>
      <c r="AE57" s="1064"/>
      <c r="AF57" s="1064"/>
      <c r="AG57" s="1064"/>
      <c r="AH57" s="1064"/>
      <c r="AI57" s="1064"/>
      <c r="AJ57" s="1064"/>
      <c r="AK57" s="1064"/>
      <c r="AL57" s="1064"/>
      <c r="AM57" s="1064"/>
      <c r="AN57" s="1064"/>
      <c r="AO57" s="1064"/>
      <c r="AP57" s="1064"/>
      <c r="AQ57" s="1064"/>
      <c r="AR57" s="1064"/>
      <c r="AS57" s="1064"/>
      <c r="AT57" s="1064"/>
      <c r="AU57" s="1064"/>
      <c r="AV57" s="1064"/>
      <c r="AW57" s="1064"/>
      <c r="AX57" s="1064"/>
      <c r="AY57" s="1064"/>
      <c r="AZ57" s="1064"/>
      <c r="BA57" s="1064"/>
      <c r="BB57" s="1064"/>
      <c r="BC57" s="1064"/>
      <c r="BD57" s="1064"/>
      <c r="BE57" s="1064"/>
      <c r="BF57" s="1064"/>
      <c r="BG57" s="1064"/>
      <c r="BH57" s="1064"/>
      <c r="BI57" s="1064"/>
      <c r="BJ57" s="1064"/>
      <c r="BK57" s="1064"/>
      <c r="BL57" s="1064"/>
      <c r="BM57" s="878"/>
      <c r="BN57" s="878"/>
      <c r="BO57" s="878"/>
      <c r="BP57" s="878"/>
      <c r="BQ57" s="878"/>
      <c r="BR57" s="878"/>
      <c r="BS57" s="878"/>
      <c r="BT57" s="878"/>
      <c r="BU57" s="878"/>
      <c r="BV57" s="878"/>
      <c r="BW57" s="878"/>
      <c r="BX57" s="878"/>
      <c r="BY57" s="878"/>
    </row>
    <row r="58" spans="11:77">
      <c r="K58" s="878"/>
      <c r="L58" s="878"/>
      <c r="M58" s="878"/>
      <c r="N58" s="878"/>
      <c r="O58" s="878"/>
      <c r="P58" s="878"/>
      <c r="Q58" s="878"/>
      <c r="R58" s="878"/>
      <c r="S58" s="878"/>
      <c r="U58" s="1064"/>
      <c r="V58" s="6"/>
      <c r="W58" s="6"/>
      <c r="X58" s="6"/>
      <c r="Y58" s="1064"/>
      <c r="Z58" s="1064"/>
      <c r="AA58" s="1064"/>
      <c r="AB58" s="1064"/>
      <c r="AC58" s="1064"/>
      <c r="AD58" s="1064"/>
      <c r="AE58" s="1064"/>
      <c r="AF58" s="1064"/>
      <c r="AG58" s="1064"/>
      <c r="AH58" s="1064"/>
      <c r="AI58" s="1064"/>
      <c r="AJ58" s="1064"/>
      <c r="AK58" s="1064"/>
      <c r="AL58" s="1064"/>
      <c r="AM58" s="1064"/>
      <c r="AN58" s="1064"/>
      <c r="AO58" s="1064"/>
      <c r="AP58" s="1064"/>
      <c r="AQ58" s="1064"/>
      <c r="AR58" s="1064"/>
      <c r="AS58" s="1064"/>
      <c r="AT58" s="1064"/>
      <c r="AU58" s="1064"/>
      <c r="AV58" s="1064"/>
      <c r="AW58" s="1064"/>
      <c r="AX58" s="1064"/>
      <c r="AY58" s="1064"/>
      <c r="AZ58" s="1064"/>
      <c r="BA58" s="1064"/>
      <c r="BB58" s="1064"/>
      <c r="BC58" s="1064"/>
      <c r="BD58" s="1064"/>
      <c r="BE58" s="1064"/>
      <c r="BF58" s="1064"/>
      <c r="BG58" s="1064"/>
      <c r="BH58" s="1064"/>
      <c r="BI58" s="1064"/>
      <c r="BJ58" s="1064"/>
      <c r="BK58" s="1064"/>
      <c r="BL58" s="1064"/>
      <c r="BM58" s="878"/>
      <c r="BN58" s="878"/>
      <c r="BO58" s="878"/>
      <c r="BP58" s="878"/>
      <c r="BQ58" s="878"/>
      <c r="BR58" s="878"/>
      <c r="BS58" s="878"/>
      <c r="BT58" s="878"/>
      <c r="BU58" s="878"/>
      <c r="BV58" s="878"/>
      <c r="BW58" s="878"/>
      <c r="BX58" s="878"/>
      <c r="BY58" s="878"/>
    </row>
    <row r="59" spans="11:77">
      <c r="K59" s="878"/>
      <c r="L59" s="878"/>
      <c r="M59" s="878"/>
      <c r="N59" s="878"/>
      <c r="O59" s="878"/>
      <c r="P59" s="878"/>
      <c r="Q59" s="878"/>
      <c r="R59" s="878"/>
      <c r="S59" s="878"/>
      <c r="U59" s="1064"/>
      <c r="V59" s="6"/>
      <c r="W59" s="6"/>
      <c r="X59" s="6"/>
      <c r="Y59" s="1064"/>
      <c r="Z59" s="1064"/>
      <c r="AA59" s="1064"/>
      <c r="AB59" s="1064"/>
      <c r="AC59" s="1064"/>
      <c r="AD59" s="1064"/>
      <c r="AE59" s="1064"/>
      <c r="AF59" s="1064"/>
      <c r="AG59" s="1064"/>
      <c r="AH59" s="1064"/>
      <c r="AI59" s="1064"/>
      <c r="AJ59" s="1064"/>
      <c r="AK59" s="1064"/>
      <c r="AL59" s="1064"/>
      <c r="AM59" s="1064"/>
      <c r="AN59" s="1064"/>
      <c r="AO59" s="1064"/>
      <c r="AP59" s="1064"/>
      <c r="AQ59" s="1064"/>
      <c r="AR59" s="1064"/>
      <c r="AS59" s="1064"/>
      <c r="AT59" s="1064"/>
      <c r="AU59" s="1064"/>
      <c r="AV59" s="1064"/>
      <c r="AW59" s="1064"/>
      <c r="AX59" s="1064"/>
      <c r="AY59" s="1064"/>
      <c r="AZ59" s="1064"/>
      <c r="BA59" s="1064"/>
      <c r="BB59" s="1064"/>
      <c r="BC59" s="1064"/>
      <c r="BD59" s="1064"/>
      <c r="BE59" s="1064"/>
      <c r="BF59" s="1064"/>
      <c r="BG59" s="1064"/>
      <c r="BH59" s="1064"/>
      <c r="BI59" s="1064"/>
      <c r="BJ59" s="1064"/>
      <c r="BK59" s="1064"/>
      <c r="BL59" s="1064"/>
      <c r="BM59" s="878"/>
      <c r="BN59" s="878"/>
      <c r="BO59" s="878"/>
      <c r="BP59" s="878"/>
      <c r="BQ59" s="878"/>
      <c r="BR59" s="878"/>
      <c r="BS59" s="878"/>
      <c r="BT59" s="878"/>
      <c r="BU59" s="878"/>
      <c r="BV59" s="878"/>
      <c r="BW59" s="878"/>
      <c r="BX59" s="878"/>
      <c r="BY59" s="878"/>
    </row>
    <row r="60" spans="11:77">
      <c r="K60" s="878"/>
      <c r="L60" s="878"/>
      <c r="M60" s="878"/>
      <c r="N60" s="878"/>
      <c r="O60" s="878"/>
      <c r="P60" s="878"/>
      <c r="Q60" s="878"/>
      <c r="R60" s="878"/>
      <c r="S60" s="878"/>
      <c r="U60" s="1064"/>
      <c r="V60" s="6"/>
      <c r="W60" s="6"/>
      <c r="X60" s="6"/>
      <c r="Y60" s="1064"/>
      <c r="Z60" s="1064"/>
      <c r="AA60" s="1064"/>
      <c r="AB60" s="1064"/>
      <c r="AC60" s="1064"/>
      <c r="AD60" s="1064"/>
      <c r="AE60" s="1064"/>
      <c r="AF60" s="1064"/>
      <c r="AG60" s="1064"/>
      <c r="AH60" s="1064"/>
      <c r="AI60" s="1064"/>
      <c r="AJ60" s="1064"/>
      <c r="AK60" s="1064"/>
      <c r="AL60" s="1064"/>
      <c r="AM60" s="1064"/>
      <c r="AN60" s="1064"/>
      <c r="AO60" s="1064"/>
      <c r="AP60" s="1064"/>
      <c r="AQ60" s="1064"/>
      <c r="AR60" s="1064"/>
      <c r="AS60" s="1064"/>
      <c r="AT60" s="1064"/>
      <c r="AU60" s="1064"/>
      <c r="AV60" s="1064"/>
      <c r="AW60" s="1064"/>
      <c r="AX60" s="1064"/>
      <c r="AY60" s="1064"/>
      <c r="AZ60" s="1064"/>
      <c r="BA60" s="1064"/>
      <c r="BB60" s="1064"/>
      <c r="BC60" s="1064"/>
      <c r="BD60" s="1064"/>
      <c r="BE60" s="1064"/>
      <c r="BF60" s="1064"/>
      <c r="BG60" s="1064"/>
      <c r="BH60" s="1064"/>
      <c r="BI60" s="1064"/>
      <c r="BJ60" s="1064"/>
      <c r="BK60" s="1064"/>
      <c r="BL60" s="1064"/>
      <c r="BM60" s="878"/>
      <c r="BN60" s="878"/>
      <c r="BO60" s="878"/>
      <c r="BP60" s="878"/>
      <c r="BQ60" s="878"/>
      <c r="BR60" s="878"/>
      <c r="BS60" s="878"/>
      <c r="BT60" s="878"/>
      <c r="BU60" s="878"/>
      <c r="BV60" s="878"/>
      <c r="BW60" s="878"/>
      <c r="BX60" s="878"/>
      <c r="BY60" s="878"/>
    </row>
    <row r="61" spans="11:77">
      <c r="K61" s="878"/>
      <c r="L61" s="878"/>
      <c r="M61" s="878"/>
      <c r="N61" s="878"/>
      <c r="O61" s="878"/>
      <c r="P61" s="878"/>
      <c r="Q61" s="878"/>
      <c r="R61" s="878"/>
      <c r="S61" s="878"/>
      <c r="U61" s="1064"/>
      <c r="V61" s="6"/>
      <c r="W61" s="6"/>
      <c r="X61" s="6"/>
      <c r="Y61" s="1064"/>
      <c r="Z61" s="1064"/>
      <c r="AA61" s="1064"/>
      <c r="AB61" s="1064"/>
      <c r="AC61" s="1064"/>
      <c r="AD61" s="1064"/>
      <c r="AE61" s="1064"/>
      <c r="AF61" s="1064"/>
      <c r="AG61" s="1064"/>
      <c r="AH61" s="1064"/>
      <c r="AI61" s="1064"/>
      <c r="AJ61" s="1064"/>
      <c r="AK61" s="1064"/>
      <c r="AL61" s="1064"/>
      <c r="AM61" s="1064"/>
      <c r="AN61" s="1064"/>
      <c r="AO61" s="1064"/>
      <c r="AP61" s="1064"/>
      <c r="AQ61" s="1064"/>
      <c r="AR61" s="1064"/>
      <c r="AS61" s="1064"/>
      <c r="AT61" s="1064"/>
      <c r="AU61" s="1064"/>
      <c r="AV61" s="1064"/>
      <c r="AW61" s="1064"/>
      <c r="AX61" s="1064"/>
      <c r="AY61" s="1064"/>
      <c r="AZ61" s="1064"/>
      <c r="BA61" s="1064"/>
      <c r="BB61" s="1064"/>
      <c r="BC61" s="1064"/>
      <c r="BD61" s="1064"/>
      <c r="BE61" s="1064"/>
      <c r="BF61" s="1064"/>
      <c r="BG61" s="1064"/>
      <c r="BH61" s="1064"/>
      <c r="BI61" s="1064"/>
      <c r="BJ61" s="1064"/>
      <c r="BK61" s="1064"/>
      <c r="BL61" s="1064"/>
      <c r="BM61" s="878"/>
      <c r="BN61" s="878"/>
      <c r="BO61" s="878"/>
      <c r="BP61" s="878"/>
      <c r="BQ61" s="878"/>
      <c r="BR61" s="878"/>
      <c r="BS61" s="878"/>
      <c r="BT61" s="878"/>
      <c r="BU61" s="878"/>
      <c r="BV61" s="878"/>
      <c r="BW61" s="878"/>
      <c r="BX61" s="878"/>
      <c r="BY61" s="878"/>
    </row>
    <row r="62" spans="11:77">
      <c r="U62" s="1064"/>
      <c r="V62" s="6"/>
      <c r="W62" s="6"/>
      <c r="X62" s="6"/>
      <c r="Y62" s="1064"/>
      <c r="Z62" s="1064"/>
      <c r="AA62" s="1064"/>
      <c r="AB62" s="1064"/>
      <c r="AC62" s="1064"/>
      <c r="AD62" s="1064"/>
      <c r="AE62" s="1064"/>
      <c r="AF62" s="1064"/>
      <c r="AG62" s="1064"/>
      <c r="AH62" s="1064"/>
      <c r="AI62" s="1064"/>
      <c r="AJ62" s="1064"/>
      <c r="AK62" s="1064"/>
      <c r="AL62" s="1064"/>
      <c r="AM62" s="1064"/>
      <c r="AN62" s="1064"/>
      <c r="AO62" s="1064"/>
      <c r="AP62" s="1064"/>
      <c r="AQ62" s="1064"/>
      <c r="AR62" s="1064"/>
      <c r="AS62" s="1064"/>
      <c r="AT62" s="1064"/>
      <c r="AU62" s="1064"/>
      <c r="AV62" s="1064"/>
      <c r="AW62" s="1064"/>
      <c r="AX62" s="1064"/>
      <c r="AY62" s="1064"/>
      <c r="AZ62" s="1064"/>
      <c r="BA62" s="1064"/>
      <c r="BB62" s="1064"/>
      <c r="BC62" s="1064"/>
      <c r="BD62" s="1064"/>
      <c r="BE62" s="1064"/>
      <c r="BF62" s="1064"/>
      <c r="BG62" s="1064"/>
      <c r="BH62" s="1064"/>
      <c r="BI62" s="1064"/>
      <c r="BJ62" s="1064"/>
      <c r="BK62" s="1064"/>
      <c r="BL62" s="1064"/>
      <c r="BM62" s="1064"/>
      <c r="BN62" s="1064"/>
      <c r="BO62" s="1064"/>
      <c r="BP62" s="1064"/>
      <c r="BQ62" s="1064"/>
      <c r="BR62" s="1064"/>
      <c r="BS62" s="1064"/>
    </row>
    <row r="63" spans="11:77">
      <c r="U63" s="1064"/>
      <c r="V63" s="6"/>
      <c r="W63" s="6"/>
      <c r="X63" s="6"/>
      <c r="Y63" s="1064"/>
      <c r="Z63" s="1064"/>
      <c r="AA63" s="1064"/>
      <c r="AB63" s="1064"/>
      <c r="AC63" s="1064"/>
      <c r="AD63" s="1064"/>
      <c r="AE63" s="1064"/>
      <c r="AF63" s="1064"/>
      <c r="AG63" s="1064"/>
      <c r="AH63" s="1064"/>
      <c r="AI63" s="1064"/>
      <c r="AJ63" s="1064"/>
      <c r="AK63" s="1064"/>
      <c r="AL63" s="1064"/>
      <c r="AM63" s="1064"/>
      <c r="AN63" s="1064"/>
      <c r="AO63" s="1064"/>
      <c r="AP63" s="1064"/>
      <c r="AQ63" s="1064"/>
      <c r="AR63" s="1064"/>
      <c r="AS63" s="1064"/>
      <c r="AT63" s="1064"/>
      <c r="AU63" s="1064"/>
      <c r="AV63" s="1064"/>
      <c r="AW63" s="1064"/>
      <c r="AX63" s="1064"/>
      <c r="AY63" s="1064"/>
      <c r="AZ63" s="1064"/>
      <c r="BA63" s="1064"/>
      <c r="BB63" s="1064"/>
      <c r="BC63" s="1064"/>
      <c r="BD63" s="1064"/>
      <c r="BE63" s="1064"/>
      <c r="BF63" s="1064"/>
      <c r="BG63" s="1064"/>
      <c r="BH63" s="1064"/>
      <c r="BI63" s="1064"/>
      <c r="BJ63" s="1064"/>
      <c r="BK63" s="1064"/>
      <c r="BL63" s="1064"/>
      <c r="BM63" s="1064"/>
      <c r="BN63" s="1064"/>
      <c r="BO63" s="1064"/>
      <c r="BP63" s="1064"/>
      <c r="BQ63" s="1064"/>
      <c r="BR63" s="1064"/>
      <c r="BS63" s="1064"/>
    </row>
    <row r="64" spans="11:77">
      <c r="U64" s="1064"/>
      <c r="V64" s="6"/>
      <c r="W64" s="6"/>
      <c r="X64" s="6"/>
      <c r="Y64" s="1064"/>
      <c r="Z64" s="1064"/>
      <c r="AA64" s="1064"/>
      <c r="AB64" s="1064"/>
      <c r="AC64" s="1064"/>
      <c r="AD64" s="1064"/>
      <c r="AE64" s="1064"/>
      <c r="AF64" s="1064"/>
      <c r="AG64" s="1064"/>
      <c r="AH64" s="1064"/>
      <c r="AI64" s="1064"/>
      <c r="AJ64" s="1064"/>
      <c r="AK64" s="1064"/>
      <c r="AL64" s="1064"/>
      <c r="AM64" s="1064"/>
      <c r="AN64" s="1064"/>
      <c r="AO64" s="1064"/>
      <c r="AP64" s="1064"/>
      <c r="AQ64" s="1064"/>
      <c r="AR64" s="1064"/>
      <c r="AS64" s="1064"/>
      <c r="AT64" s="1064"/>
      <c r="AU64" s="1064"/>
      <c r="AV64" s="1064"/>
      <c r="AW64" s="1064"/>
      <c r="AX64" s="1064"/>
      <c r="AY64" s="1064"/>
      <c r="AZ64" s="1064"/>
      <c r="BA64" s="1064"/>
      <c r="BB64" s="1064"/>
      <c r="BC64" s="1064"/>
      <c r="BD64" s="1064"/>
      <c r="BE64" s="1064"/>
      <c r="BF64" s="1064"/>
      <c r="BG64" s="1064"/>
      <c r="BH64" s="1064"/>
      <c r="BI64" s="1064"/>
      <c r="BJ64" s="1064"/>
      <c r="BK64" s="1064"/>
      <c r="BL64" s="1064"/>
      <c r="BM64" s="1064"/>
      <c r="BN64" s="1064"/>
      <c r="BO64" s="1064"/>
      <c r="BP64" s="1064"/>
      <c r="BQ64" s="1064"/>
      <c r="BR64" s="1064"/>
      <c r="BS64" s="1064"/>
    </row>
    <row r="65" spans="21:71">
      <c r="U65" s="1064"/>
      <c r="V65" s="6"/>
      <c r="W65" s="6"/>
      <c r="X65" s="6"/>
      <c r="Y65" s="1064"/>
      <c r="Z65" s="1064"/>
      <c r="AA65" s="1064"/>
      <c r="AB65" s="1064"/>
      <c r="AC65" s="1064"/>
      <c r="AD65" s="1064"/>
      <c r="AE65" s="1064"/>
      <c r="AF65" s="1064"/>
      <c r="AG65" s="1064"/>
      <c r="AH65" s="1064"/>
      <c r="AI65" s="1064"/>
      <c r="AJ65" s="1064"/>
      <c r="AK65" s="1064"/>
      <c r="AL65" s="1064"/>
      <c r="AM65" s="1064"/>
      <c r="AN65" s="1064"/>
      <c r="AO65" s="1064"/>
      <c r="AP65" s="1064"/>
      <c r="AQ65" s="1064"/>
      <c r="AR65" s="1064"/>
      <c r="AS65" s="1064"/>
      <c r="AT65" s="1064"/>
      <c r="AU65" s="1064"/>
      <c r="AV65" s="1064"/>
      <c r="AW65" s="1064"/>
      <c r="AX65" s="1064"/>
      <c r="AY65" s="1064"/>
      <c r="AZ65" s="1064"/>
      <c r="BA65" s="1064"/>
      <c r="BB65" s="1064"/>
      <c r="BC65" s="1064"/>
      <c r="BD65" s="1064"/>
      <c r="BE65" s="1064"/>
      <c r="BF65" s="1064"/>
      <c r="BG65" s="1064"/>
      <c r="BH65" s="1064"/>
      <c r="BI65" s="1064"/>
      <c r="BJ65" s="1064"/>
      <c r="BK65" s="1064"/>
      <c r="BL65" s="1064"/>
      <c r="BM65" s="1064"/>
      <c r="BN65" s="1064"/>
      <c r="BO65" s="1064"/>
      <c r="BP65" s="1064"/>
      <c r="BQ65" s="1064"/>
      <c r="BR65" s="1064"/>
      <c r="BS65" s="1064"/>
    </row>
    <row r="66" spans="21:71">
      <c r="U66" s="1064"/>
      <c r="V66" s="6"/>
      <c r="W66" s="6"/>
      <c r="X66" s="6"/>
      <c r="Y66" s="1064"/>
      <c r="Z66" s="1064"/>
      <c r="AA66" s="1064"/>
      <c r="AB66" s="1064"/>
      <c r="AC66" s="1064"/>
      <c r="AD66" s="1064"/>
      <c r="AE66" s="1064"/>
      <c r="AF66" s="1064"/>
      <c r="AG66" s="1064"/>
      <c r="AH66" s="1064"/>
      <c r="AI66" s="1064"/>
      <c r="AJ66" s="1064"/>
      <c r="AK66" s="1064"/>
      <c r="AL66" s="1064"/>
      <c r="AM66" s="1064"/>
      <c r="AN66" s="1064"/>
      <c r="AO66" s="1064"/>
      <c r="AP66" s="1064"/>
      <c r="AQ66" s="1064"/>
      <c r="AR66" s="1064"/>
      <c r="AS66" s="1064"/>
      <c r="AT66" s="1064"/>
      <c r="AU66" s="1064"/>
      <c r="AV66" s="1064"/>
      <c r="AW66" s="1064"/>
      <c r="AX66" s="1064"/>
      <c r="AY66" s="1064"/>
      <c r="AZ66" s="1064"/>
      <c r="BA66" s="1064"/>
      <c r="BB66" s="1064"/>
      <c r="BC66" s="1064"/>
      <c r="BD66" s="1064"/>
      <c r="BE66" s="1064"/>
      <c r="BF66" s="1064"/>
      <c r="BG66" s="1064"/>
      <c r="BH66" s="1064"/>
      <c r="BI66" s="1064"/>
      <c r="BJ66" s="1064"/>
      <c r="BK66" s="1064"/>
      <c r="BL66" s="1064"/>
      <c r="BM66" s="1064"/>
      <c r="BN66" s="1064"/>
      <c r="BO66" s="1064"/>
      <c r="BP66" s="1064"/>
      <c r="BQ66" s="1064"/>
      <c r="BR66" s="1064"/>
      <c r="BS66" s="1064"/>
    </row>
    <row r="67" spans="21:71">
      <c r="U67" s="1064"/>
      <c r="V67" s="6"/>
      <c r="W67" s="6"/>
      <c r="X67" s="6"/>
      <c r="Y67" s="1064"/>
      <c r="Z67" s="1064"/>
      <c r="AA67" s="1064"/>
      <c r="AB67" s="1064"/>
      <c r="AC67" s="1064"/>
      <c r="AD67" s="1064"/>
      <c r="AE67" s="1064"/>
      <c r="AF67" s="1064"/>
      <c r="AG67" s="1064"/>
      <c r="AH67" s="1064"/>
      <c r="AI67" s="1064"/>
      <c r="AJ67" s="1064"/>
      <c r="AK67" s="1064"/>
      <c r="AL67" s="1064"/>
      <c r="AM67" s="1064"/>
      <c r="AN67" s="1064"/>
      <c r="AO67" s="1064"/>
      <c r="AP67" s="1064"/>
      <c r="AQ67" s="1064"/>
      <c r="AR67" s="1064"/>
      <c r="AS67" s="1064"/>
      <c r="AT67" s="1064"/>
      <c r="AU67" s="1064"/>
      <c r="AV67" s="1064"/>
      <c r="AW67" s="1064"/>
      <c r="AX67" s="1064"/>
      <c r="AY67" s="1064"/>
      <c r="AZ67" s="1064"/>
      <c r="BA67" s="1064"/>
      <c r="BB67" s="1064"/>
      <c r="BC67" s="1064"/>
      <c r="BD67" s="1064"/>
      <c r="BE67" s="1064"/>
      <c r="BF67" s="1064"/>
      <c r="BG67" s="1064"/>
      <c r="BH67" s="1064"/>
      <c r="BI67" s="1064"/>
      <c r="BJ67" s="1064"/>
      <c r="BK67" s="1064"/>
      <c r="BL67" s="1064"/>
      <c r="BM67" s="1064"/>
      <c r="BN67" s="1064"/>
      <c r="BO67" s="1064"/>
      <c r="BP67" s="1064"/>
      <c r="BQ67" s="1064"/>
      <c r="BR67" s="1064"/>
      <c r="BS67" s="1064"/>
    </row>
    <row r="68" spans="21:71">
      <c r="U68" s="1064"/>
      <c r="V68" s="6"/>
      <c r="W68" s="6"/>
      <c r="X68" s="6"/>
      <c r="Y68" s="1064"/>
      <c r="Z68" s="1064"/>
      <c r="AA68" s="1064"/>
      <c r="AB68" s="1064"/>
      <c r="AC68" s="1064"/>
      <c r="AD68" s="1064"/>
      <c r="AE68" s="1064"/>
      <c r="AF68" s="1064"/>
      <c r="AG68" s="1064"/>
      <c r="AH68" s="1064"/>
      <c r="AI68" s="1064"/>
      <c r="AJ68" s="1064"/>
      <c r="AK68" s="1064"/>
      <c r="AL68" s="1064"/>
      <c r="AM68" s="1064"/>
      <c r="AN68" s="1064"/>
      <c r="AO68" s="1064"/>
      <c r="AP68" s="1064"/>
      <c r="AQ68" s="1064"/>
      <c r="AR68" s="1064"/>
      <c r="AS68" s="1064"/>
      <c r="AT68" s="1064"/>
      <c r="AU68" s="1064"/>
      <c r="AV68" s="1064"/>
      <c r="AW68" s="1064"/>
      <c r="AX68" s="1064"/>
      <c r="AY68" s="1064"/>
      <c r="AZ68" s="1064"/>
      <c r="BA68" s="1064"/>
      <c r="BB68" s="1064"/>
      <c r="BC68" s="1064"/>
      <c r="BD68" s="1064"/>
      <c r="BE68" s="1064"/>
      <c r="BF68" s="1064"/>
      <c r="BG68" s="1064"/>
      <c r="BH68" s="1064"/>
      <c r="BI68" s="1064"/>
      <c r="BJ68" s="1064"/>
      <c r="BK68" s="1064"/>
      <c r="BL68" s="1064"/>
      <c r="BM68" s="1064"/>
      <c r="BN68" s="1064"/>
      <c r="BO68" s="1064"/>
      <c r="BP68" s="1064"/>
      <c r="BQ68" s="1064"/>
      <c r="BR68" s="1064"/>
      <c r="BS68" s="1064"/>
    </row>
    <row r="69" spans="21:71">
      <c r="U69" s="1064"/>
      <c r="V69" s="1062"/>
      <c r="W69" s="1062"/>
      <c r="X69" s="6"/>
      <c r="Y69" s="1064"/>
      <c r="Z69" s="1064"/>
      <c r="AA69" s="1064"/>
      <c r="AB69" s="1064"/>
      <c r="AC69" s="1064"/>
      <c r="AD69" s="1064"/>
      <c r="AE69" s="1064"/>
      <c r="AF69" s="1064"/>
      <c r="AG69" s="1064"/>
      <c r="AH69" s="1064"/>
      <c r="AI69" s="1064"/>
      <c r="AJ69" s="1064"/>
      <c r="AK69" s="1064"/>
      <c r="AL69" s="1064"/>
      <c r="AM69" s="1064"/>
      <c r="AN69" s="1064"/>
      <c r="AO69" s="1064"/>
      <c r="AP69" s="1064"/>
      <c r="AQ69" s="1064"/>
      <c r="AR69" s="1064"/>
      <c r="AS69" s="1064"/>
      <c r="AT69" s="1064"/>
      <c r="AU69" s="1064"/>
      <c r="AV69" s="1064"/>
      <c r="AW69" s="1064"/>
      <c r="AX69" s="1064"/>
      <c r="AY69" s="1064"/>
      <c r="AZ69" s="1064"/>
      <c r="BA69" s="1064"/>
      <c r="BB69" s="1064"/>
      <c r="BC69" s="1064"/>
      <c r="BD69" s="1064"/>
      <c r="BE69" s="1064"/>
      <c r="BF69" s="1064"/>
      <c r="BG69" s="1064"/>
      <c r="BH69" s="1064"/>
      <c r="BI69" s="1064"/>
      <c r="BJ69" s="1064"/>
      <c r="BK69" s="1064"/>
      <c r="BL69" s="1064"/>
      <c r="BM69" s="1064"/>
      <c r="BN69" s="1064"/>
      <c r="BO69" s="1064"/>
      <c r="BP69" s="1064"/>
      <c r="BQ69" s="1064"/>
      <c r="BR69" s="1064"/>
      <c r="BS69" s="1064"/>
    </row>
    <row r="70" spans="21:71">
      <c r="U70" s="1064"/>
      <c r="V70" s="1064"/>
      <c r="W70" s="1064"/>
      <c r="X70" s="1064"/>
      <c r="Y70" s="1064"/>
      <c r="Z70" s="1064"/>
      <c r="AA70" s="1064"/>
      <c r="AB70" s="1064"/>
      <c r="AC70" s="1064"/>
      <c r="AD70" s="1064"/>
      <c r="AE70" s="1064"/>
      <c r="AF70" s="1064"/>
      <c r="AG70" s="1064"/>
      <c r="AH70" s="1064"/>
      <c r="AI70" s="1064"/>
      <c r="AJ70" s="1064"/>
      <c r="AK70" s="1064"/>
      <c r="AL70" s="1064"/>
      <c r="AM70" s="1064"/>
      <c r="AN70" s="1064"/>
      <c r="AO70" s="1064"/>
      <c r="AP70" s="1064"/>
      <c r="AQ70" s="1064"/>
      <c r="AR70" s="1064"/>
      <c r="AS70" s="1064"/>
      <c r="AT70" s="1064"/>
      <c r="AU70" s="1064"/>
      <c r="AV70" s="1064"/>
      <c r="AW70" s="1064"/>
      <c r="AX70" s="1064"/>
      <c r="AY70" s="1064"/>
      <c r="AZ70" s="1064"/>
      <c r="BA70" s="1064"/>
      <c r="BB70" s="1064"/>
      <c r="BC70" s="1064"/>
      <c r="BD70" s="1064"/>
      <c r="BE70" s="1064"/>
      <c r="BF70" s="1064"/>
      <c r="BG70" s="1064"/>
      <c r="BH70" s="1064"/>
      <c r="BI70" s="1064"/>
      <c r="BJ70" s="1064"/>
      <c r="BK70" s="1064"/>
      <c r="BL70" s="1064"/>
      <c r="BM70" s="1064"/>
      <c r="BN70" s="1064"/>
      <c r="BO70" s="1064"/>
      <c r="BP70" s="1064"/>
      <c r="BQ70" s="1064"/>
      <c r="BR70" s="1064"/>
      <c r="BS70" s="1064"/>
    </row>
  </sheetData>
  <mergeCells count="61">
    <mergeCell ref="AE40:AF40"/>
    <mergeCell ref="AG40:AH40"/>
    <mergeCell ref="L42:M42"/>
    <mergeCell ref="X53:Z53"/>
    <mergeCell ref="L37:N37"/>
    <mergeCell ref="L38:N38"/>
    <mergeCell ref="X38:Z38"/>
    <mergeCell ref="AA38:AA39"/>
    <mergeCell ref="X40:Z46"/>
    <mergeCell ref="AC40:AD40"/>
    <mergeCell ref="C6:C7"/>
    <mergeCell ref="D6:D7"/>
    <mergeCell ref="F6:G6"/>
    <mergeCell ref="H6:I6"/>
    <mergeCell ref="N6:N7"/>
    <mergeCell ref="BF1:BF7"/>
    <mergeCell ref="BG1:BG7"/>
    <mergeCell ref="BH1:BH7"/>
    <mergeCell ref="BI1:BI7"/>
    <mergeCell ref="AZ1:AZ7"/>
    <mergeCell ref="BA1:BA7"/>
    <mergeCell ref="BB1:BB7"/>
    <mergeCell ref="BC1:BC7"/>
    <mergeCell ref="BD1:BD7"/>
    <mergeCell ref="BE1:BE7"/>
    <mergeCell ref="AY1:AY7"/>
    <mergeCell ref="AN1:AN7"/>
    <mergeCell ref="AO1:AO7"/>
    <mergeCell ref="AP1:AP7"/>
    <mergeCell ref="AQ1:AQ7"/>
    <mergeCell ref="AR1:AR7"/>
    <mergeCell ref="AS1:AS7"/>
    <mergeCell ref="AT1:AT7"/>
    <mergeCell ref="AU1:AU7"/>
    <mergeCell ref="AV1:AV7"/>
    <mergeCell ref="AW1:AW7"/>
    <mergeCell ref="AX1:AX7"/>
    <mergeCell ref="AM1:AM7"/>
    <mergeCell ref="AB1:AB7"/>
    <mergeCell ref="AC1:AC7"/>
    <mergeCell ref="AD1:AD7"/>
    <mergeCell ref="AE1:AE7"/>
    <mergeCell ref="AF1:AF7"/>
    <mergeCell ref="AG1:AG7"/>
    <mergeCell ref="AH1:AH7"/>
    <mergeCell ref="AI1:AI7"/>
    <mergeCell ref="AJ1:AJ7"/>
    <mergeCell ref="AK1:AK7"/>
    <mergeCell ref="AL1:AL7"/>
    <mergeCell ref="AA1:AA7"/>
    <mergeCell ref="L1:R1"/>
    <mergeCell ref="W1:W7"/>
    <mergeCell ref="X1:X7"/>
    <mergeCell ref="Y1:Y7"/>
    <mergeCell ref="Z1:Z7"/>
    <mergeCell ref="L3:N3"/>
    <mergeCell ref="L4:N4"/>
    <mergeCell ref="L5:L7"/>
    <mergeCell ref="M5:M7"/>
    <mergeCell ref="N5:P5"/>
    <mergeCell ref="O6:P6"/>
  </mergeCells>
  <pageMargins left="0.7" right="0.7" top="0.78740157499999996" bottom="0.78740157499999996" header="0.3" footer="0.3"/>
  <pageSetup paperSize="9" orientation="portrait" r:id="rId1"/>
  <ignoredErrors>
    <ignoredError sqref="M8 M9:M3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92D050"/>
  </sheetPr>
  <dimension ref="A1:AL52"/>
  <sheetViews>
    <sheetView workbookViewId="0">
      <selection activeCell="R33" sqref="R33"/>
    </sheetView>
  </sheetViews>
  <sheetFormatPr baseColWidth="10" defaultRowHeight="12.75"/>
  <cols>
    <col min="1" max="1" width="3.42578125" style="10" customWidth="1"/>
    <col min="2" max="2" width="10.7109375" style="10" customWidth="1"/>
    <col min="3" max="3" width="10.7109375" style="10" hidden="1" customWidth="1"/>
    <col min="4" max="4" width="11.42578125" style="10" customWidth="1"/>
    <col min="5" max="5" width="10.7109375" style="10" customWidth="1"/>
    <col min="6" max="6" width="7.42578125" style="10" hidden="1" customWidth="1"/>
    <col min="7" max="7" width="9.140625" style="10" hidden="1" customWidth="1"/>
    <col min="8" max="8" width="8.85546875" style="10" customWidth="1"/>
    <col min="9" max="9" width="10.7109375" style="10" customWidth="1"/>
    <col min="10" max="11" width="4.42578125" style="10" customWidth="1"/>
    <col min="12" max="12" width="15.28515625" style="10" customWidth="1"/>
    <col min="13" max="13" width="2.7109375" style="10" customWidth="1"/>
    <col min="14" max="14" width="4.28515625" style="10" customWidth="1"/>
    <col min="15" max="15" width="10.28515625" style="10" customWidth="1"/>
    <col min="16" max="16" width="9.5703125" style="10" customWidth="1"/>
    <col min="17" max="17" width="9.7109375" style="10" hidden="1" customWidth="1"/>
    <col min="18" max="18" width="8.7109375" style="10" customWidth="1"/>
    <col min="19" max="21" width="3.7109375" style="760" customWidth="1"/>
    <col min="22" max="22" width="3.7109375" style="760" hidden="1" customWidth="1"/>
    <col min="23" max="23" width="10.28515625" style="760" hidden="1" customWidth="1"/>
    <col min="24" max="24" width="20.7109375" style="10" hidden="1" customWidth="1"/>
    <col min="25" max="25" width="9.28515625" style="10" hidden="1" customWidth="1"/>
    <col min="26" max="27" width="11.42578125" style="10" hidden="1" customWidth="1"/>
    <col min="28" max="16384" width="11.42578125" style="10"/>
  </cols>
  <sheetData>
    <row r="1" spans="1:38" ht="25.5" customHeight="1">
      <c r="A1" s="876"/>
      <c r="B1" s="2547" t="s">
        <v>1006</v>
      </c>
      <c r="C1" s="2542"/>
      <c r="D1" s="2542"/>
      <c r="E1" s="2542"/>
      <c r="F1" s="2542"/>
      <c r="G1" s="2542"/>
      <c r="H1" s="2542"/>
      <c r="I1" s="2542"/>
      <c r="J1" s="2542"/>
      <c r="K1" s="2542"/>
      <c r="L1" s="2542"/>
      <c r="M1" s="2542"/>
      <c r="N1" s="2542"/>
      <c r="O1" s="1791" t="s">
        <v>0</v>
      </c>
      <c r="P1" s="1838" t="s">
        <v>1</v>
      </c>
      <c r="Q1" s="2134"/>
      <c r="R1" s="2134"/>
      <c r="S1" s="2135"/>
      <c r="T1" s="2135"/>
      <c r="U1" s="2135"/>
      <c r="AB1" s="876"/>
      <c r="AC1" s="876"/>
      <c r="AD1" s="876"/>
      <c r="AE1" s="876"/>
      <c r="AF1" s="876"/>
      <c r="AG1" s="876"/>
      <c r="AH1" s="876"/>
      <c r="AI1" s="876"/>
      <c r="AJ1" s="876"/>
      <c r="AK1" s="876"/>
      <c r="AL1" s="876"/>
    </row>
    <row r="2" spans="1:38" ht="13.5" thickBot="1">
      <c r="A2" s="876"/>
      <c r="B2" s="876"/>
      <c r="C2" s="876"/>
      <c r="D2" s="876"/>
      <c r="E2" s="876"/>
      <c r="F2" s="876"/>
      <c r="G2" s="876"/>
      <c r="H2" s="876"/>
      <c r="I2" s="876"/>
      <c r="J2" s="876"/>
      <c r="K2" s="876"/>
      <c r="L2" s="876"/>
      <c r="M2" s="876"/>
      <c r="N2" s="876"/>
      <c r="O2" s="876"/>
      <c r="P2" s="876"/>
      <c r="Q2" s="876"/>
      <c r="R2" s="876"/>
      <c r="S2" s="2135"/>
      <c r="T2" s="2135"/>
      <c r="U2" s="2135"/>
      <c r="AB2" s="876"/>
      <c r="AC2" s="876"/>
      <c r="AD2" s="876"/>
      <c r="AE2" s="876"/>
      <c r="AF2" s="876"/>
      <c r="AG2" s="876"/>
      <c r="AH2" s="876"/>
      <c r="AI2" s="876"/>
      <c r="AJ2" s="876"/>
      <c r="AK2" s="876"/>
      <c r="AL2" s="876"/>
    </row>
    <row r="3" spans="1:38" ht="16.5" customHeight="1">
      <c r="A3" s="876"/>
      <c r="B3" s="2551" t="s">
        <v>1007</v>
      </c>
      <c r="C3" s="2552"/>
      <c r="D3" s="2552"/>
      <c r="E3" s="2552"/>
      <c r="F3" s="2552"/>
      <c r="G3" s="2552"/>
      <c r="H3" s="2552"/>
      <c r="I3" s="2552"/>
      <c r="J3" s="2552"/>
      <c r="K3" s="2136"/>
      <c r="L3" s="2137" t="s">
        <v>1008</v>
      </c>
      <c r="M3" s="876"/>
      <c r="N3" s="876"/>
      <c r="O3" s="876"/>
      <c r="P3" s="2135"/>
      <c r="Q3" s="876"/>
      <c r="R3" s="876"/>
      <c r="S3" s="2135"/>
      <c r="T3" s="2135"/>
      <c r="U3" s="2135"/>
      <c r="AB3" s="876"/>
      <c r="AC3" s="876"/>
      <c r="AD3" s="876"/>
      <c r="AE3" s="876"/>
      <c r="AF3" s="876"/>
      <c r="AG3" s="876"/>
      <c r="AH3" s="876"/>
      <c r="AI3" s="876"/>
      <c r="AJ3" s="876"/>
      <c r="AK3" s="876"/>
      <c r="AL3" s="876"/>
    </row>
    <row r="4" spans="1:38" ht="14.25" customHeight="1">
      <c r="A4" s="876"/>
      <c r="B4" s="2029"/>
      <c r="C4" s="2029"/>
      <c r="D4" s="2029"/>
      <c r="E4" s="2029"/>
      <c r="F4" s="2029"/>
      <c r="G4" s="2029"/>
      <c r="H4" s="2029"/>
      <c r="I4" s="2553"/>
      <c r="J4" s="2554"/>
      <c r="K4" s="2138"/>
      <c r="L4" s="2548" t="s">
        <v>1433</v>
      </c>
      <c r="M4" s="876"/>
      <c r="N4" s="876"/>
      <c r="O4" s="876"/>
      <c r="P4" s="2135"/>
      <c r="Q4" s="876"/>
      <c r="R4" s="876"/>
      <c r="S4" s="876"/>
      <c r="T4" s="876"/>
      <c r="U4" s="876"/>
      <c r="V4" s="171"/>
      <c r="W4" s="171"/>
      <c r="AB4" s="876"/>
      <c r="AC4" s="876"/>
      <c r="AD4" s="876"/>
      <c r="AE4" s="876"/>
      <c r="AF4" s="876"/>
      <c r="AG4" s="876"/>
      <c r="AH4" s="876"/>
      <c r="AI4" s="876"/>
      <c r="AJ4" s="876"/>
      <c r="AK4" s="876"/>
      <c r="AL4" s="876"/>
    </row>
    <row r="5" spans="1:38" ht="24.75" customHeight="1">
      <c r="A5" s="876"/>
      <c r="B5" s="2139" t="s">
        <v>1009</v>
      </c>
      <c r="C5" s="2555" t="s">
        <v>1010</v>
      </c>
      <c r="D5" s="2544" t="s">
        <v>1011</v>
      </c>
      <c r="E5" s="2543" t="s">
        <v>1035</v>
      </c>
      <c r="F5" s="2545" t="s">
        <v>1012</v>
      </c>
      <c r="G5" s="2545" t="s">
        <v>1055</v>
      </c>
      <c r="H5" s="2543" t="s">
        <v>1013</v>
      </c>
      <c r="I5" s="2543" t="s">
        <v>1432</v>
      </c>
      <c r="J5" s="2550"/>
      <c r="K5" s="2140"/>
      <c r="L5" s="2549"/>
      <c r="M5" s="876"/>
      <c r="N5" s="876"/>
      <c r="O5" s="876"/>
      <c r="P5" s="2135"/>
      <c r="Q5" s="876"/>
      <c r="R5" s="876"/>
      <c r="S5" s="2141"/>
      <c r="T5" s="2141"/>
      <c r="U5" s="2141"/>
      <c r="V5" s="2142"/>
      <c r="W5" s="2142"/>
      <c r="X5" s="2143" t="s">
        <v>1034</v>
      </c>
      <c r="Y5" s="2276" t="s">
        <v>1456</v>
      </c>
      <c r="Z5" s="2276" t="s">
        <v>6</v>
      </c>
      <c r="AA5" s="2260" t="s">
        <v>29</v>
      </c>
      <c r="AB5" s="876"/>
      <c r="AC5" s="876"/>
      <c r="AD5" s="876"/>
      <c r="AE5" s="876"/>
      <c r="AF5" s="876"/>
      <c r="AG5" s="876"/>
      <c r="AH5" s="876"/>
      <c r="AI5" s="876"/>
      <c r="AJ5" s="876"/>
      <c r="AK5" s="876"/>
      <c r="AL5" s="876"/>
    </row>
    <row r="6" spans="1:38" ht="24" customHeight="1">
      <c r="A6" s="876"/>
      <c r="B6" s="2144">
        <f>Grünland!AP36</f>
        <v>0</v>
      </c>
      <c r="C6" s="2556"/>
      <c r="D6" s="2544"/>
      <c r="E6" s="2544"/>
      <c r="F6" s="2546"/>
      <c r="G6" s="2546"/>
      <c r="H6" s="2544"/>
      <c r="I6" s="2543"/>
      <c r="J6" s="2550"/>
      <c r="K6" s="2140"/>
      <c r="L6" s="2145">
        <f>(L7+L8+L9+L10+L11+L12+L13+L14+L15)-B6</f>
        <v>0</v>
      </c>
      <c r="M6" s="876"/>
      <c r="N6" s="876"/>
      <c r="O6" s="876"/>
      <c r="P6" s="2135"/>
      <c r="Q6" s="876"/>
      <c r="R6" s="2135"/>
      <c r="S6" s="2141"/>
      <c r="T6" s="2141"/>
      <c r="U6" s="2141"/>
      <c r="V6" s="2142"/>
      <c r="W6" s="2142">
        <v>1</v>
      </c>
      <c r="X6" s="2146" t="s">
        <v>830</v>
      </c>
      <c r="Y6" s="2147">
        <v>10</v>
      </c>
      <c r="Z6" s="2147">
        <v>20</v>
      </c>
      <c r="AA6" s="2147">
        <v>30</v>
      </c>
      <c r="AB6" s="876"/>
      <c r="AC6" s="876"/>
      <c r="AD6" s="876"/>
      <c r="AE6" s="876"/>
      <c r="AF6" s="876"/>
      <c r="AG6" s="876"/>
      <c r="AH6" s="876"/>
      <c r="AI6" s="876"/>
      <c r="AJ6" s="876"/>
      <c r="AK6" s="876"/>
      <c r="AL6" s="876"/>
    </row>
    <row r="7" spans="1:38" ht="14.25" customHeight="1">
      <c r="A7" s="876"/>
      <c r="B7" s="2049">
        <f>Grünland!AP$35</f>
        <v>0</v>
      </c>
      <c r="C7" s="2049">
        <f>IF(B7&gt;0,B7,1)</f>
        <v>1</v>
      </c>
      <c r="D7" s="2148" t="s">
        <v>1014</v>
      </c>
      <c r="E7" s="2149" t="str">
        <f>IF(B7=0,"",F7/C7)</f>
        <v/>
      </c>
      <c r="F7" s="2150">
        <f>Grünland!BA35</f>
        <v>0</v>
      </c>
      <c r="G7" s="2150">
        <f>Grünland!BL$35</f>
        <v>0</v>
      </c>
      <c r="H7" s="2149" t="str">
        <f>IF(B7=0,"",G7/C7)</f>
        <v/>
      </c>
      <c r="I7" s="2151" t="str">
        <f>IF(B7=0,"",H7-E7)</f>
        <v/>
      </c>
      <c r="J7" s="2152" t="str">
        <f>I7</f>
        <v/>
      </c>
      <c r="K7" s="2138"/>
      <c r="L7" s="1008"/>
      <c r="M7" s="876"/>
      <c r="N7" s="876"/>
      <c r="O7" s="876"/>
      <c r="P7" s="2135"/>
      <c r="Q7" s="876"/>
      <c r="R7" s="2135"/>
      <c r="S7" s="876"/>
      <c r="T7" s="876"/>
      <c r="U7" s="876"/>
      <c r="V7" s="171"/>
      <c r="W7" s="2153">
        <v>2</v>
      </c>
      <c r="X7" s="2146" t="s">
        <v>831</v>
      </c>
      <c r="Y7" s="2147">
        <v>40</v>
      </c>
      <c r="Z7" s="2147">
        <v>60</v>
      </c>
      <c r="AA7" s="2147">
        <v>80</v>
      </c>
      <c r="AB7" s="876"/>
      <c r="AC7" s="876"/>
      <c r="AD7" s="876"/>
      <c r="AE7" s="876"/>
      <c r="AF7" s="876"/>
      <c r="AG7" s="876"/>
      <c r="AH7" s="876"/>
      <c r="AI7" s="876"/>
      <c r="AJ7" s="876"/>
      <c r="AK7" s="876"/>
      <c r="AL7" s="876"/>
    </row>
    <row r="8" spans="1:38" ht="14.25" customHeight="1">
      <c r="A8" s="876"/>
      <c r="B8" s="2049">
        <f>Grünland!AQ$35</f>
        <v>0</v>
      </c>
      <c r="C8" s="2049">
        <f>IF(B8&gt;0,B8,1)</f>
        <v>1</v>
      </c>
      <c r="D8" s="2148" t="s">
        <v>1015</v>
      </c>
      <c r="E8" s="2149" t="str">
        <f t="shared" ref="E8:E15" si="0">IF(B8=0,"",F8/C8)</f>
        <v/>
      </c>
      <c r="F8" s="2150">
        <f>Grünland!BB35</f>
        <v>0</v>
      </c>
      <c r="G8" s="2150">
        <f>Grünland!BM$35</f>
        <v>0</v>
      </c>
      <c r="H8" s="2149" t="str">
        <f t="shared" ref="H8:H15" si="1">IF(B8=0,"",G8/C8)</f>
        <v/>
      </c>
      <c r="I8" s="2151" t="str">
        <f t="shared" ref="I8:I15" si="2">IF(B8=0,"",H8-E8)</f>
        <v/>
      </c>
      <c r="J8" s="2152" t="str">
        <f t="shared" ref="J8:J15" si="3">I8</f>
        <v/>
      </c>
      <c r="K8" s="2138"/>
      <c r="L8" s="1008"/>
      <c r="M8" s="876"/>
      <c r="N8" s="876"/>
      <c r="O8" s="876"/>
      <c r="P8" s="2135"/>
      <c r="Q8" s="876"/>
      <c r="R8" s="2135"/>
      <c r="S8" s="876"/>
      <c r="T8" s="876"/>
      <c r="U8" s="876"/>
      <c r="V8" s="171"/>
      <c r="W8" s="2153">
        <v>3</v>
      </c>
      <c r="X8" s="2146" t="s">
        <v>1036</v>
      </c>
      <c r="Y8" s="2147">
        <v>60</v>
      </c>
      <c r="Z8" s="2147">
        <v>100</v>
      </c>
      <c r="AA8" s="2147">
        <v>120</v>
      </c>
      <c r="AB8" s="876"/>
      <c r="AC8" s="876"/>
      <c r="AD8" s="876"/>
      <c r="AE8" s="876"/>
      <c r="AF8" s="876"/>
      <c r="AG8" s="876"/>
      <c r="AH8" s="876"/>
      <c r="AI8" s="876"/>
      <c r="AJ8" s="876"/>
      <c r="AK8" s="876"/>
      <c r="AL8" s="876"/>
    </row>
    <row r="9" spans="1:38" ht="14.25" customHeight="1">
      <c r="A9" s="876"/>
      <c r="B9" s="2049">
        <f>Grünland!AR$35+Grünland!AS$35</f>
        <v>0</v>
      </c>
      <c r="C9" s="2049">
        <f>IF(B9&gt;0,B9,1)</f>
        <v>1</v>
      </c>
      <c r="D9" s="2148" t="s">
        <v>1016</v>
      </c>
      <c r="E9" s="2149" t="str">
        <f>IF(B9=0,"",F9/C9)</f>
        <v/>
      </c>
      <c r="F9" s="2150">
        <f>Grünland!BC36</f>
        <v>0</v>
      </c>
      <c r="G9" s="2150">
        <f>Grünland!BN36</f>
        <v>0</v>
      </c>
      <c r="H9" s="2149" t="str">
        <f t="shared" si="1"/>
        <v/>
      </c>
      <c r="I9" s="2151" t="str">
        <f t="shared" si="2"/>
        <v/>
      </c>
      <c r="J9" s="2152" t="str">
        <f t="shared" si="3"/>
        <v/>
      </c>
      <c r="K9" s="2138"/>
      <c r="L9" s="1008"/>
      <c r="M9" s="876"/>
      <c r="N9" s="876"/>
      <c r="O9" s="876"/>
      <c r="P9" s="2135"/>
      <c r="Q9" s="876"/>
      <c r="R9" s="2135"/>
      <c r="S9" s="876"/>
      <c r="T9" s="876"/>
      <c r="U9" s="876"/>
      <c r="V9" s="171"/>
      <c r="W9" s="2154">
        <v>4</v>
      </c>
      <c r="X9" s="2146" t="s">
        <v>1028</v>
      </c>
      <c r="Y9" s="2147">
        <v>100</v>
      </c>
      <c r="Z9" s="2147">
        <v>140</v>
      </c>
      <c r="AA9" s="2147">
        <v>170</v>
      </c>
      <c r="AB9" s="876"/>
      <c r="AC9" s="876"/>
      <c r="AD9" s="876"/>
      <c r="AE9" s="876"/>
      <c r="AF9" s="876"/>
      <c r="AG9" s="876"/>
      <c r="AH9" s="876"/>
      <c r="AI9" s="876"/>
      <c r="AJ9" s="876"/>
      <c r="AK9" s="876"/>
      <c r="AL9" s="876"/>
    </row>
    <row r="10" spans="1:38" ht="14.25" customHeight="1">
      <c r="A10" s="876"/>
      <c r="B10" s="2049">
        <f>Grünland!AT$35</f>
        <v>0</v>
      </c>
      <c r="C10" s="2049">
        <f t="shared" ref="C10:C15" si="4">IF(B10&gt;0,B10,1)</f>
        <v>1</v>
      </c>
      <c r="D10" s="2148" t="s">
        <v>1017</v>
      </c>
      <c r="E10" s="2149" t="str">
        <f t="shared" si="0"/>
        <v/>
      </c>
      <c r="F10" s="2150">
        <f>Grünland!BE35</f>
        <v>0</v>
      </c>
      <c r="G10" s="2150">
        <f>Grünland!BP$35</f>
        <v>0</v>
      </c>
      <c r="H10" s="2149" t="str">
        <f t="shared" si="1"/>
        <v/>
      </c>
      <c r="I10" s="2151" t="str">
        <f t="shared" si="2"/>
        <v/>
      </c>
      <c r="J10" s="2152" t="str">
        <f t="shared" si="3"/>
        <v/>
      </c>
      <c r="K10" s="2138"/>
      <c r="L10" s="1008"/>
      <c r="M10" s="876"/>
      <c r="N10" s="876"/>
      <c r="O10" s="876"/>
      <c r="P10" s="2135"/>
      <c r="Q10" s="876"/>
      <c r="R10" s="2135"/>
      <c r="S10" s="876"/>
      <c r="T10" s="876"/>
      <c r="U10" s="876"/>
      <c r="V10" s="171"/>
      <c r="W10" s="2153">
        <v>5</v>
      </c>
      <c r="X10" s="2146" t="s">
        <v>1029</v>
      </c>
      <c r="Y10" s="2147">
        <v>140</v>
      </c>
      <c r="Z10" s="2147">
        <v>160</v>
      </c>
      <c r="AA10" s="2147">
        <v>210</v>
      </c>
      <c r="AB10" s="876"/>
      <c r="AC10" s="876"/>
      <c r="AD10" s="876"/>
      <c r="AE10" s="876"/>
      <c r="AF10" s="876"/>
      <c r="AG10" s="876"/>
      <c r="AH10" s="876"/>
      <c r="AI10" s="876"/>
      <c r="AJ10" s="876"/>
      <c r="AK10" s="876"/>
      <c r="AL10" s="876"/>
    </row>
    <row r="11" spans="1:38" ht="14.25" customHeight="1">
      <c r="A11" s="876"/>
      <c r="B11" s="2049">
        <f>Grünland!AU$35</f>
        <v>0</v>
      </c>
      <c r="C11" s="2049">
        <f t="shared" si="4"/>
        <v>1</v>
      </c>
      <c r="D11" s="2148" t="s">
        <v>1018</v>
      </c>
      <c r="E11" s="2149" t="str">
        <f t="shared" si="0"/>
        <v/>
      </c>
      <c r="F11" s="2150">
        <f>Grünland!BF35</f>
        <v>0</v>
      </c>
      <c r="G11" s="2150">
        <f>Grünland!BQ$35</f>
        <v>0</v>
      </c>
      <c r="H11" s="2149" t="str">
        <f t="shared" si="1"/>
        <v/>
      </c>
      <c r="I11" s="2151" t="str">
        <f t="shared" si="2"/>
        <v/>
      </c>
      <c r="J11" s="2152" t="str">
        <f t="shared" si="3"/>
        <v/>
      </c>
      <c r="K11" s="2138"/>
      <c r="L11" s="1008"/>
      <c r="M11" s="876"/>
      <c r="N11" s="876"/>
      <c r="O11" s="876"/>
      <c r="P11" s="2135"/>
      <c r="Q11" s="876"/>
      <c r="R11" s="2135"/>
      <c r="S11" s="876"/>
      <c r="T11" s="876"/>
      <c r="U11" s="876"/>
      <c r="V11" s="171"/>
      <c r="W11" s="2153">
        <v>6</v>
      </c>
      <c r="X11" s="2146" t="s">
        <v>1030</v>
      </c>
      <c r="Y11" s="2147">
        <v>160</v>
      </c>
      <c r="Z11" s="2147">
        <v>180</v>
      </c>
      <c r="AA11" s="2147">
        <v>210</v>
      </c>
      <c r="AB11" s="876"/>
      <c r="AC11" s="876"/>
      <c r="AD11" s="876"/>
      <c r="AE11" s="876"/>
      <c r="AF11" s="876"/>
      <c r="AG11" s="876"/>
      <c r="AH11" s="876"/>
      <c r="AI11" s="876"/>
      <c r="AJ11" s="876"/>
      <c r="AK11" s="876"/>
      <c r="AL11" s="876"/>
    </row>
    <row r="12" spans="1:38" ht="14.25" customHeight="1">
      <c r="A12" s="876"/>
      <c r="B12" s="2049">
        <f>Grünland!AV$35</f>
        <v>0</v>
      </c>
      <c r="C12" s="2049">
        <f t="shared" si="4"/>
        <v>1</v>
      </c>
      <c r="D12" s="2148" t="s">
        <v>1019</v>
      </c>
      <c r="E12" s="2149" t="str">
        <f t="shared" si="0"/>
        <v/>
      </c>
      <c r="F12" s="2150">
        <f>Grünland!BG35</f>
        <v>0</v>
      </c>
      <c r="G12" s="2150">
        <f>Grünland!BR$35</f>
        <v>0</v>
      </c>
      <c r="H12" s="2149" t="str">
        <f t="shared" si="1"/>
        <v/>
      </c>
      <c r="I12" s="2151" t="str">
        <f t="shared" si="2"/>
        <v/>
      </c>
      <c r="J12" s="2152" t="str">
        <f t="shared" si="3"/>
        <v/>
      </c>
      <c r="K12" s="2138"/>
      <c r="L12" s="1008"/>
      <c r="M12" s="876"/>
      <c r="N12" s="876"/>
      <c r="O12" s="876"/>
      <c r="P12" s="2135"/>
      <c r="Q12" s="876"/>
      <c r="R12" s="2135"/>
      <c r="S12" s="876"/>
      <c r="T12" s="876"/>
      <c r="U12" s="876"/>
      <c r="V12" s="171"/>
      <c r="W12" s="2153"/>
      <c r="X12" s="2155" t="s">
        <v>1020</v>
      </c>
      <c r="Y12" s="2147"/>
      <c r="Z12" s="2147">
        <v>80</v>
      </c>
      <c r="AA12" s="2147"/>
      <c r="AB12" s="876"/>
      <c r="AC12" s="876"/>
      <c r="AD12" s="876"/>
      <c r="AE12" s="876"/>
      <c r="AF12" s="876"/>
      <c r="AG12" s="876"/>
      <c r="AH12" s="876"/>
      <c r="AI12" s="876"/>
      <c r="AJ12" s="876"/>
      <c r="AK12" s="876"/>
      <c r="AL12" s="876"/>
    </row>
    <row r="13" spans="1:38" ht="14.25" customHeight="1">
      <c r="A13" s="876"/>
      <c r="B13" s="2049">
        <f>Grünland!AW$35</f>
        <v>0</v>
      </c>
      <c r="C13" s="2049">
        <f t="shared" si="4"/>
        <v>1</v>
      </c>
      <c r="D13" s="2148" t="s">
        <v>1020</v>
      </c>
      <c r="E13" s="2149" t="str">
        <f t="shared" si="0"/>
        <v/>
      </c>
      <c r="F13" s="2150">
        <f>Grünland!BH35</f>
        <v>0</v>
      </c>
      <c r="G13" s="2150">
        <f>Grünland!BS35</f>
        <v>0</v>
      </c>
      <c r="H13" s="2149" t="str">
        <f t="shared" si="1"/>
        <v/>
      </c>
      <c r="I13" s="2151" t="str">
        <f t="shared" si="2"/>
        <v/>
      </c>
      <c r="J13" s="2152" t="str">
        <f t="shared" si="3"/>
        <v/>
      </c>
      <c r="K13" s="2138"/>
      <c r="L13" s="1008"/>
      <c r="M13" s="876"/>
      <c r="N13" s="876"/>
      <c r="O13" s="876"/>
      <c r="P13" s="2135"/>
      <c r="Q13" s="876"/>
      <c r="R13" s="2135"/>
      <c r="S13" s="876"/>
      <c r="T13" s="876"/>
      <c r="U13" s="876"/>
      <c r="V13" s="171"/>
      <c r="W13" s="2153" t="s">
        <v>1256</v>
      </c>
      <c r="X13" s="2156" t="s">
        <v>827</v>
      </c>
      <c r="Y13" s="2147">
        <v>40</v>
      </c>
      <c r="Z13" s="2147">
        <v>80</v>
      </c>
      <c r="AA13" s="2147">
        <v>120</v>
      </c>
      <c r="AB13" s="876"/>
      <c r="AC13" s="876"/>
      <c r="AD13" s="876"/>
      <c r="AE13" s="876"/>
      <c r="AF13" s="876"/>
      <c r="AG13" s="876"/>
      <c r="AH13" s="876"/>
      <c r="AI13" s="876"/>
      <c r="AJ13" s="876"/>
      <c r="AK13" s="876"/>
      <c r="AL13" s="876"/>
    </row>
    <row r="14" spans="1:38" ht="14.25" customHeight="1">
      <c r="A14" s="876"/>
      <c r="B14" s="2049">
        <f>Grünland!AX$35</f>
        <v>0</v>
      </c>
      <c r="C14" s="2049">
        <f t="shared" si="4"/>
        <v>1</v>
      </c>
      <c r="D14" s="2148" t="s">
        <v>827</v>
      </c>
      <c r="E14" s="2149" t="str">
        <f>IF(B14=0,"",F14/C14)</f>
        <v/>
      </c>
      <c r="F14" s="2150">
        <f>Grünland!BI35</f>
        <v>0</v>
      </c>
      <c r="G14" s="2150">
        <f>Grünland!BT$35</f>
        <v>0</v>
      </c>
      <c r="H14" s="2149" t="str">
        <f t="shared" si="1"/>
        <v/>
      </c>
      <c r="I14" s="2151" t="str">
        <f>IF(B14=0,"",H14-E14)</f>
        <v/>
      </c>
      <c r="J14" s="2152" t="str">
        <f t="shared" si="3"/>
        <v/>
      </c>
      <c r="K14" s="2138"/>
      <c r="L14" s="1008"/>
      <c r="M14" s="876"/>
      <c r="N14" s="876"/>
      <c r="O14" s="876"/>
      <c r="P14" s="2135"/>
      <c r="Q14" s="876"/>
      <c r="R14" s="2135"/>
      <c r="S14" s="876"/>
      <c r="T14" s="876"/>
      <c r="U14" s="876"/>
      <c r="V14" s="171"/>
      <c r="W14" s="2153"/>
      <c r="X14" s="2157" t="s">
        <v>1039</v>
      </c>
      <c r="Y14" s="2147">
        <v>20</v>
      </c>
      <c r="Z14" s="2147">
        <v>30</v>
      </c>
      <c r="AA14" s="2147">
        <v>30</v>
      </c>
      <c r="AB14" s="876"/>
      <c r="AC14" s="876"/>
      <c r="AD14" s="876"/>
      <c r="AE14" s="876"/>
      <c r="AF14" s="876"/>
      <c r="AG14" s="876"/>
      <c r="AH14" s="876"/>
      <c r="AI14" s="876"/>
      <c r="AJ14" s="876"/>
      <c r="AK14" s="876"/>
      <c r="AL14" s="876"/>
    </row>
    <row r="15" spans="1:38" ht="14.25" customHeight="1" thickBot="1">
      <c r="A15" s="876"/>
      <c r="B15" s="2049">
        <f>Grünland!AY$35</f>
        <v>0</v>
      </c>
      <c r="C15" s="2049">
        <f t="shared" si="4"/>
        <v>1</v>
      </c>
      <c r="D15" s="2148" t="s">
        <v>1021</v>
      </c>
      <c r="E15" s="2149" t="str">
        <f t="shared" si="0"/>
        <v/>
      </c>
      <c r="F15" s="2150">
        <f>Grünland!BJ35</f>
        <v>0</v>
      </c>
      <c r="G15" s="2150">
        <f>Grünland!BU$35</f>
        <v>0</v>
      </c>
      <c r="H15" s="2149" t="str">
        <f t="shared" si="1"/>
        <v/>
      </c>
      <c r="I15" s="2151" t="str">
        <f t="shared" si="2"/>
        <v/>
      </c>
      <c r="J15" s="2152" t="str">
        <f t="shared" si="3"/>
        <v/>
      </c>
      <c r="K15" s="2138"/>
      <c r="L15" s="1603"/>
      <c r="M15" s="876"/>
      <c r="N15" s="876"/>
      <c r="O15" s="876"/>
      <c r="P15" s="2135"/>
      <c r="Q15" s="876"/>
      <c r="R15" s="2135"/>
      <c r="S15" s="876"/>
      <c r="T15" s="876"/>
      <c r="U15" s="876"/>
      <c r="V15" s="171"/>
      <c r="W15" s="171"/>
      <c r="AB15" s="876"/>
      <c r="AC15" s="876"/>
      <c r="AD15" s="876"/>
      <c r="AE15" s="876"/>
      <c r="AF15" s="876"/>
      <c r="AG15" s="876"/>
      <c r="AH15" s="876"/>
      <c r="AI15" s="876"/>
      <c r="AJ15" s="876"/>
      <c r="AK15" s="876"/>
      <c r="AL15" s="876"/>
    </row>
    <row r="16" spans="1:38">
      <c r="A16" s="876"/>
      <c r="B16" s="876"/>
      <c r="C16" s="876"/>
      <c r="D16" s="876"/>
      <c r="E16" s="876"/>
      <c r="F16" s="2158"/>
      <c r="G16" s="2159"/>
      <c r="H16" s="2158"/>
      <c r="I16" s="876"/>
      <c r="J16" s="876"/>
      <c r="K16" s="876"/>
      <c r="L16" s="876"/>
      <c r="M16" s="876"/>
      <c r="N16" s="876"/>
      <c r="O16" s="876"/>
      <c r="P16" s="876"/>
      <c r="Q16" s="876"/>
      <c r="R16" s="876"/>
      <c r="S16" s="2135"/>
      <c r="T16" s="2135"/>
      <c r="U16" s="2135"/>
      <c r="X16" s="10" t="s">
        <v>1460</v>
      </c>
      <c r="AB16" s="876"/>
      <c r="AC16" s="876"/>
      <c r="AD16" s="876"/>
      <c r="AE16" s="876"/>
      <c r="AF16" s="876"/>
      <c r="AG16" s="876"/>
      <c r="AH16" s="876"/>
      <c r="AI16" s="876"/>
      <c r="AJ16" s="876"/>
      <c r="AK16" s="876"/>
      <c r="AL16" s="876"/>
    </row>
    <row r="17" spans="1:38">
      <c r="A17" s="876"/>
      <c r="B17" s="876"/>
      <c r="C17" s="876"/>
      <c r="D17" s="876"/>
      <c r="E17" s="876"/>
      <c r="F17" s="876"/>
      <c r="G17" s="876"/>
      <c r="H17" s="876"/>
      <c r="I17" s="876"/>
      <c r="J17" s="876"/>
      <c r="K17" s="876"/>
      <c r="L17" s="876"/>
      <c r="M17" s="876"/>
      <c r="N17" s="876"/>
      <c r="O17" s="876"/>
      <c r="P17" s="876"/>
      <c r="Q17" s="876"/>
      <c r="R17" s="876"/>
      <c r="S17" s="2135"/>
      <c r="T17" s="2135"/>
      <c r="U17" s="2135"/>
      <c r="X17" s="10" t="s">
        <v>5</v>
      </c>
      <c r="Y17" s="10">
        <f>($L$7*Y6)+($L$8*Y7)+($L$9*Y8)+($L$10*Y9)+($L$11*Y10)+($L$12*Y11)+($L$13*Y12)+($L$14*Y13)+($L$15*Y14)</f>
        <v>0</v>
      </c>
      <c r="AB17" s="876"/>
      <c r="AC17" s="876"/>
      <c r="AD17" s="876"/>
      <c r="AE17" s="876"/>
      <c r="AF17" s="876"/>
      <c r="AG17" s="876"/>
      <c r="AH17" s="876"/>
      <c r="AI17" s="876"/>
      <c r="AJ17" s="876"/>
      <c r="AK17" s="876"/>
      <c r="AL17" s="876"/>
    </row>
    <row r="18" spans="1:38">
      <c r="A18" s="876"/>
      <c r="B18" s="2160"/>
      <c r="C18" s="2160"/>
      <c r="D18" s="2161"/>
      <c r="E18" s="2162"/>
      <c r="F18" s="2135"/>
      <c r="G18" s="876"/>
      <c r="H18" s="876"/>
      <c r="I18" s="876"/>
      <c r="J18" s="876"/>
      <c r="K18" s="876"/>
      <c r="L18" s="876"/>
      <c r="M18" s="876"/>
      <c r="N18" s="876"/>
      <c r="O18" s="876"/>
      <c r="P18" s="876"/>
      <c r="Q18" s="876"/>
      <c r="R18" s="876"/>
      <c r="S18" s="2135"/>
      <c r="T18" s="2135"/>
      <c r="U18" s="2135"/>
      <c r="X18" s="760" t="s">
        <v>6</v>
      </c>
      <c r="Z18" s="10">
        <f>($L$7*Z6)+($L$8*Z7)+($L$9*Z8)+($L$10*Z9)+($L$11*Z10)+($L$12*Z11)+($L$13*Z12)+($L$14*Z13)+($L$15*Z14)</f>
        <v>0</v>
      </c>
      <c r="AB18" s="876"/>
      <c r="AC18" s="876"/>
      <c r="AD18" s="876"/>
      <c r="AE18" s="876"/>
      <c r="AF18" s="876"/>
      <c r="AG18" s="876"/>
      <c r="AH18" s="876"/>
      <c r="AI18" s="876"/>
      <c r="AJ18" s="876"/>
      <c r="AK18" s="876"/>
      <c r="AL18" s="876"/>
    </row>
    <row r="19" spans="1:38" ht="13.5" thickBot="1">
      <c r="A19" s="876"/>
      <c r="B19" s="2161"/>
      <c r="C19" s="2161"/>
      <c r="D19" s="2161"/>
      <c r="E19" s="2162"/>
      <c r="F19" s="2135"/>
      <c r="G19" s="876"/>
      <c r="H19" s="876"/>
      <c r="I19" s="876"/>
      <c r="J19" s="876"/>
      <c r="K19" s="876"/>
      <c r="L19" s="876"/>
      <c r="M19" s="876"/>
      <c r="N19" s="876"/>
      <c r="O19" s="876"/>
      <c r="P19" s="876"/>
      <c r="Q19" s="876"/>
      <c r="R19" s="876"/>
      <c r="S19" s="2135"/>
      <c r="T19" s="2135"/>
      <c r="U19" s="2135"/>
      <c r="X19" s="760" t="s">
        <v>29</v>
      </c>
      <c r="AA19" s="10">
        <f>($L$7*AA6)+($L$8*AA7)+($L$9*AA8)+($L$10*AA9)+($L$11*AA10)+($L$12*AA11)+($L$13*AA12)+($L$14*AA13)+($L$15*AA14)</f>
        <v>0</v>
      </c>
      <c r="AB19" s="876"/>
      <c r="AC19" s="876"/>
      <c r="AD19" s="876"/>
      <c r="AE19" s="876"/>
      <c r="AF19" s="876"/>
      <c r="AG19" s="876"/>
      <c r="AH19" s="876"/>
      <c r="AI19" s="876"/>
      <c r="AJ19" s="876"/>
      <c r="AK19" s="876"/>
      <c r="AL19" s="876"/>
    </row>
    <row r="20" spans="1:38" ht="16.5" customHeight="1">
      <c r="A20" s="876"/>
      <c r="B20" s="2163" t="s">
        <v>1454</v>
      </c>
      <c r="C20" s="2164"/>
      <c r="D20" s="2165"/>
      <c r="E20" s="2162"/>
      <c r="F20" s="2135"/>
      <c r="G20" s="876"/>
      <c r="H20" s="2558" t="s">
        <v>1022</v>
      </c>
      <c r="I20" s="2560">
        <f>IFERROR((F22-F21)/B6,0)</f>
        <v>0</v>
      </c>
      <c r="J20" s="876"/>
      <c r="K20" s="876"/>
      <c r="L20" s="2561" t="s">
        <v>1023</v>
      </c>
      <c r="M20" s="2161"/>
      <c r="N20" s="2161"/>
      <c r="O20" s="2564" t="str">
        <f>IFERROR(IF((L7+L8+L9+L10+L11+L12+L13+L14)&gt;0,(Q21-Q22)/B6,""),0)</f>
        <v/>
      </c>
      <c r="P20" s="2558" t="s">
        <v>1024</v>
      </c>
      <c r="Q20" s="2166"/>
      <c r="R20" s="2166"/>
      <c r="S20" s="2135"/>
      <c r="T20" s="2135"/>
      <c r="U20" s="2135"/>
      <c r="X20" s="760" t="s">
        <v>1458</v>
      </c>
      <c r="Y20" s="2557">
        <f>($L$7*((Y6+Z6)/2))+($L$8*((Y7+Z7)/2))+($L$9*((Y8+Z8)/2))+($L$10*((Y9+Z9)/2))+($L$11*((Y10+Z10)/2))+($L$12*((Y11+Z11)/2))+($L$13*((Y12+Z12)/2))+($L$14*((Y13+Z13)/2))+($L$15*((Y14+Z14)/2))</f>
        <v>0</v>
      </c>
      <c r="Z20" s="2557"/>
      <c r="AB20" s="876"/>
      <c r="AC20" s="876"/>
      <c r="AD20" s="876"/>
      <c r="AE20" s="876"/>
      <c r="AF20" s="876"/>
      <c r="AG20" s="876"/>
      <c r="AH20" s="876"/>
      <c r="AI20" s="876"/>
      <c r="AJ20" s="876"/>
      <c r="AK20" s="876"/>
      <c r="AL20" s="876"/>
    </row>
    <row r="21" spans="1:38" ht="14.25" customHeight="1">
      <c r="A21" s="2135"/>
      <c r="B21" s="2135" t="s">
        <v>1455</v>
      </c>
      <c r="C21" s="2135"/>
      <c r="D21" s="2135"/>
      <c r="E21" s="2135"/>
      <c r="F21" s="2167">
        <f>F7+F8+F9+F10+F11+F12+F13+F14+F15</f>
        <v>0</v>
      </c>
      <c r="G21" s="876"/>
      <c r="H21" s="2559"/>
      <c r="I21" s="2560"/>
      <c r="J21" s="2168">
        <f>I20</f>
        <v>0</v>
      </c>
      <c r="K21" s="876"/>
      <c r="L21" s="2562"/>
      <c r="M21" s="2135"/>
      <c r="N21" s="2168" t="str">
        <f>O20</f>
        <v/>
      </c>
      <c r="O21" s="2565"/>
      <c r="P21" s="2559"/>
      <c r="Q21" s="2167">
        <f>F22</f>
        <v>0</v>
      </c>
      <c r="R21" s="2169"/>
      <c r="S21" s="2135"/>
      <c r="T21" s="2135"/>
      <c r="U21" s="2135"/>
      <c r="X21" s="760" t="s">
        <v>1459</v>
      </c>
      <c r="Y21" s="2178"/>
      <c r="Z21" s="2557">
        <f>($L$7*((Z6+AA6)/2))+($L$8*((Z7+AA7)/2))+($L$9*((Z8+AA8)/2))+($L$10*((Z9+AA9)/2))+($L$11*((Z10+AA10)/2))+($L$12*((Z11+AA11)/2))+($L$13*((Z12+AA12)/2))+($L$14*((Z13+AA13)/2))+($L$15*((Z14+AA14)/2))</f>
        <v>0</v>
      </c>
      <c r="AA21" s="2557"/>
      <c r="AB21" s="876"/>
      <c r="AC21" s="876"/>
      <c r="AD21" s="876"/>
      <c r="AE21" s="876"/>
      <c r="AF21" s="876"/>
      <c r="AG21" s="876"/>
      <c r="AH21" s="876"/>
      <c r="AI21" s="876"/>
      <c r="AJ21" s="876"/>
      <c r="AK21" s="876"/>
      <c r="AL21" s="876"/>
    </row>
    <row r="22" spans="1:38" ht="14.25" customHeight="1" thickBot="1">
      <c r="A22" s="2135"/>
      <c r="B22" s="2135"/>
      <c r="C22" s="876"/>
      <c r="D22" s="876"/>
      <c r="E22" s="876"/>
      <c r="F22" s="2170">
        <f>Tabelle1!AX78-Acker!G19</f>
        <v>0</v>
      </c>
      <c r="G22" s="876"/>
      <c r="H22" s="2559"/>
      <c r="I22" s="2560"/>
      <c r="J22" s="2171"/>
      <c r="K22" s="876"/>
      <c r="L22" s="2563"/>
      <c r="M22" s="2135"/>
      <c r="N22" s="2135"/>
      <c r="O22" s="2565"/>
      <c r="P22" s="2559"/>
      <c r="Q22" s="2170" t="str">
        <f>IF(Betrieb!E10="niedrig",Y17,IF(Betrieb!E10="niedrig - mittel",Y20,IF(Betrieb!E10="mittel",Z18,IF(Betrieb!E10="mittel - hoch",Planung!Z21,IF(Betrieb!E10="hoch",Planung!AA19,"")))))</f>
        <v/>
      </c>
      <c r="R22" s="2169"/>
      <c r="S22" s="2135"/>
      <c r="T22" s="2135"/>
      <c r="U22" s="2135"/>
      <c r="Y22" s="2178"/>
      <c r="Z22" s="2178"/>
      <c r="AB22" s="876"/>
      <c r="AC22" s="876"/>
      <c r="AD22" s="876"/>
      <c r="AE22" s="876"/>
      <c r="AF22" s="876"/>
      <c r="AG22" s="876"/>
      <c r="AH22" s="876"/>
      <c r="AI22" s="876"/>
      <c r="AJ22" s="876"/>
      <c r="AK22" s="876"/>
      <c r="AL22" s="876"/>
    </row>
    <row r="23" spans="1:38" ht="13.5" customHeight="1">
      <c r="A23" s="876"/>
      <c r="B23" s="876"/>
      <c r="C23" s="876"/>
      <c r="D23" s="876"/>
      <c r="E23" s="876"/>
      <c r="F23" s="876"/>
      <c r="G23" s="876"/>
      <c r="H23" s="876"/>
      <c r="I23" s="876"/>
      <c r="J23" s="876"/>
      <c r="K23" s="876"/>
      <c r="L23" s="2135"/>
      <c r="M23" s="2135"/>
      <c r="N23" s="2135"/>
      <c r="O23" s="2135"/>
      <c r="P23" s="2166"/>
      <c r="Q23" s="2166"/>
      <c r="R23" s="2166"/>
      <c r="S23" s="2135"/>
      <c r="T23" s="2135"/>
      <c r="U23" s="2135"/>
      <c r="Y23" s="2178"/>
      <c r="Z23" s="2178"/>
      <c r="AB23" s="876"/>
      <c r="AC23" s="876"/>
      <c r="AD23" s="876"/>
      <c r="AE23" s="876"/>
      <c r="AF23" s="876"/>
      <c r="AG23" s="876"/>
      <c r="AH23" s="876"/>
      <c r="AI23" s="876"/>
      <c r="AJ23" s="876"/>
      <c r="AK23" s="876"/>
      <c r="AL23" s="876"/>
    </row>
    <row r="24" spans="1:38" ht="13.5" customHeight="1">
      <c r="A24" s="876"/>
      <c r="B24" s="876"/>
      <c r="C24" s="876"/>
      <c r="D24" s="876"/>
      <c r="E24" s="876"/>
      <c r="F24" s="876"/>
      <c r="G24" s="876"/>
      <c r="H24" s="876"/>
      <c r="I24" s="876"/>
      <c r="J24" s="876"/>
      <c r="K24" s="876"/>
      <c r="L24" s="2135"/>
      <c r="M24" s="2135"/>
      <c r="N24" s="2135"/>
      <c r="O24" s="2135"/>
      <c r="P24" s="2166"/>
      <c r="Q24" s="2166"/>
      <c r="R24" s="2166"/>
      <c r="S24" s="2135"/>
      <c r="T24" s="2135"/>
      <c r="U24" s="2135"/>
      <c r="Y24" s="2178"/>
      <c r="Z24" s="2178"/>
      <c r="AB24" s="876"/>
      <c r="AC24" s="876"/>
      <c r="AD24" s="876"/>
      <c r="AE24" s="876"/>
      <c r="AF24" s="876"/>
      <c r="AG24" s="876"/>
      <c r="AH24" s="876"/>
      <c r="AI24" s="876"/>
      <c r="AJ24" s="876"/>
      <c r="AK24" s="876"/>
      <c r="AL24" s="876"/>
    </row>
    <row r="25" spans="1:38" ht="13.5" customHeight="1">
      <c r="A25" s="876"/>
      <c r="B25" s="2172"/>
      <c r="C25" s="2172"/>
      <c r="D25" s="2172"/>
      <c r="E25" s="2172"/>
      <c r="F25" s="2172"/>
      <c r="G25" s="2172"/>
      <c r="H25" s="2172"/>
      <c r="I25" s="2172"/>
      <c r="J25" s="2172"/>
      <c r="K25" s="2172"/>
      <c r="L25" s="2173"/>
      <c r="M25" s="2173"/>
      <c r="N25" s="2173"/>
      <c r="O25" s="2173"/>
      <c r="P25" s="2174"/>
      <c r="Q25" s="2174"/>
      <c r="R25" s="2174"/>
      <c r="S25" s="2173"/>
      <c r="T25" s="2173"/>
      <c r="U25" s="2135"/>
      <c r="Y25" s="2178"/>
      <c r="Z25" s="2178"/>
      <c r="AB25" s="876"/>
      <c r="AC25" s="876"/>
      <c r="AD25" s="876"/>
      <c r="AE25" s="876"/>
      <c r="AF25" s="876"/>
      <c r="AG25" s="876"/>
      <c r="AH25" s="876"/>
      <c r="AI25" s="876"/>
      <c r="AJ25" s="876"/>
      <c r="AK25" s="876"/>
      <c r="AL25" s="876"/>
    </row>
    <row r="26" spans="1:38" ht="13.5" thickBot="1">
      <c r="A26" s="876"/>
      <c r="B26" s="2175"/>
      <c r="C26" s="2175"/>
      <c r="D26" s="2175"/>
      <c r="E26" s="2175"/>
      <c r="F26" s="2175"/>
      <c r="G26" s="2175"/>
      <c r="H26" s="2175"/>
      <c r="I26" s="2175"/>
      <c r="J26" s="2175"/>
      <c r="K26" s="2175"/>
      <c r="L26" s="2176"/>
      <c r="M26" s="2177"/>
      <c r="N26" s="2177"/>
      <c r="O26" s="2177"/>
      <c r="P26" s="2176"/>
      <c r="Q26" s="2177"/>
      <c r="R26" s="2177"/>
      <c r="S26" s="2176"/>
      <c r="T26" s="2176"/>
      <c r="U26" s="2176"/>
      <c r="V26" s="750"/>
      <c r="W26" s="750"/>
      <c r="X26" s="2178"/>
      <c r="Y26" s="2178"/>
      <c r="Z26" s="2178"/>
      <c r="AB26" s="876"/>
      <c r="AC26" s="876"/>
      <c r="AD26" s="876"/>
      <c r="AE26" s="876"/>
      <c r="AF26" s="876"/>
      <c r="AG26" s="876"/>
      <c r="AH26" s="876"/>
      <c r="AI26" s="876"/>
      <c r="AJ26" s="876"/>
      <c r="AK26" s="876"/>
      <c r="AL26" s="876"/>
    </row>
    <row r="27" spans="1:38" ht="15" customHeight="1">
      <c r="A27" s="876"/>
      <c r="B27" s="2163" t="s">
        <v>1264</v>
      </c>
      <c r="C27" s="2175"/>
      <c r="D27" s="2175"/>
      <c r="E27" s="2175"/>
      <c r="F27" s="2175"/>
      <c r="G27" s="2175"/>
      <c r="H27" s="2175"/>
      <c r="I27" s="2175"/>
      <c r="J27" s="2179"/>
      <c r="K27" s="2175"/>
      <c r="L27" s="1107" t="s">
        <v>1025</v>
      </c>
      <c r="M27" s="2176"/>
      <c r="N27" s="2176"/>
      <c r="O27" s="2176"/>
      <c r="P27" s="2176"/>
      <c r="Q27" s="2176"/>
      <c r="R27" s="2176"/>
      <c r="S27" s="2176"/>
      <c r="T27" s="2176"/>
      <c r="U27" s="2176"/>
      <c r="V27" s="750"/>
      <c r="W27" s="750"/>
      <c r="X27" s="2178"/>
      <c r="Y27" s="2178"/>
      <c r="Z27" s="2178"/>
      <c r="AB27" s="876"/>
      <c r="AC27" s="876"/>
      <c r="AD27" s="876"/>
      <c r="AE27" s="876"/>
      <c r="AF27" s="876"/>
      <c r="AG27" s="876"/>
      <c r="AH27" s="876"/>
      <c r="AI27" s="876"/>
      <c r="AJ27" s="876"/>
      <c r="AK27" s="876"/>
      <c r="AL27" s="876"/>
    </row>
    <row r="28" spans="1:38" ht="15" customHeight="1">
      <c r="A28" s="876"/>
      <c r="B28" s="2175" t="s">
        <v>1026</v>
      </c>
      <c r="C28" s="2175"/>
      <c r="D28" s="2175"/>
      <c r="E28" s="2175"/>
      <c r="F28" s="2175"/>
      <c r="G28" s="2175"/>
      <c r="H28" s="2558" t="s">
        <v>1022</v>
      </c>
      <c r="I28" s="2180">
        <f>Futterbilanzierung!O37</f>
        <v>0</v>
      </c>
      <c r="J28" s="2175"/>
      <c r="K28" s="2175"/>
      <c r="L28" s="1108">
        <f>Futterbilanzierung!O38</f>
        <v>0</v>
      </c>
      <c r="M28" s="2175"/>
      <c r="N28" s="2175"/>
      <c r="O28" s="2181">
        <f>(L7*Grünland!DA7)+(Planung!L8*Grünland!DA8)+(Planung!L15*Grünland!DA16)</f>
        <v>0</v>
      </c>
      <c r="P28" s="2558" t="s">
        <v>1024</v>
      </c>
      <c r="Q28" s="2175"/>
      <c r="R28" s="2175"/>
      <c r="S28" s="2176"/>
      <c r="T28" s="2176"/>
      <c r="U28" s="2176"/>
      <c r="V28" s="750"/>
      <c r="W28" s="750"/>
      <c r="X28" s="2178"/>
      <c r="Y28" s="2178"/>
      <c r="Z28" s="2178"/>
      <c r="AB28" s="876"/>
      <c r="AC28" s="876"/>
      <c r="AD28" s="876"/>
      <c r="AE28" s="876"/>
      <c r="AF28" s="876"/>
      <c r="AG28" s="876"/>
      <c r="AH28" s="876"/>
      <c r="AI28" s="876"/>
      <c r="AJ28" s="876"/>
      <c r="AK28" s="876"/>
      <c r="AL28" s="876"/>
    </row>
    <row r="29" spans="1:38" ht="15" customHeight="1" thickBot="1">
      <c r="A29" s="876"/>
      <c r="B29" s="2175" t="s">
        <v>1027</v>
      </c>
      <c r="C29" s="2175"/>
      <c r="D29" s="2175"/>
      <c r="E29" s="2175"/>
      <c r="F29" s="2175"/>
      <c r="G29" s="2175"/>
      <c r="H29" s="2559"/>
      <c r="I29" s="2180">
        <f>Futterbilanzierung!P37</f>
        <v>0</v>
      </c>
      <c r="J29" s="2175"/>
      <c r="K29" s="2175"/>
      <c r="L29" s="1109">
        <f>Futterbilanzierung!P38</f>
        <v>0</v>
      </c>
      <c r="M29" s="2175"/>
      <c r="N29" s="2175"/>
      <c r="O29" s="2181">
        <f>(L9*Grünland!DA10)+(Planung!L10*Grünland!DA11)+(Planung!L11*Grünland!DA12)+(Planung!L12*Grünland!DA13)+(Planung!L13*Grünland!DA14)+(Planung!L14*Grünland!DA15)</f>
        <v>0</v>
      </c>
      <c r="P29" s="2559"/>
      <c r="Q29" s="2176"/>
      <c r="R29" s="2175"/>
      <c r="S29" s="2176"/>
      <c r="T29" s="2176"/>
      <c r="U29" s="2176"/>
      <c r="V29" s="750"/>
      <c r="W29" s="750"/>
      <c r="X29" s="2178"/>
      <c r="Y29" s="2178"/>
      <c r="Z29" s="2178"/>
      <c r="AB29" s="876"/>
      <c r="AC29" s="876"/>
      <c r="AD29" s="876"/>
      <c r="AE29" s="876"/>
      <c r="AF29" s="876"/>
      <c r="AG29" s="876"/>
      <c r="AH29" s="876"/>
      <c r="AI29" s="876"/>
      <c r="AJ29" s="876"/>
      <c r="AK29" s="876"/>
      <c r="AL29" s="876"/>
    </row>
    <row r="30" spans="1:38" ht="15.75" thickBot="1">
      <c r="A30" s="876"/>
      <c r="B30" s="2175"/>
      <c r="C30" s="2175"/>
      <c r="D30" s="2175"/>
      <c r="E30" s="2175"/>
      <c r="F30" s="2176"/>
      <c r="G30" s="2175"/>
      <c r="H30" s="2175"/>
      <c r="I30" s="2182">
        <f>I28+I29</f>
        <v>0</v>
      </c>
      <c r="J30" s="2183"/>
      <c r="K30" s="2183"/>
      <c r="L30" s="1110">
        <f>L28+L29</f>
        <v>0</v>
      </c>
      <c r="M30" s="2183"/>
      <c r="N30" s="2183"/>
      <c r="O30" s="2184">
        <f>O28+O29</f>
        <v>0</v>
      </c>
      <c r="P30" s="2175"/>
      <c r="Q30" s="2176"/>
      <c r="R30" s="2175"/>
      <c r="S30" s="2176"/>
      <c r="T30" s="2176"/>
      <c r="U30" s="2176"/>
      <c r="V30" s="750"/>
      <c r="W30" s="750"/>
      <c r="X30" s="2178"/>
      <c r="Y30" s="2178"/>
      <c r="Z30" s="2178"/>
      <c r="AB30" s="876"/>
      <c r="AC30" s="876"/>
      <c r="AD30" s="876"/>
      <c r="AE30" s="876"/>
      <c r="AF30" s="876"/>
      <c r="AG30" s="876"/>
      <c r="AH30" s="876"/>
      <c r="AI30" s="876"/>
      <c r="AJ30" s="876"/>
      <c r="AK30" s="876"/>
      <c r="AL30" s="876"/>
    </row>
    <row r="31" spans="1:38">
      <c r="A31" s="876"/>
      <c r="B31" s="2175"/>
      <c r="C31" s="2175"/>
      <c r="D31" s="2175"/>
      <c r="E31" s="2175"/>
      <c r="F31" s="2175"/>
      <c r="G31" s="2175"/>
      <c r="H31" s="2175"/>
      <c r="I31" s="2175"/>
      <c r="J31" s="2175"/>
      <c r="K31" s="2175"/>
      <c r="L31" s="2175"/>
      <c r="M31" s="2175"/>
      <c r="N31" s="2175"/>
      <c r="O31" s="2175"/>
      <c r="P31" s="2175"/>
      <c r="Q31" s="2175"/>
      <c r="R31" s="2175"/>
      <c r="S31" s="2176"/>
      <c r="T31" s="2176"/>
      <c r="U31" s="2176"/>
      <c r="V31" s="750"/>
      <c r="W31" s="750"/>
      <c r="X31" s="2178"/>
      <c r="Y31" s="2178"/>
      <c r="Z31" s="2178"/>
      <c r="AB31" s="876"/>
      <c r="AC31" s="876"/>
      <c r="AD31" s="876"/>
      <c r="AE31" s="876"/>
      <c r="AF31" s="876"/>
      <c r="AG31" s="876"/>
      <c r="AH31" s="876"/>
      <c r="AI31" s="876"/>
      <c r="AJ31" s="876"/>
      <c r="AK31" s="876"/>
      <c r="AL31" s="876"/>
    </row>
    <row r="32" spans="1:38">
      <c r="A32" s="876"/>
      <c r="B32" s="876"/>
      <c r="C32" s="876"/>
      <c r="D32" s="876"/>
      <c r="E32" s="876"/>
      <c r="F32" s="876"/>
      <c r="G32" s="876"/>
      <c r="H32" s="876"/>
      <c r="I32" s="876"/>
      <c r="J32" s="876"/>
      <c r="K32" s="876"/>
      <c r="L32" s="876"/>
      <c r="M32" s="876"/>
      <c r="N32" s="876"/>
      <c r="O32" s="876"/>
      <c r="P32" s="876"/>
      <c r="Q32" s="876"/>
      <c r="R32" s="876"/>
      <c r="S32" s="2135"/>
      <c r="T32" s="2135"/>
      <c r="U32" s="2135"/>
      <c r="AB32" s="876"/>
      <c r="AC32" s="876"/>
      <c r="AD32" s="876"/>
      <c r="AE32" s="876"/>
      <c r="AF32" s="876"/>
      <c r="AG32" s="876"/>
      <c r="AH32" s="876"/>
      <c r="AI32" s="876"/>
      <c r="AJ32" s="876"/>
      <c r="AK32" s="876"/>
      <c r="AL32" s="876"/>
    </row>
    <row r="33" spans="1:38">
      <c r="A33" s="876"/>
      <c r="B33" s="876"/>
      <c r="C33" s="876"/>
      <c r="D33" s="876"/>
      <c r="E33" s="876"/>
      <c r="F33" s="876"/>
      <c r="G33" s="876"/>
      <c r="H33" s="876"/>
      <c r="I33" s="876"/>
      <c r="J33" s="876"/>
      <c r="K33" s="876"/>
      <c r="L33" s="876"/>
      <c r="M33" s="876"/>
      <c r="N33" s="876"/>
      <c r="O33" s="876"/>
      <c r="P33" s="876"/>
      <c r="Q33" s="876"/>
      <c r="R33" s="876"/>
      <c r="S33" s="2135"/>
      <c r="T33" s="2135"/>
      <c r="U33" s="2135"/>
      <c r="AB33" s="876"/>
      <c r="AC33" s="876"/>
      <c r="AD33" s="876"/>
      <c r="AE33" s="876"/>
      <c r="AF33" s="876"/>
      <c r="AG33" s="876"/>
      <c r="AH33" s="876"/>
      <c r="AI33" s="876"/>
      <c r="AJ33" s="876"/>
      <c r="AK33" s="876"/>
      <c r="AL33" s="876"/>
    </row>
    <row r="34" spans="1:38">
      <c r="A34" s="876"/>
      <c r="B34" s="876"/>
      <c r="C34" s="876"/>
      <c r="D34" s="876"/>
      <c r="E34" s="876"/>
      <c r="F34" s="876"/>
      <c r="G34" s="876"/>
      <c r="H34" s="876"/>
      <c r="I34" s="876"/>
      <c r="J34" s="876"/>
      <c r="K34" s="876"/>
      <c r="L34" s="876"/>
      <c r="M34" s="876"/>
      <c r="N34" s="876"/>
      <c r="O34" s="876"/>
      <c r="P34" s="876"/>
      <c r="Q34" s="876"/>
      <c r="R34" s="876"/>
      <c r="S34" s="2135"/>
      <c r="T34" s="2135"/>
      <c r="U34" s="2135"/>
      <c r="AB34" s="876"/>
      <c r="AC34" s="876"/>
      <c r="AD34" s="876"/>
      <c r="AE34" s="876"/>
      <c r="AF34" s="876"/>
      <c r="AG34" s="876"/>
      <c r="AH34" s="876"/>
      <c r="AI34" s="876"/>
      <c r="AJ34" s="876"/>
      <c r="AK34" s="876"/>
      <c r="AL34" s="876"/>
    </row>
    <row r="35" spans="1:38">
      <c r="A35" s="876"/>
      <c r="B35" s="876"/>
      <c r="C35" s="876"/>
      <c r="D35" s="876"/>
      <c r="E35" s="876"/>
      <c r="F35" s="876"/>
      <c r="G35" s="876"/>
      <c r="H35" s="876"/>
      <c r="I35" s="876"/>
      <c r="J35" s="876"/>
      <c r="K35" s="876"/>
      <c r="L35" s="876"/>
      <c r="M35" s="876"/>
      <c r="N35" s="876"/>
      <c r="O35" s="876"/>
      <c r="P35" s="876"/>
      <c r="Q35" s="876"/>
      <c r="R35" s="876"/>
      <c r="S35" s="2135"/>
      <c r="T35" s="2135"/>
      <c r="U35" s="2135"/>
      <c r="AB35" s="876"/>
      <c r="AC35" s="876"/>
      <c r="AD35" s="876"/>
      <c r="AE35" s="876"/>
      <c r="AF35" s="876"/>
      <c r="AG35" s="876"/>
      <c r="AH35" s="876"/>
      <c r="AI35" s="876"/>
      <c r="AJ35" s="876"/>
      <c r="AK35" s="876"/>
      <c r="AL35" s="876"/>
    </row>
    <row r="36" spans="1:38">
      <c r="A36" s="876"/>
      <c r="B36" s="876"/>
      <c r="C36" s="876"/>
      <c r="D36" s="876"/>
      <c r="E36" s="876"/>
      <c r="F36" s="876"/>
      <c r="G36" s="876"/>
      <c r="H36" s="876"/>
      <c r="I36" s="876"/>
      <c r="J36" s="876"/>
      <c r="K36" s="876"/>
      <c r="L36" s="876"/>
      <c r="M36" s="876"/>
      <c r="N36" s="876"/>
      <c r="O36" s="876"/>
      <c r="P36" s="876"/>
      <c r="Q36" s="876"/>
      <c r="R36" s="876"/>
      <c r="S36" s="2135"/>
      <c r="T36" s="2135"/>
      <c r="U36" s="2135"/>
      <c r="AB36" s="876"/>
      <c r="AC36" s="876"/>
      <c r="AD36" s="876"/>
      <c r="AE36" s="876"/>
      <c r="AF36" s="876"/>
      <c r="AG36" s="876"/>
      <c r="AH36" s="876"/>
      <c r="AI36" s="876"/>
      <c r="AJ36" s="876"/>
      <c r="AK36" s="876"/>
      <c r="AL36" s="876"/>
    </row>
    <row r="37" spans="1:38">
      <c r="A37" s="876"/>
      <c r="B37" s="876"/>
      <c r="C37" s="876"/>
      <c r="D37" s="876"/>
      <c r="E37" s="876"/>
      <c r="F37" s="876"/>
      <c r="G37" s="876"/>
      <c r="H37" s="876"/>
      <c r="I37" s="876"/>
      <c r="J37" s="876"/>
      <c r="K37" s="876"/>
      <c r="L37" s="876"/>
      <c r="M37" s="876"/>
      <c r="N37" s="876"/>
      <c r="O37" s="876"/>
      <c r="P37" s="876"/>
      <c r="Q37" s="876"/>
      <c r="R37" s="876"/>
      <c r="S37" s="2135"/>
      <c r="T37" s="2135"/>
      <c r="U37" s="2135"/>
      <c r="AB37" s="876"/>
      <c r="AC37" s="876"/>
      <c r="AD37" s="876"/>
      <c r="AE37" s="876"/>
      <c r="AF37" s="876"/>
      <c r="AG37" s="876"/>
      <c r="AH37" s="876"/>
      <c r="AI37" s="876"/>
      <c r="AJ37" s="876"/>
      <c r="AK37" s="876"/>
      <c r="AL37" s="876"/>
    </row>
    <row r="38" spans="1:38">
      <c r="A38" s="876"/>
      <c r="B38" s="876"/>
      <c r="C38" s="876"/>
      <c r="D38" s="876"/>
      <c r="E38" s="876"/>
      <c r="F38" s="876"/>
      <c r="G38" s="876"/>
      <c r="H38" s="876"/>
      <c r="I38" s="876"/>
      <c r="J38" s="876"/>
      <c r="K38" s="876"/>
      <c r="L38" s="876"/>
      <c r="M38" s="876"/>
      <c r="N38" s="876"/>
      <c r="O38" s="876"/>
      <c r="P38" s="876"/>
      <c r="Q38" s="876"/>
      <c r="R38" s="876"/>
      <c r="S38" s="2135"/>
      <c r="T38" s="2135"/>
      <c r="U38" s="2135"/>
      <c r="AB38" s="876"/>
      <c r="AC38" s="876"/>
      <c r="AD38" s="876"/>
      <c r="AE38" s="876"/>
      <c r="AF38" s="876"/>
      <c r="AG38" s="876"/>
      <c r="AH38" s="876"/>
      <c r="AI38" s="876"/>
      <c r="AJ38" s="876"/>
      <c r="AK38" s="876"/>
      <c r="AL38" s="876"/>
    </row>
    <row r="39" spans="1:38">
      <c r="A39" s="876"/>
      <c r="B39" s="876"/>
      <c r="C39" s="876"/>
      <c r="D39" s="876"/>
      <c r="E39" s="876"/>
      <c r="F39" s="876"/>
      <c r="G39" s="876"/>
      <c r="H39" s="876"/>
      <c r="I39" s="876"/>
      <c r="J39" s="876"/>
      <c r="K39" s="876"/>
      <c r="L39" s="876"/>
      <c r="M39" s="876"/>
      <c r="N39" s="876"/>
      <c r="O39" s="876"/>
      <c r="P39" s="876"/>
      <c r="Q39" s="876"/>
      <c r="R39" s="876"/>
      <c r="S39" s="2135"/>
      <c r="T39" s="2135"/>
      <c r="U39" s="2135"/>
      <c r="AB39" s="876"/>
      <c r="AC39" s="876"/>
      <c r="AD39" s="876"/>
      <c r="AE39" s="876"/>
      <c r="AF39" s="876"/>
      <c r="AG39" s="876"/>
      <c r="AH39" s="876"/>
      <c r="AI39" s="876"/>
      <c r="AJ39" s="876"/>
      <c r="AK39" s="876"/>
      <c r="AL39" s="876"/>
    </row>
    <row r="40" spans="1:38">
      <c r="A40" s="876"/>
      <c r="B40" s="876"/>
      <c r="C40" s="876"/>
      <c r="D40" s="876"/>
      <c r="E40" s="876"/>
      <c r="F40" s="876"/>
      <c r="G40" s="876"/>
      <c r="H40" s="876"/>
      <c r="I40" s="876"/>
      <c r="J40" s="876"/>
      <c r="K40" s="876"/>
      <c r="L40" s="876"/>
      <c r="M40" s="876"/>
      <c r="N40" s="876"/>
      <c r="O40" s="876"/>
      <c r="P40" s="876"/>
      <c r="Q40" s="876"/>
      <c r="R40" s="876"/>
      <c r="S40" s="2135"/>
      <c r="T40" s="2135"/>
      <c r="U40" s="2135"/>
      <c r="AB40" s="876"/>
      <c r="AC40" s="876"/>
      <c r="AD40" s="876"/>
      <c r="AE40" s="876"/>
      <c r="AF40" s="876"/>
      <c r="AG40" s="876"/>
      <c r="AH40" s="876"/>
      <c r="AI40" s="876"/>
      <c r="AJ40" s="876"/>
      <c r="AK40" s="876"/>
      <c r="AL40" s="876"/>
    </row>
    <row r="41" spans="1:38">
      <c r="A41" s="876"/>
      <c r="B41" s="876"/>
      <c r="C41" s="876"/>
      <c r="D41" s="876"/>
      <c r="E41" s="876"/>
      <c r="F41" s="876"/>
      <c r="G41" s="876"/>
      <c r="H41" s="876"/>
      <c r="I41" s="876"/>
      <c r="J41" s="876"/>
      <c r="K41" s="876"/>
      <c r="L41" s="876"/>
      <c r="M41" s="876"/>
      <c r="N41" s="876"/>
      <c r="O41" s="876"/>
      <c r="P41" s="876"/>
      <c r="Q41" s="876"/>
      <c r="R41" s="876"/>
      <c r="S41" s="2135"/>
      <c r="T41" s="2135"/>
      <c r="U41" s="2135"/>
      <c r="AB41" s="876"/>
      <c r="AC41" s="876"/>
      <c r="AD41" s="876"/>
      <c r="AE41" s="876"/>
      <c r="AF41" s="876"/>
      <c r="AG41" s="876"/>
      <c r="AH41" s="876"/>
      <c r="AI41" s="876"/>
      <c r="AJ41" s="876"/>
      <c r="AK41" s="876"/>
      <c r="AL41" s="876"/>
    </row>
    <row r="42" spans="1:38">
      <c r="A42" s="876"/>
      <c r="B42" s="876"/>
      <c r="C42" s="876"/>
      <c r="D42" s="876"/>
      <c r="E42" s="876"/>
      <c r="F42" s="876"/>
      <c r="G42" s="876"/>
      <c r="H42" s="876"/>
      <c r="I42" s="876"/>
      <c r="J42" s="876"/>
      <c r="K42" s="876"/>
      <c r="L42" s="876"/>
      <c r="M42" s="876"/>
      <c r="N42" s="876"/>
      <c r="O42" s="876"/>
      <c r="P42" s="876"/>
      <c r="Q42" s="876"/>
      <c r="R42" s="876"/>
      <c r="S42" s="2135"/>
      <c r="T42" s="2135"/>
      <c r="U42" s="2135"/>
      <c r="AB42" s="876"/>
      <c r="AC42" s="876"/>
      <c r="AD42" s="876"/>
      <c r="AE42" s="876"/>
      <c r="AF42" s="876"/>
      <c r="AG42" s="876"/>
      <c r="AH42" s="876"/>
      <c r="AI42" s="876"/>
      <c r="AJ42" s="876"/>
      <c r="AK42" s="876"/>
      <c r="AL42" s="876"/>
    </row>
    <row r="43" spans="1:38">
      <c r="A43" s="876"/>
      <c r="B43" s="876"/>
      <c r="C43" s="876"/>
      <c r="D43" s="876"/>
      <c r="E43" s="876"/>
      <c r="F43" s="876"/>
      <c r="G43" s="876"/>
      <c r="H43" s="876"/>
      <c r="I43" s="876"/>
      <c r="J43" s="876"/>
      <c r="K43" s="876"/>
      <c r="L43" s="876"/>
      <c r="M43" s="876"/>
      <c r="N43" s="876"/>
      <c r="O43" s="876"/>
      <c r="P43" s="876"/>
      <c r="Q43" s="876"/>
      <c r="R43" s="876"/>
      <c r="S43" s="2135"/>
      <c r="T43" s="2135"/>
      <c r="U43" s="2135"/>
      <c r="AB43" s="876"/>
      <c r="AC43" s="876"/>
      <c r="AD43" s="876"/>
      <c r="AE43" s="876"/>
      <c r="AF43" s="876"/>
      <c r="AG43" s="876"/>
      <c r="AH43" s="876"/>
      <c r="AI43" s="876"/>
      <c r="AJ43" s="876"/>
      <c r="AK43" s="876"/>
      <c r="AL43" s="876"/>
    </row>
    <row r="44" spans="1:38">
      <c r="A44" s="876"/>
      <c r="B44" s="876"/>
      <c r="C44" s="876"/>
      <c r="D44" s="876"/>
      <c r="E44" s="876"/>
      <c r="F44" s="876"/>
      <c r="G44" s="876"/>
      <c r="H44" s="876"/>
      <c r="I44" s="876"/>
      <c r="J44" s="876"/>
      <c r="K44" s="876"/>
      <c r="L44" s="876"/>
      <c r="M44" s="876"/>
      <c r="N44" s="876"/>
      <c r="O44" s="876"/>
      <c r="P44" s="876"/>
      <c r="Q44" s="876"/>
      <c r="R44" s="876"/>
      <c r="S44" s="2135"/>
      <c r="T44" s="2135"/>
      <c r="U44" s="2135"/>
      <c r="AB44" s="876"/>
      <c r="AC44" s="876"/>
      <c r="AD44" s="876"/>
      <c r="AE44" s="876"/>
      <c r="AF44" s="876"/>
      <c r="AG44" s="876"/>
      <c r="AH44" s="876"/>
      <c r="AI44" s="876"/>
      <c r="AJ44" s="876"/>
      <c r="AK44" s="876"/>
      <c r="AL44" s="876"/>
    </row>
    <row r="45" spans="1:38">
      <c r="A45" s="876"/>
      <c r="B45" s="876"/>
      <c r="C45" s="876"/>
      <c r="D45" s="876"/>
      <c r="E45" s="876"/>
      <c r="F45" s="876"/>
      <c r="G45" s="876"/>
      <c r="H45" s="876"/>
      <c r="I45" s="876"/>
      <c r="J45" s="876"/>
      <c r="K45" s="876"/>
      <c r="L45" s="876"/>
      <c r="M45" s="876"/>
      <c r="N45" s="876"/>
      <c r="O45" s="876"/>
      <c r="P45" s="876"/>
      <c r="Q45" s="876"/>
      <c r="R45" s="876"/>
      <c r="S45" s="2135"/>
      <c r="T45" s="2135"/>
      <c r="U45" s="2135"/>
      <c r="AB45" s="876"/>
      <c r="AC45" s="876"/>
      <c r="AD45" s="876"/>
      <c r="AE45" s="876"/>
      <c r="AF45" s="876"/>
      <c r="AG45" s="876"/>
      <c r="AH45" s="876"/>
      <c r="AI45" s="876"/>
      <c r="AJ45" s="876"/>
      <c r="AK45" s="876"/>
      <c r="AL45" s="876"/>
    </row>
    <row r="46" spans="1:38">
      <c r="A46" s="876"/>
      <c r="B46" s="876"/>
      <c r="C46" s="876"/>
      <c r="D46" s="876"/>
      <c r="E46" s="876"/>
      <c r="F46" s="876"/>
      <c r="G46" s="876"/>
      <c r="H46" s="876"/>
      <c r="I46" s="876"/>
      <c r="J46" s="876"/>
      <c r="K46" s="876"/>
      <c r="L46" s="876"/>
      <c r="M46" s="876"/>
      <c r="N46" s="876"/>
      <c r="O46" s="876"/>
      <c r="P46" s="876"/>
      <c r="Q46" s="876"/>
      <c r="R46" s="876"/>
      <c r="S46" s="2135"/>
      <c r="T46" s="2135"/>
      <c r="U46" s="2135"/>
      <c r="AB46" s="876"/>
      <c r="AC46" s="876"/>
      <c r="AD46" s="876"/>
      <c r="AE46" s="876"/>
      <c r="AF46" s="876"/>
      <c r="AG46" s="876"/>
      <c r="AH46" s="876"/>
      <c r="AI46" s="876"/>
      <c r="AJ46" s="876"/>
      <c r="AK46" s="876"/>
      <c r="AL46" s="876"/>
    </row>
    <row r="47" spans="1:38">
      <c r="A47" s="876"/>
      <c r="B47" s="876"/>
      <c r="C47" s="876"/>
      <c r="D47" s="876"/>
      <c r="E47" s="876"/>
      <c r="F47" s="876"/>
      <c r="G47" s="876"/>
      <c r="H47" s="876"/>
      <c r="I47" s="876"/>
      <c r="J47" s="876"/>
      <c r="K47" s="876"/>
      <c r="L47" s="876"/>
      <c r="M47" s="876"/>
      <c r="N47" s="876"/>
      <c r="O47" s="876"/>
      <c r="P47" s="876"/>
      <c r="Q47" s="876"/>
      <c r="R47" s="876"/>
      <c r="S47" s="2135"/>
      <c r="T47" s="2135"/>
      <c r="U47" s="2135"/>
      <c r="AB47" s="876"/>
      <c r="AC47" s="876"/>
      <c r="AD47" s="876"/>
      <c r="AE47" s="876"/>
      <c r="AF47" s="876"/>
      <c r="AG47" s="876"/>
      <c r="AH47" s="876"/>
      <c r="AI47" s="876"/>
      <c r="AJ47" s="876"/>
      <c r="AK47" s="876"/>
      <c r="AL47" s="876"/>
    </row>
    <row r="48" spans="1:38">
      <c r="A48" s="876"/>
      <c r="B48" s="876"/>
      <c r="C48" s="876"/>
      <c r="D48" s="876"/>
      <c r="E48" s="876"/>
      <c r="F48" s="876"/>
      <c r="G48" s="876"/>
      <c r="H48" s="876"/>
      <c r="I48" s="876"/>
      <c r="J48" s="876"/>
      <c r="K48" s="876"/>
      <c r="L48" s="876"/>
      <c r="M48" s="876"/>
      <c r="N48" s="876"/>
      <c r="O48" s="876"/>
      <c r="P48" s="876"/>
      <c r="Q48" s="876"/>
      <c r="R48" s="876"/>
      <c r="S48" s="2135"/>
      <c r="T48" s="2135"/>
      <c r="U48" s="2135"/>
      <c r="AB48" s="876"/>
      <c r="AC48" s="876"/>
      <c r="AD48" s="876"/>
      <c r="AE48" s="876"/>
      <c r="AF48" s="876"/>
      <c r="AG48" s="876"/>
      <c r="AH48" s="876"/>
      <c r="AI48" s="876"/>
      <c r="AJ48" s="876"/>
      <c r="AK48" s="876"/>
      <c r="AL48" s="876"/>
    </row>
    <row r="49" spans="1:38">
      <c r="A49" s="876"/>
      <c r="B49" s="876"/>
      <c r="C49" s="876"/>
      <c r="D49" s="876"/>
      <c r="E49" s="876"/>
      <c r="F49" s="876"/>
      <c r="G49" s="876"/>
      <c r="H49" s="876"/>
      <c r="I49" s="876"/>
      <c r="J49" s="876"/>
      <c r="K49" s="876"/>
      <c r="L49" s="876"/>
      <c r="M49" s="876"/>
      <c r="N49" s="876"/>
      <c r="O49" s="876"/>
      <c r="P49" s="876"/>
      <c r="Q49" s="876"/>
      <c r="R49" s="876"/>
      <c r="S49" s="2135"/>
      <c r="T49" s="2135"/>
      <c r="U49" s="2135"/>
      <c r="AB49" s="876"/>
      <c r="AC49" s="876"/>
      <c r="AD49" s="876"/>
      <c r="AE49" s="876"/>
      <c r="AF49" s="876"/>
      <c r="AG49" s="876"/>
      <c r="AH49" s="876"/>
      <c r="AI49" s="876"/>
      <c r="AJ49" s="876"/>
      <c r="AK49" s="876"/>
      <c r="AL49" s="876"/>
    </row>
    <row r="50" spans="1:38">
      <c r="A50" s="876"/>
      <c r="B50" s="876"/>
      <c r="C50" s="876"/>
      <c r="D50" s="876"/>
      <c r="E50" s="876"/>
      <c r="F50" s="876"/>
      <c r="G50" s="876"/>
      <c r="H50" s="876"/>
      <c r="I50" s="876"/>
      <c r="J50" s="876"/>
      <c r="K50" s="876"/>
      <c r="L50" s="876"/>
      <c r="M50" s="876"/>
      <c r="N50" s="876"/>
      <c r="O50" s="876"/>
      <c r="P50" s="876"/>
      <c r="Q50" s="876"/>
      <c r="R50" s="876"/>
      <c r="S50" s="2135"/>
      <c r="T50" s="2135"/>
      <c r="U50" s="2135"/>
      <c r="AB50" s="876"/>
      <c r="AC50" s="876"/>
      <c r="AD50" s="876"/>
      <c r="AE50" s="876"/>
      <c r="AF50" s="876"/>
      <c r="AG50" s="876"/>
      <c r="AH50" s="876"/>
      <c r="AI50" s="876"/>
      <c r="AJ50" s="876"/>
      <c r="AK50" s="876"/>
      <c r="AL50" s="876"/>
    </row>
    <row r="51" spans="1:38">
      <c r="A51" s="876"/>
      <c r="B51" s="876"/>
      <c r="C51" s="876"/>
      <c r="D51" s="876"/>
      <c r="E51" s="876"/>
      <c r="F51" s="876"/>
      <c r="G51" s="876"/>
      <c r="H51" s="876"/>
      <c r="I51" s="876"/>
      <c r="J51" s="876"/>
      <c r="K51" s="876"/>
      <c r="L51" s="876"/>
      <c r="M51" s="876"/>
      <c r="N51" s="876"/>
      <c r="O51" s="876"/>
      <c r="P51" s="876"/>
      <c r="Q51" s="876"/>
      <c r="R51" s="876"/>
      <c r="S51" s="2135"/>
      <c r="T51" s="2135"/>
      <c r="U51" s="2135"/>
      <c r="AB51" s="876"/>
      <c r="AC51" s="876"/>
      <c r="AD51" s="876"/>
      <c r="AE51" s="876"/>
      <c r="AF51" s="876"/>
      <c r="AG51" s="876"/>
      <c r="AH51" s="876"/>
      <c r="AI51" s="876"/>
      <c r="AJ51" s="876"/>
      <c r="AK51" s="876"/>
      <c r="AL51" s="876"/>
    </row>
    <row r="52" spans="1:38">
      <c r="A52" s="876"/>
      <c r="B52" s="876"/>
      <c r="C52" s="876"/>
      <c r="D52" s="876"/>
      <c r="E52" s="876"/>
      <c r="F52" s="876"/>
      <c r="G52" s="876"/>
      <c r="H52" s="876"/>
      <c r="I52" s="876"/>
      <c r="J52" s="876"/>
      <c r="K52" s="876"/>
      <c r="L52" s="876"/>
      <c r="M52" s="876"/>
      <c r="N52" s="876"/>
      <c r="O52" s="876"/>
      <c r="P52" s="876"/>
      <c r="Q52" s="876"/>
      <c r="R52" s="876"/>
      <c r="S52" s="2135"/>
      <c r="T52" s="2135"/>
      <c r="U52" s="2135"/>
      <c r="AB52" s="876"/>
      <c r="AC52" s="876"/>
      <c r="AD52" s="876"/>
      <c r="AE52" s="876"/>
      <c r="AF52" s="876"/>
      <c r="AG52" s="876"/>
      <c r="AH52" s="876"/>
      <c r="AI52" s="876"/>
      <c r="AJ52" s="876"/>
      <c r="AK52" s="876"/>
      <c r="AL52" s="876"/>
    </row>
  </sheetData>
  <sheetProtection algorithmName="SHA-512" hashValue="MiGJi0PoeBlczH+3hV8IZXBAnpYtnOYQ4llhqgRuPCX8voWs+74rBSmxkaOVK0m07MeHaPAOEaY4db6ewWaA2A==" saltValue="nDqvsoOjF4cwze/48rsI+A==" spinCount="100000" sheet="1" objects="1" scenarios="1"/>
  <mergeCells count="21">
    <mergeCell ref="Y20:Z20"/>
    <mergeCell ref="Z21:AA21"/>
    <mergeCell ref="P28:P29"/>
    <mergeCell ref="H20:H22"/>
    <mergeCell ref="I20:I22"/>
    <mergeCell ref="L20:L22"/>
    <mergeCell ref="O20:O22"/>
    <mergeCell ref="P20:P22"/>
    <mergeCell ref="H28:H29"/>
    <mergeCell ref="M1:N1"/>
    <mergeCell ref="E5:E6"/>
    <mergeCell ref="F5:F6"/>
    <mergeCell ref="G5:G6"/>
    <mergeCell ref="B1:L1"/>
    <mergeCell ref="L4:L5"/>
    <mergeCell ref="H5:H6"/>
    <mergeCell ref="I5:J6"/>
    <mergeCell ref="B3:J3"/>
    <mergeCell ref="I4:J4"/>
    <mergeCell ref="C5:C6"/>
    <mergeCell ref="D5:D6"/>
  </mergeCells>
  <hyperlinks>
    <hyperlink ref="P1" location="S_1!A3" display="  ►"/>
    <hyperlink ref="O1" location="Grünland!F13" display="◄"/>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8" id="{2FC6AA34-D4DA-40C7-AD70-74D837BDBCB0}">
            <x14:iconSet showValue="0" custom="1">
              <x14:cfvo type="percent">
                <xm:f>0</xm:f>
              </x14:cfvo>
              <x14:cfvo type="num">
                <xm:f>-20</xm:f>
              </x14:cfvo>
              <x14:cfvo type="num">
                <xm:f>20</xm:f>
              </x14:cfvo>
              <x14:cfIcon iconSet="3TrafficLights1" iconId="0"/>
              <x14:cfIcon iconSet="3TrafficLights1" iconId="2"/>
              <x14:cfIcon iconSet="3TrafficLights1" iconId="1"/>
            </x14:iconSet>
          </x14:cfRule>
          <xm:sqref>J7:J15</xm:sqref>
        </x14:conditionalFormatting>
        <x14:conditionalFormatting xmlns:xm="http://schemas.microsoft.com/office/excel/2006/main">
          <x14:cfRule type="iconSet" priority="6" id="{B5CE4CC4-9AFE-4C9A-8713-54D631DFC49F}">
            <x14:iconSet custom="1">
              <x14:cfvo type="percent">
                <xm:f>0</xm:f>
              </x14:cfvo>
              <x14:cfvo type="num">
                <xm:f>-21</xm:f>
              </x14:cfvo>
              <x14:cfvo type="num">
                <xm:f>21</xm:f>
              </x14:cfvo>
              <x14:cfIcon iconSet="3TrafficLights1" iconId="0"/>
              <x14:cfIcon iconSet="3TrafficLights1" iconId="2"/>
              <x14:cfIcon iconSet="3TrafficLights1" iconId="1"/>
            </x14:iconSet>
          </x14:cfRule>
          <x14:cfRule type="iconSet" priority="7" id="{538C7D22-CCDF-4105-9D73-593E372B1F15}">
            <x14:iconSet custom="1">
              <x14:cfvo type="percent">
                <xm:f>0</xm:f>
              </x14:cfvo>
              <x14:cfvo type="num">
                <xm:f>-15</xm:f>
              </x14:cfvo>
              <x14:cfvo type="num">
                <xm:f>21</xm:f>
              </x14:cfvo>
              <x14:cfIcon iconSet="3TrafficLights1" iconId="0"/>
              <x14:cfIcon iconSet="3TrafficLights1" iconId="2"/>
              <x14:cfIcon iconSet="3TrafficLights1" iconId="1"/>
            </x14:iconSet>
          </x14:cfRule>
          <xm:sqref>J27</xm:sqref>
        </x14:conditionalFormatting>
        <x14:conditionalFormatting xmlns:xm="http://schemas.microsoft.com/office/excel/2006/main">
          <x14:cfRule type="iconSet" priority="2" id="{A6D5CAA2-1350-4FB9-A1B2-6927821A0B06}">
            <x14:iconSet showValue="0" custom="1">
              <x14:cfvo type="percent">
                <xm:f>0</xm:f>
              </x14:cfvo>
              <x14:cfvo type="num">
                <xm:f>-20</xm:f>
              </x14:cfvo>
              <x14:cfvo type="num">
                <xm:f>20</xm:f>
              </x14:cfvo>
              <x14:cfIcon iconSet="3TrafficLights1" iconId="0"/>
              <x14:cfIcon iconSet="3TrafficLights1" iconId="2"/>
              <x14:cfIcon iconSet="3TrafficLights1" iconId="1"/>
            </x14:iconSet>
          </x14:cfRule>
          <xm:sqref>J21</xm:sqref>
        </x14:conditionalFormatting>
        <x14:conditionalFormatting xmlns:xm="http://schemas.microsoft.com/office/excel/2006/main">
          <x14:cfRule type="iconSet" priority="1" id="{635B8083-B78A-493D-A87B-5ADF352E6C4E}">
            <x14:iconSet showValue="0" custom="1">
              <x14:cfvo type="percent">
                <xm:f>0</xm:f>
              </x14:cfvo>
              <x14:cfvo type="num">
                <xm:f>-20</xm:f>
              </x14:cfvo>
              <x14:cfvo type="num">
                <xm:f>20</xm:f>
              </x14:cfvo>
              <x14:cfIcon iconSet="3TrafficLights1" iconId="0"/>
              <x14:cfIcon iconSet="3TrafficLights1" iconId="2"/>
              <x14:cfIcon iconSet="3TrafficLights1" iconId="1"/>
            </x14:iconSet>
          </x14:cfRule>
          <xm:sqref>N21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CF54"/>
  <sheetViews>
    <sheetView zoomScale="70" zoomScaleNormal="70" workbookViewId="0">
      <selection activeCell="W34" sqref="W34"/>
    </sheetView>
  </sheetViews>
  <sheetFormatPr baseColWidth="10" defaultColWidth="12.7109375" defaultRowHeight="14.25"/>
  <cols>
    <col min="1" max="1" width="3.28515625" style="10" customWidth="1"/>
    <col min="2" max="2" width="24.42578125" style="10" customWidth="1"/>
    <col min="3" max="3" width="9.42578125" style="10" customWidth="1"/>
    <col min="4" max="7" width="10" style="10" customWidth="1"/>
    <col min="8" max="8" width="9.5703125" customWidth="1"/>
    <col min="9" max="9" width="9.5703125" style="747" customWidth="1"/>
    <col min="10" max="21" width="8.5703125" style="760" customWidth="1"/>
    <col min="22" max="23" width="9.85546875" style="760" customWidth="1"/>
    <col min="24" max="27" width="6.85546875" style="760" customWidth="1"/>
    <col min="28" max="47" width="6.85546875" style="761" customWidth="1"/>
    <col min="48" max="48" width="6.85546875" customWidth="1"/>
    <col min="49" max="51" width="6.85546875" style="10" customWidth="1"/>
    <col min="52" max="52" width="5" style="10" customWidth="1"/>
    <col min="53" max="83" width="5.7109375" style="10" customWidth="1"/>
    <col min="84" max="16384" width="12.7109375" style="10"/>
  </cols>
  <sheetData>
    <row r="1" spans="1:84" ht="29.25" customHeight="1">
      <c r="A1" s="163"/>
      <c r="B1" s="268" t="s">
        <v>730</v>
      </c>
      <c r="C1" s="268"/>
      <c r="D1" s="268"/>
      <c r="E1" s="268"/>
      <c r="F1" s="268"/>
      <c r="G1" s="268"/>
      <c r="H1" s="268"/>
      <c r="I1" s="268"/>
      <c r="J1" s="268"/>
      <c r="K1" s="268"/>
      <c r="L1" s="268"/>
      <c r="M1" s="268"/>
      <c r="N1" s="268"/>
      <c r="O1" s="268"/>
      <c r="P1" s="268"/>
      <c r="Q1" s="268"/>
      <c r="R1" s="268"/>
      <c r="S1" s="268"/>
      <c r="T1" s="268"/>
      <c r="U1" s="268"/>
      <c r="V1" s="268"/>
      <c r="W1" s="268"/>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W1" s="743"/>
      <c r="AX1" s="743"/>
      <c r="AY1" s="743"/>
      <c r="AZ1" s="16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876"/>
    </row>
    <row r="2" spans="1:84" ht="24.75" customHeight="1" thickBot="1">
      <c r="A2" s="163"/>
      <c r="B2" s="163"/>
      <c r="C2" s="163"/>
      <c r="D2" s="967" t="s">
        <v>994</v>
      </c>
      <c r="E2" s="163"/>
      <c r="F2" s="163"/>
      <c r="G2" s="163"/>
      <c r="AZ2" s="163"/>
      <c r="CF2" s="876"/>
    </row>
    <row r="3" spans="1:84" ht="27.75" customHeight="1" thickBot="1">
      <c r="A3" s="163"/>
      <c r="B3" s="855" t="s">
        <v>896</v>
      </c>
      <c r="C3" s="863" t="s">
        <v>897</v>
      </c>
      <c r="D3" s="971" t="s">
        <v>993</v>
      </c>
      <c r="E3" s="972" t="s">
        <v>997</v>
      </c>
      <c r="F3" s="973" t="s">
        <v>995</v>
      </c>
      <c r="G3" s="974" t="s">
        <v>996</v>
      </c>
      <c r="H3" s="970" t="s">
        <v>895</v>
      </c>
      <c r="I3" s="853" t="s">
        <v>894</v>
      </c>
      <c r="J3" s="860" t="s">
        <v>883</v>
      </c>
      <c r="K3" s="858" t="s">
        <v>884</v>
      </c>
      <c r="L3" s="858" t="s">
        <v>885</v>
      </c>
      <c r="M3" s="858" t="s">
        <v>886</v>
      </c>
      <c r="N3" s="858" t="s">
        <v>887</v>
      </c>
      <c r="O3" s="858" t="s">
        <v>888</v>
      </c>
      <c r="P3" s="858" t="s">
        <v>889</v>
      </c>
      <c r="Q3" s="858" t="s">
        <v>890</v>
      </c>
      <c r="R3" s="858" t="s">
        <v>891</v>
      </c>
      <c r="S3" s="858" t="s">
        <v>892</v>
      </c>
      <c r="T3" s="858" t="s">
        <v>1228</v>
      </c>
      <c r="U3" s="858" t="s">
        <v>1229</v>
      </c>
      <c r="V3" s="858" t="s">
        <v>1239</v>
      </c>
      <c r="W3" s="859" t="s">
        <v>1240</v>
      </c>
      <c r="X3" s="926"/>
      <c r="Y3" s="926"/>
      <c r="Z3" s="926"/>
      <c r="AA3" s="926"/>
      <c r="AB3" s="926"/>
      <c r="AC3" s="926"/>
      <c r="AD3" s="926"/>
      <c r="AE3" s="926"/>
      <c r="AF3" s="926"/>
      <c r="AG3" s="926"/>
      <c r="AH3" s="926"/>
      <c r="AI3" s="926"/>
      <c r="AJ3" s="926"/>
      <c r="AK3" s="926"/>
      <c r="AL3" s="926"/>
      <c r="AM3" s="926"/>
      <c r="AN3" s="926"/>
      <c r="AO3" s="926"/>
      <c r="AP3" s="926"/>
      <c r="AQ3" s="926"/>
      <c r="AR3" s="926"/>
      <c r="AS3" s="926"/>
      <c r="AT3" s="926"/>
      <c r="AU3" s="926"/>
      <c r="AV3" s="926"/>
      <c r="AW3" s="926"/>
      <c r="AX3" s="926"/>
      <c r="AY3" s="926"/>
      <c r="AZ3" s="760"/>
      <c r="BA3" s="760"/>
      <c r="CF3" s="876"/>
    </row>
    <row r="4" spans="1:84" ht="19.5" customHeight="1">
      <c r="A4" s="163"/>
      <c r="B4" s="746">
        <f>'meine Dünger'!C5</f>
        <v>0</v>
      </c>
      <c r="C4" s="969">
        <f>'meine Dünger'!D5</f>
        <v>0</v>
      </c>
      <c r="D4" s="975">
        <f>H4+I4</f>
        <v>0</v>
      </c>
      <c r="E4" s="854">
        <f>I4+Summen_GL!F$141</f>
        <v>0</v>
      </c>
      <c r="F4" s="854">
        <f>$C4-D4</f>
        <v>0</v>
      </c>
      <c r="G4" s="976">
        <f>$C4-E4</f>
        <v>0</v>
      </c>
      <c r="H4" s="968">
        <f>Summen_GL!B4</f>
        <v>0</v>
      </c>
      <c r="I4" s="852">
        <f>SUM(J4:W4)</f>
        <v>0</v>
      </c>
      <c r="J4" s="851">
        <f>Summen_Acker!K39</f>
        <v>0</v>
      </c>
      <c r="K4" s="816">
        <f>Summen_Acker!K40</f>
        <v>0</v>
      </c>
      <c r="L4" s="816">
        <f>Summen_Acker!K41</f>
        <v>0</v>
      </c>
      <c r="M4" s="816">
        <f>Summen_Acker!K42</f>
        <v>0</v>
      </c>
      <c r="N4" s="816">
        <f>Summen_Acker!K43</f>
        <v>0</v>
      </c>
      <c r="O4" s="816">
        <f>Summen_Acker!K44</f>
        <v>0</v>
      </c>
      <c r="P4" s="816">
        <f>Summen_Acker!K45</f>
        <v>0</v>
      </c>
      <c r="Q4" s="816">
        <f>Summen_Acker!K46</f>
        <v>0</v>
      </c>
      <c r="R4" s="816">
        <f>Summen_Acker!K47</f>
        <v>0</v>
      </c>
      <c r="S4" s="816">
        <f>Summen_Acker!$K48</f>
        <v>0</v>
      </c>
      <c r="T4" s="816">
        <f>Summen_Acker!$K49</f>
        <v>0</v>
      </c>
      <c r="U4" s="816">
        <f>Summen_Acker!$K50</f>
        <v>0</v>
      </c>
      <c r="V4" s="816">
        <f>Summen_Acker!$K51</f>
        <v>0</v>
      </c>
      <c r="W4" s="816">
        <f>Summen_Acker!$K52</f>
        <v>0</v>
      </c>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6"/>
      <c r="AW4" s="760"/>
      <c r="AX4" s="760"/>
      <c r="AY4" s="760"/>
      <c r="AZ4" s="760"/>
      <c r="BA4" s="760"/>
      <c r="CF4" s="876"/>
    </row>
    <row r="5" spans="1:84" ht="19.5" customHeight="1">
      <c r="A5" s="163"/>
      <c r="B5" s="746">
        <f>'meine Dünger'!C6</f>
        <v>0</v>
      </c>
      <c r="C5" s="969">
        <f>'meine Dünger'!D6</f>
        <v>0</v>
      </c>
      <c r="D5" s="975">
        <f t="shared" ref="D5:D15" si="0">H5+I5</f>
        <v>0</v>
      </c>
      <c r="E5" s="854">
        <f>I5+Summen_GL!G$141</f>
        <v>0</v>
      </c>
      <c r="F5" s="854">
        <f t="shared" ref="F5:F15" si="1">$C5-D5</f>
        <v>0</v>
      </c>
      <c r="G5" s="976">
        <f t="shared" ref="G5:G15" si="2">$C5-E5</f>
        <v>0</v>
      </c>
      <c r="H5" s="968">
        <f>Summen_GL!B5</f>
        <v>0</v>
      </c>
      <c r="I5" s="852">
        <f t="shared" ref="I5:I15" si="3">SUM(J5:W5)</f>
        <v>0</v>
      </c>
      <c r="J5" s="851">
        <f>Summen_Acker!Q39</f>
        <v>0</v>
      </c>
      <c r="K5" s="816">
        <f>Summen_Acker!Q40</f>
        <v>0</v>
      </c>
      <c r="L5" s="816">
        <f>Summen_Acker!Q41</f>
        <v>0</v>
      </c>
      <c r="M5" s="816">
        <f>Summen_Acker!Q42</f>
        <v>0</v>
      </c>
      <c r="N5" s="816">
        <f>Summen_Acker!Q43</f>
        <v>0</v>
      </c>
      <c r="O5" s="816">
        <f>Summen_Acker!Q44</f>
        <v>0</v>
      </c>
      <c r="P5" s="816">
        <f>Summen_Acker!Q45</f>
        <v>0</v>
      </c>
      <c r="Q5" s="816">
        <f>Summen_Acker!Q46</f>
        <v>0</v>
      </c>
      <c r="R5" s="816">
        <f>Summen_Acker!Q47</f>
        <v>0</v>
      </c>
      <c r="S5" s="816">
        <f>Summen_Acker!$Q48</f>
        <v>0</v>
      </c>
      <c r="T5" s="816">
        <f>Summen_Acker!$Q49</f>
        <v>0</v>
      </c>
      <c r="U5" s="816">
        <f>Summen_Acker!$Q50</f>
        <v>0</v>
      </c>
      <c r="V5" s="816">
        <f>Summen_Acker!$Q51</f>
        <v>0</v>
      </c>
      <c r="W5" s="816">
        <f>Summen_Acker!$Q52</f>
        <v>0</v>
      </c>
      <c r="X5" s="758"/>
      <c r="Y5" s="758"/>
      <c r="Z5" s="758"/>
      <c r="AA5" s="758"/>
      <c r="AB5" s="758"/>
      <c r="AC5" s="758"/>
      <c r="AD5" s="758"/>
      <c r="AE5" s="758"/>
      <c r="AF5" s="758"/>
      <c r="AG5" s="758"/>
      <c r="AH5" s="758"/>
      <c r="AI5" s="758"/>
      <c r="AJ5" s="758"/>
      <c r="AK5" s="758"/>
      <c r="AL5" s="758"/>
      <c r="AM5" s="758"/>
      <c r="AN5" s="758"/>
      <c r="AO5" s="758"/>
      <c r="AP5" s="758"/>
      <c r="AQ5" s="758"/>
      <c r="AR5" s="758"/>
      <c r="AS5" s="758"/>
      <c r="AT5" s="758"/>
      <c r="AU5" s="758"/>
      <c r="AV5" s="6"/>
      <c r="AW5" s="760"/>
      <c r="AX5" s="760"/>
      <c r="AY5" s="760"/>
      <c r="AZ5" s="760"/>
      <c r="BA5" s="760"/>
      <c r="CF5" s="876"/>
    </row>
    <row r="6" spans="1:84" ht="19.5" customHeight="1">
      <c r="A6" s="163"/>
      <c r="B6" s="746">
        <f>'meine Dünger'!C7</f>
        <v>0</v>
      </c>
      <c r="C6" s="969">
        <f>'meine Dünger'!D7</f>
        <v>0</v>
      </c>
      <c r="D6" s="975">
        <f t="shared" si="0"/>
        <v>0</v>
      </c>
      <c r="E6" s="854">
        <f>I6+Summen_GL!H$141</f>
        <v>0</v>
      </c>
      <c r="F6" s="854">
        <f t="shared" si="1"/>
        <v>0</v>
      </c>
      <c r="G6" s="976">
        <f t="shared" si="2"/>
        <v>0</v>
      </c>
      <c r="H6" s="968">
        <f>Summen_GL!B6</f>
        <v>0</v>
      </c>
      <c r="I6" s="852">
        <f t="shared" si="3"/>
        <v>0</v>
      </c>
      <c r="J6" s="851">
        <f>Summen_Acker!W39</f>
        <v>0</v>
      </c>
      <c r="K6" s="816">
        <f>Summen_Acker!W40</f>
        <v>0</v>
      </c>
      <c r="L6" s="816">
        <f>Summen_Acker!W41</f>
        <v>0</v>
      </c>
      <c r="M6" s="816">
        <f>Summen_Acker!W42</f>
        <v>0</v>
      </c>
      <c r="N6" s="816">
        <f>Summen_Acker!W43</f>
        <v>0</v>
      </c>
      <c r="O6" s="816">
        <f>Summen_Acker!W44</f>
        <v>0</v>
      </c>
      <c r="P6" s="816">
        <f>Summen_Acker!W45</f>
        <v>0</v>
      </c>
      <c r="Q6" s="816">
        <f>Summen_Acker!W46</f>
        <v>0</v>
      </c>
      <c r="R6" s="816">
        <f>Summen_Acker!W47</f>
        <v>0</v>
      </c>
      <c r="S6" s="816">
        <f>Summen_Acker!$W48</f>
        <v>0</v>
      </c>
      <c r="T6" s="816">
        <f>Summen_Acker!$W49</f>
        <v>0</v>
      </c>
      <c r="U6" s="816">
        <f>Summen_Acker!$W50</f>
        <v>0</v>
      </c>
      <c r="V6" s="816">
        <f>Summen_Acker!$W51</f>
        <v>0</v>
      </c>
      <c r="W6" s="816">
        <f>Summen_Acker!$W52</f>
        <v>0</v>
      </c>
      <c r="AH6" s="758"/>
      <c r="AI6" s="758"/>
      <c r="AJ6" s="758"/>
      <c r="AK6" s="758"/>
      <c r="AL6" s="758"/>
      <c r="AM6" s="758"/>
      <c r="AN6" s="758"/>
      <c r="AO6" s="758"/>
      <c r="AP6" s="758"/>
      <c r="AQ6" s="758"/>
      <c r="AR6" s="758"/>
      <c r="AS6" s="758"/>
      <c r="AT6" s="758"/>
      <c r="AU6" s="758"/>
      <c r="AV6" s="6"/>
      <c r="AW6" s="760"/>
      <c r="AX6" s="760"/>
      <c r="AY6" s="760"/>
      <c r="AZ6" s="760"/>
      <c r="BA6" s="760"/>
      <c r="CF6" s="876"/>
    </row>
    <row r="7" spans="1:84" ht="19.5" customHeight="1">
      <c r="A7" s="163"/>
      <c r="B7" s="746">
        <f>'meine Dünger'!C8</f>
        <v>0</v>
      </c>
      <c r="C7" s="969">
        <f>'meine Dünger'!D8</f>
        <v>0</v>
      </c>
      <c r="D7" s="975">
        <f t="shared" si="0"/>
        <v>0</v>
      </c>
      <c r="E7" s="854">
        <f>I7+Summen_GL!I$141</f>
        <v>0</v>
      </c>
      <c r="F7" s="854">
        <f t="shared" si="1"/>
        <v>0</v>
      </c>
      <c r="G7" s="976">
        <f>$C7-E7</f>
        <v>0</v>
      </c>
      <c r="H7" s="968">
        <f>Summen_GL!B7</f>
        <v>0</v>
      </c>
      <c r="I7" s="852">
        <f t="shared" si="3"/>
        <v>0</v>
      </c>
      <c r="J7" s="851">
        <f>Summen_Acker!AC39</f>
        <v>0</v>
      </c>
      <c r="K7" s="816">
        <f>Summen_Acker!AC40</f>
        <v>0</v>
      </c>
      <c r="L7" s="816">
        <f>Summen_Acker!AC41</f>
        <v>0</v>
      </c>
      <c r="M7" s="816">
        <f>Summen_Acker!AC42</f>
        <v>0</v>
      </c>
      <c r="N7" s="816">
        <f>Summen_Acker!AC43</f>
        <v>0</v>
      </c>
      <c r="O7" s="816">
        <f>Summen_Acker!AC44</f>
        <v>0</v>
      </c>
      <c r="P7" s="816">
        <f>Summen_Acker!AC45</f>
        <v>0</v>
      </c>
      <c r="Q7" s="816">
        <f>Summen_Acker!AC46</f>
        <v>0</v>
      </c>
      <c r="R7" s="816">
        <f>Summen_Acker!AC47</f>
        <v>0</v>
      </c>
      <c r="S7" s="816">
        <f>Summen_Acker!$AC48</f>
        <v>0</v>
      </c>
      <c r="T7" s="816">
        <f>Summen_Acker!$AC49</f>
        <v>0</v>
      </c>
      <c r="U7" s="816">
        <f>Summen_Acker!$AC50</f>
        <v>0</v>
      </c>
      <c r="V7" s="816">
        <f>Summen_Acker!$AC51</f>
        <v>0</v>
      </c>
      <c r="W7" s="816">
        <f>Summen_Acker!$AC52</f>
        <v>0</v>
      </c>
      <c r="AH7" s="758"/>
      <c r="AI7" s="758"/>
      <c r="AJ7" s="758"/>
      <c r="AK7" s="758"/>
      <c r="AL7" s="758"/>
      <c r="AM7" s="758"/>
      <c r="AN7" s="758"/>
      <c r="AO7" s="758"/>
      <c r="AP7" s="758"/>
      <c r="AQ7" s="758"/>
      <c r="AR7" s="758"/>
      <c r="AS7" s="758"/>
      <c r="AT7" s="758"/>
      <c r="AU7" s="758"/>
      <c r="AV7" s="6"/>
      <c r="AW7" s="760"/>
      <c r="AX7" s="760"/>
      <c r="AY7" s="760"/>
      <c r="AZ7" s="760"/>
      <c r="BA7" s="760"/>
      <c r="CF7" s="876"/>
    </row>
    <row r="8" spans="1:84" ht="19.5" customHeight="1">
      <c r="A8" s="163"/>
      <c r="B8" s="746">
        <f>'meine Dünger'!C9</f>
        <v>0</v>
      </c>
      <c r="C8" s="969">
        <f>'meine Dünger'!D9</f>
        <v>0</v>
      </c>
      <c r="D8" s="975">
        <f t="shared" si="0"/>
        <v>0</v>
      </c>
      <c r="E8" s="854">
        <f>I8+Summen_GL!J$141</f>
        <v>0</v>
      </c>
      <c r="F8" s="854">
        <f t="shared" si="1"/>
        <v>0</v>
      </c>
      <c r="G8" s="976">
        <f>$C8-E8</f>
        <v>0</v>
      </c>
      <c r="H8" s="968">
        <f>Summen_GL!B8</f>
        <v>0</v>
      </c>
      <c r="I8" s="852">
        <f t="shared" si="3"/>
        <v>0</v>
      </c>
      <c r="J8" s="851">
        <f>Summen_Acker!AI39</f>
        <v>0</v>
      </c>
      <c r="K8" s="816">
        <f>Summen_Acker!AI40</f>
        <v>0</v>
      </c>
      <c r="L8" s="816">
        <f>Summen_Acker!AI41</f>
        <v>0</v>
      </c>
      <c r="M8" s="816">
        <f>Summen_Acker!AI42</f>
        <v>0</v>
      </c>
      <c r="N8" s="816">
        <f>Summen_Acker!AI43</f>
        <v>0</v>
      </c>
      <c r="O8" s="816">
        <f>Summen_Acker!AI44</f>
        <v>0</v>
      </c>
      <c r="P8" s="816">
        <f>Summen_Acker!AI45</f>
        <v>0</v>
      </c>
      <c r="Q8" s="816">
        <f>Summen_Acker!AI46</f>
        <v>0</v>
      </c>
      <c r="R8" s="816">
        <f>Summen_Acker!AI47</f>
        <v>0</v>
      </c>
      <c r="S8" s="816">
        <f>Summen_Acker!$AI48</f>
        <v>0</v>
      </c>
      <c r="T8" s="816">
        <f>Summen_Acker!$AI49</f>
        <v>0</v>
      </c>
      <c r="U8" s="816">
        <f>Summen_Acker!$AI50</f>
        <v>0</v>
      </c>
      <c r="V8" s="816">
        <f>Summen_Acker!$AI51</f>
        <v>0</v>
      </c>
      <c r="W8" s="816">
        <f>Summen_Acker!$AI52</f>
        <v>0</v>
      </c>
      <c r="AH8" s="758"/>
      <c r="AI8" s="758"/>
      <c r="AJ8" s="758"/>
      <c r="AK8" s="758"/>
      <c r="AL8" s="758"/>
      <c r="AM8" s="758"/>
      <c r="AN8" s="758"/>
      <c r="AO8" s="758"/>
      <c r="AP8" s="758"/>
      <c r="AQ8" s="758"/>
      <c r="AR8" s="758"/>
      <c r="AS8" s="758"/>
      <c r="AT8" s="758"/>
      <c r="AU8" s="758"/>
      <c r="AV8" s="6"/>
      <c r="AW8" s="760"/>
      <c r="AX8" s="760"/>
      <c r="AY8" s="760"/>
      <c r="AZ8" s="760"/>
      <c r="BA8" s="760"/>
      <c r="CF8" s="876"/>
    </row>
    <row r="9" spans="1:84" ht="19.5" customHeight="1">
      <c r="A9" s="163"/>
      <c r="B9" s="746">
        <f>'meine Dünger'!C10</f>
        <v>0</v>
      </c>
      <c r="C9" s="969">
        <f>'meine Dünger'!D10</f>
        <v>0</v>
      </c>
      <c r="D9" s="975">
        <f t="shared" si="0"/>
        <v>0</v>
      </c>
      <c r="E9" s="854">
        <f>I9+Summen_GL!K$141</f>
        <v>0</v>
      </c>
      <c r="F9" s="854">
        <f t="shared" si="1"/>
        <v>0</v>
      </c>
      <c r="G9" s="976">
        <f t="shared" si="2"/>
        <v>0</v>
      </c>
      <c r="H9" s="968">
        <f>Summen_GL!B9</f>
        <v>0</v>
      </c>
      <c r="I9" s="852">
        <f t="shared" si="3"/>
        <v>0</v>
      </c>
      <c r="J9" s="851">
        <f>Summen_Acker!AO39</f>
        <v>0</v>
      </c>
      <c r="K9" s="816">
        <f>Summen_Acker!AO40</f>
        <v>0</v>
      </c>
      <c r="L9" s="816">
        <f>Summen_Acker!AO41</f>
        <v>0</v>
      </c>
      <c r="M9" s="816">
        <f>Summen_Acker!AO42</f>
        <v>0</v>
      </c>
      <c r="N9" s="816">
        <f>Summen_Acker!AO43</f>
        <v>0</v>
      </c>
      <c r="O9" s="816">
        <f>Summen_Acker!AO44</f>
        <v>0</v>
      </c>
      <c r="P9" s="816">
        <f>Summen_Acker!AO45</f>
        <v>0</v>
      </c>
      <c r="Q9" s="816">
        <f>Summen_Acker!AO46</f>
        <v>0</v>
      </c>
      <c r="R9" s="816">
        <f>Summen_Acker!AO47</f>
        <v>0</v>
      </c>
      <c r="S9" s="816">
        <f>Summen_Acker!$AO48</f>
        <v>0</v>
      </c>
      <c r="T9" s="816">
        <f>Summen_Acker!$AO49</f>
        <v>0</v>
      </c>
      <c r="U9" s="816">
        <f>Summen_Acker!$AO50</f>
        <v>0</v>
      </c>
      <c r="V9" s="816">
        <f>Summen_Acker!$AO51</f>
        <v>0</v>
      </c>
      <c r="W9" s="816">
        <f>Summen_Acker!$AO52</f>
        <v>0</v>
      </c>
      <c r="AH9" s="758"/>
      <c r="AI9" s="758"/>
      <c r="AJ9" s="758"/>
      <c r="AK9" s="758"/>
      <c r="AL9" s="758"/>
      <c r="AM9" s="758"/>
      <c r="AN9" s="758"/>
      <c r="AO9" s="758"/>
      <c r="AP9" s="758"/>
      <c r="AQ9" s="758"/>
      <c r="AR9" s="758"/>
      <c r="AS9" s="758"/>
      <c r="AT9" s="758"/>
      <c r="AU9" s="758"/>
      <c r="AV9" s="6"/>
      <c r="AW9" s="760"/>
      <c r="AX9" s="760"/>
      <c r="AY9" s="760"/>
      <c r="AZ9" s="760"/>
      <c r="BA9" s="760"/>
      <c r="CF9" s="876"/>
    </row>
    <row r="10" spans="1:84" ht="19.5" customHeight="1">
      <c r="A10" s="163"/>
      <c r="B10" s="746">
        <f>'meine Dünger'!C11</f>
        <v>0</v>
      </c>
      <c r="C10" s="969">
        <f>'meine Dünger'!D11</f>
        <v>0</v>
      </c>
      <c r="D10" s="975">
        <f t="shared" si="0"/>
        <v>0</v>
      </c>
      <c r="E10" s="854">
        <f>I10+Summen_GL!L$141</f>
        <v>0</v>
      </c>
      <c r="F10" s="854">
        <f t="shared" si="1"/>
        <v>0</v>
      </c>
      <c r="G10" s="976">
        <f t="shared" si="2"/>
        <v>0</v>
      </c>
      <c r="H10" s="968">
        <f>Summen_GL!B10</f>
        <v>0</v>
      </c>
      <c r="I10" s="852">
        <f t="shared" si="3"/>
        <v>0</v>
      </c>
      <c r="J10" s="851">
        <f>Summen_Acker!AU39</f>
        <v>0</v>
      </c>
      <c r="K10" s="816">
        <f>Summen_Acker!AU40</f>
        <v>0</v>
      </c>
      <c r="L10" s="816">
        <f>Summen_Acker!AU41</f>
        <v>0</v>
      </c>
      <c r="M10" s="816">
        <f>Summen_Acker!AU42</f>
        <v>0</v>
      </c>
      <c r="N10" s="816">
        <f>Summen_Acker!AU43</f>
        <v>0</v>
      </c>
      <c r="O10" s="816">
        <f>Summen_Acker!AU44</f>
        <v>0</v>
      </c>
      <c r="P10" s="816">
        <f>Summen_Acker!AU45</f>
        <v>0</v>
      </c>
      <c r="Q10" s="816">
        <f>Summen_Acker!AU46</f>
        <v>0</v>
      </c>
      <c r="R10" s="816">
        <f>Summen_Acker!AU47</f>
        <v>0</v>
      </c>
      <c r="S10" s="816">
        <f>Summen_Acker!$AU48</f>
        <v>0</v>
      </c>
      <c r="T10" s="816">
        <f>Summen_Acker!$AU49</f>
        <v>0</v>
      </c>
      <c r="U10" s="816">
        <f>Summen_Acker!$AU50</f>
        <v>0</v>
      </c>
      <c r="V10" s="816">
        <f>Summen_Acker!$AU51</f>
        <v>0</v>
      </c>
      <c r="W10" s="816">
        <f>Summen_Acker!$AU52</f>
        <v>0</v>
      </c>
      <c r="AH10" s="758"/>
      <c r="AI10" s="758"/>
      <c r="AJ10" s="758"/>
      <c r="AK10" s="758"/>
      <c r="AL10" s="758"/>
      <c r="AM10" s="758"/>
      <c r="AN10" s="758"/>
      <c r="AO10" s="758"/>
      <c r="AP10" s="758"/>
      <c r="AQ10" s="758"/>
      <c r="AR10" s="758"/>
      <c r="AS10" s="758"/>
      <c r="AT10" s="758"/>
      <c r="AU10" s="758"/>
      <c r="AV10" s="6"/>
      <c r="AW10" s="760"/>
      <c r="AX10" s="760"/>
      <c r="AY10" s="760"/>
      <c r="AZ10" s="760"/>
      <c r="BA10" s="760"/>
      <c r="CF10" s="876"/>
    </row>
    <row r="11" spans="1:84" ht="19.5" customHeight="1">
      <c r="A11" s="163"/>
      <c r="B11" s="746">
        <f>'meine Dünger'!C12</f>
        <v>0</v>
      </c>
      <c r="C11" s="969">
        <f>'meine Dünger'!D12</f>
        <v>0</v>
      </c>
      <c r="D11" s="975">
        <f t="shared" si="0"/>
        <v>0</v>
      </c>
      <c r="E11" s="854">
        <f>I11+Summen_GL!M$141</f>
        <v>0</v>
      </c>
      <c r="F11" s="854">
        <f t="shared" si="1"/>
        <v>0</v>
      </c>
      <c r="G11" s="976">
        <f t="shared" si="2"/>
        <v>0</v>
      </c>
      <c r="H11" s="968">
        <f>Summen_GL!B11</f>
        <v>0</v>
      </c>
      <c r="I11" s="852">
        <f t="shared" si="3"/>
        <v>0</v>
      </c>
      <c r="J11" s="851">
        <f>Summen_Acker!BA39</f>
        <v>0</v>
      </c>
      <c r="K11" s="816">
        <f>Summen_Acker!BA40</f>
        <v>0</v>
      </c>
      <c r="L11" s="816">
        <f>Summen_Acker!BA41</f>
        <v>0</v>
      </c>
      <c r="M11" s="816">
        <f>Summen_Acker!BA42</f>
        <v>0</v>
      </c>
      <c r="N11" s="816">
        <f>Summen_Acker!BA43</f>
        <v>0</v>
      </c>
      <c r="O11" s="816">
        <f>Summen_Acker!BA44</f>
        <v>0</v>
      </c>
      <c r="P11" s="816">
        <f>Summen_Acker!BA45</f>
        <v>0</v>
      </c>
      <c r="Q11" s="816">
        <f>Summen_Acker!BA46</f>
        <v>0</v>
      </c>
      <c r="R11" s="816">
        <f>Summen_Acker!BA47</f>
        <v>0</v>
      </c>
      <c r="S11" s="816">
        <f>Summen_Acker!$BA48</f>
        <v>0</v>
      </c>
      <c r="T11" s="816">
        <f>Summen_Acker!$BA49</f>
        <v>0</v>
      </c>
      <c r="U11" s="816">
        <f>Summen_Acker!$BA50</f>
        <v>0</v>
      </c>
      <c r="V11" s="816">
        <f>Summen_Acker!$BA51</f>
        <v>0</v>
      </c>
      <c r="W11" s="816">
        <f>Summen_Acker!$BA52</f>
        <v>0</v>
      </c>
      <c r="AH11" s="758"/>
      <c r="AI11" s="758"/>
      <c r="AJ11" s="758"/>
      <c r="AK11" s="758"/>
      <c r="AL11" s="758"/>
      <c r="AM11" s="758"/>
      <c r="AN11" s="758"/>
      <c r="AO11" s="758"/>
      <c r="AP11" s="758"/>
      <c r="AQ11" s="758"/>
      <c r="AR11" s="758"/>
      <c r="AS11" s="758"/>
      <c r="AT11" s="758"/>
      <c r="AU11" s="758"/>
      <c r="AV11" s="6"/>
      <c r="AW11" s="760"/>
      <c r="AX11" s="760"/>
      <c r="AY11" s="760"/>
      <c r="AZ11" s="760"/>
      <c r="BA11" s="760"/>
      <c r="CF11" s="876"/>
    </row>
    <row r="12" spans="1:84" ht="19.5" customHeight="1">
      <c r="A12" s="163"/>
      <c r="B12" s="746">
        <f>'meine Dünger'!C13</f>
        <v>0</v>
      </c>
      <c r="C12" s="969">
        <f>'meine Dünger'!D13</f>
        <v>0</v>
      </c>
      <c r="D12" s="975">
        <f t="shared" si="0"/>
        <v>0</v>
      </c>
      <c r="E12" s="854">
        <f>I12+Summen_GL!N$141</f>
        <v>0</v>
      </c>
      <c r="F12" s="854">
        <f t="shared" si="1"/>
        <v>0</v>
      </c>
      <c r="G12" s="976">
        <f t="shared" si="2"/>
        <v>0</v>
      </c>
      <c r="H12" s="968">
        <f>Summen_GL!B12</f>
        <v>0</v>
      </c>
      <c r="I12" s="852">
        <f t="shared" si="3"/>
        <v>0</v>
      </c>
      <c r="J12" s="851">
        <f>Summen_Acker!BG39</f>
        <v>0</v>
      </c>
      <c r="K12" s="816">
        <f>Summen_Acker!BG40</f>
        <v>0</v>
      </c>
      <c r="L12" s="816">
        <f>Summen_Acker!BG41</f>
        <v>0</v>
      </c>
      <c r="M12" s="816">
        <f>Summen_Acker!BG42</f>
        <v>0</v>
      </c>
      <c r="N12" s="816">
        <f>Summen_Acker!BG43</f>
        <v>0</v>
      </c>
      <c r="O12" s="816">
        <f>Summen_Acker!BG44</f>
        <v>0</v>
      </c>
      <c r="P12" s="816">
        <f>Summen_Acker!BG45</f>
        <v>0</v>
      </c>
      <c r="Q12" s="816">
        <f>Summen_Acker!BG46</f>
        <v>0</v>
      </c>
      <c r="R12" s="816">
        <f>Summen_Acker!BG47</f>
        <v>0</v>
      </c>
      <c r="S12" s="816">
        <f>Summen_Acker!$BG48</f>
        <v>0</v>
      </c>
      <c r="T12" s="816">
        <f>Summen_Acker!$BG49</f>
        <v>0</v>
      </c>
      <c r="U12" s="816">
        <f>Summen_Acker!$BG50</f>
        <v>0</v>
      </c>
      <c r="V12" s="816">
        <f>Summen_Acker!$BG51</f>
        <v>0</v>
      </c>
      <c r="W12" s="816">
        <f>Summen_Acker!$BG52</f>
        <v>0</v>
      </c>
      <c r="AH12" s="758"/>
      <c r="AI12" s="758"/>
      <c r="AJ12" s="758"/>
      <c r="AK12" s="758"/>
      <c r="AL12" s="758"/>
      <c r="AM12" s="758"/>
      <c r="AN12" s="758"/>
      <c r="AO12" s="758"/>
      <c r="AP12" s="758"/>
      <c r="AQ12" s="758"/>
      <c r="AR12" s="758"/>
      <c r="AS12" s="758"/>
      <c r="AT12" s="758"/>
      <c r="AU12" s="758"/>
      <c r="AV12" s="6"/>
      <c r="AW12" s="760"/>
      <c r="AX12" s="760"/>
      <c r="AY12" s="760"/>
      <c r="AZ12" s="760"/>
      <c r="BA12" s="760"/>
      <c r="CF12" s="876"/>
    </row>
    <row r="13" spans="1:84" ht="19.5" customHeight="1">
      <c r="A13" s="163"/>
      <c r="B13" s="746">
        <f>'meine Dünger'!C14</f>
        <v>0</v>
      </c>
      <c r="C13" s="969">
        <f>'meine Dünger'!D14</f>
        <v>0</v>
      </c>
      <c r="D13" s="975">
        <f t="shared" si="0"/>
        <v>0</v>
      </c>
      <c r="E13" s="854">
        <f>I13+Summen_GL!O$141</f>
        <v>0</v>
      </c>
      <c r="F13" s="854">
        <f t="shared" si="1"/>
        <v>0</v>
      </c>
      <c r="G13" s="976">
        <f t="shared" si="2"/>
        <v>0</v>
      </c>
      <c r="H13" s="968">
        <f>Summen_GL!B13</f>
        <v>0</v>
      </c>
      <c r="I13" s="852">
        <f t="shared" si="3"/>
        <v>0</v>
      </c>
      <c r="J13" s="851">
        <f>Summen_Acker!BM39</f>
        <v>0</v>
      </c>
      <c r="K13" s="816">
        <f>Summen_Acker!BM40</f>
        <v>0</v>
      </c>
      <c r="L13" s="816">
        <f>Summen_Acker!BM41</f>
        <v>0</v>
      </c>
      <c r="M13" s="816">
        <f>Summen_Acker!BM42</f>
        <v>0</v>
      </c>
      <c r="N13" s="816">
        <f>Summen_Acker!BM43</f>
        <v>0</v>
      </c>
      <c r="O13" s="816">
        <f>Summen_Acker!BM44</f>
        <v>0</v>
      </c>
      <c r="P13" s="816">
        <f>Summen_Acker!BM45</f>
        <v>0</v>
      </c>
      <c r="Q13" s="816">
        <f>Summen_Acker!BM46</f>
        <v>0</v>
      </c>
      <c r="R13" s="816">
        <f>Summen_Acker!BM47</f>
        <v>0</v>
      </c>
      <c r="S13" s="816">
        <f>Summen_Acker!$BM48</f>
        <v>0</v>
      </c>
      <c r="T13" s="816">
        <f>Summen_Acker!$BM49</f>
        <v>0</v>
      </c>
      <c r="U13" s="816">
        <f>Summen_Acker!$BM50</f>
        <v>0</v>
      </c>
      <c r="V13" s="816">
        <f>Summen_Acker!$BM51</f>
        <v>0</v>
      </c>
      <c r="W13" s="816">
        <f>Summen_Acker!$BM52</f>
        <v>0</v>
      </c>
      <c r="AH13" s="758"/>
      <c r="AI13" s="758"/>
      <c r="AJ13" s="758"/>
      <c r="AK13" s="758"/>
      <c r="AL13" s="758"/>
      <c r="AM13" s="758"/>
      <c r="AN13" s="758"/>
      <c r="AO13" s="758"/>
      <c r="AP13" s="758"/>
      <c r="AQ13" s="758"/>
      <c r="AR13" s="758"/>
      <c r="AS13" s="758"/>
      <c r="AT13" s="758"/>
      <c r="AU13" s="758"/>
      <c r="AV13" s="6"/>
      <c r="AW13" s="760"/>
      <c r="AX13" s="760"/>
      <c r="AY13" s="760"/>
      <c r="AZ13" s="760"/>
      <c r="BA13" s="760"/>
      <c r="CF13" s="876"/>
    </row>
    <row r="14" spans="1:84" ht="19.5" customHeight="1">
      <c r="A14" s="163"/>
      <c r="B14" s="746">
        <f>'meine Dünger'!C15</f>
        <v>0</v>
      </c>
      <c r="C14" s="969">
        <f>'meine Dünger'!D15</f>
        <v>0</v>
      </c>
      <c r="D14" s="975">
        <f t="shared" si="0"/>
        <v>0</v>
      </c>
      <c r="E14" s="854">
        <f>I14+Summen_GL!P$141</f>
        <v>0</v>
      </c>
      <c r="F14" s="854">
        <f t="shared" si="1"/>
        <v>0</v>
      </c>
      <c r="G14" s="976">
        <f t="shared" si="2"/>
        <v>0</v>
      </c>
      <c r="H14" s="968">
        <f>Summen_GL!B14</f>
        <v>0</v>
      </c>
      <c r="I14" s="852">
        <f t="shared" si="3"/>
        <v>0</v>
      </c>
      <c r="J14" s="851">
        <f>Summen_Acker!BS39</f>
        <v>0</v>
      </c>
      <c r="K14" s="816">
        <f>Summen_Acker!BS40</f>
        <v>0</v>
      </c>
      <c r="L14" s="816">
        <f>Summen_Acker!BS41</f>
        <v>0</v>
      </c>
      <c r="M14" s="816">
        <f>Summen_Acker!BS42</f>
        <v>0</v>
      </c>
      <c r="N14" s="816">
        <f>Summen_Acker!BS43</f>
        <v>0</v>
      </c>
      <c r="O14" s="816">
        <f>Summen_Acker!BS44</f>
        <v>0</v>
      </c>
      <c r="P14" s="816">
        <f>Summen_Acker!BS45</f>
        <v>0</v>
      </c>
      <c r="Q14" s="816">
        <f>Summen_Acker!BS46</f>
        <v>0</v>
      </c>
      <c r="R14" s="816">
        <f>Summen_Acker!BS47</f>
        <v>0</v>
      </c>
      <c r="S14" s="816">
        <f>Summen_Acker!$BS48</f>
        <v>0</v>
      </c>
      <c r="T14" s="816">
        <f>Summen_Acker!$BS49</f>
        <v>0</v>
      </c>
      <c r="U14" s="816">
        <f>Summen_Acker!$BS50</f>
        <v>0</v>
      </c>
      <c r="V14" s="816">
        <f>Summen_Acker!$BS51</f>
        <v>0</v>
      </c>
      <c r="W14" s="816">
        <f>Summen_Acker!$BS52</f>
        <v>0</v>
      </c>
      <c r="AH14" s="758"/>
      <c r="AI14" s="758"/>
      <c r="AJ14" s="758"/>
      <c r="AK14" s="758"/>
      <c r="AL14" s="758"/>
      <c r="AM14" s="758"/>
      <c r="AN14" s="758"/>
      <c r="AO14" s="758"/>
      <c r="AP14" s="758"/>
      <c r="AQ14" s="758"/>
      <c r="AR14" s="758"/>
      <c r="AS14" s="758"/>
      <c r="AT14" s="758"/>
      <c r="AU14" s="758"/>
      <c r="AV14" s="6"/>
      <c r="AW14" s="760"/>
      <c r="AX14" s="760"/>
      <c r="AY14" s="760"/>
      <c r="AZ14" s="760"/>
      <c r="BA14" s="760"/>
      <c r="CF14" s="876"/>
    </row>
    <row r="15" spans="1:84" ht="19.5" customHeight="1">
      <c r="A15" s="163"/>
      <c r="B15" s="746">
        <f>'meine Dünger'!C16</f>
        <v>0</v>
      </c>
      <c r="C15" s="969">
        <f>'meine Dünger'!D16</f>
        <v>0</v>
      </c>
      <c r="D15" s="975">
        <f t="shared" si="0"/>
        <v>0</v>
      </c>
      <c r="E15" s="854">
        <f>I15+Summen_GL!Q$141</f>
        <v>0</v>
      </c>
      <c r="F15" s="854">
        <f t="shared" si="1"/>
        <v>0</v>
      </c>
      <c r="G15" s="976">
        <f t="shared" si="2"/>
        <v>0</v>
      </c>
      <c r="H15" s="968">
        <f>Summen_GL!B15</f>
        <v>0</v>
      </c>
      <c r="I15" s="852">
        <f t="shared" si="3"/>
        <v>0</v>
      </c>
      <c r="J15" s="851">
        <f>Summen_Acker!BY39</f>
        <v>0</v>
      </c>
      <c r="K15" s="816">
        <f>Summen_Acker!BY40</f>
        <v>0</v>
      </c>
      <c r="L15" s="816">
        <f>Summen_Acker!BY41</f>
        <v>0</v>
      </c>
      <c r="M15" s="816">
        <f>Summen_Acker!BY42</f>
        <v>0</v>
      </c>
      <c r="N15" s="816">
        <f>Summen_Acker!BY43</f>
        <v>0</v>
      </c>
      <c r="O15" s="816">
        <f>Summen_Acker!BY44</f>
        <v>0</v>
      </c>
      <c r="P15" s="816">
        <f>Summen_Acker!BY45</f>
        <v>0</v>
      </c>
      <c r="Q15" s="816">
        <f>Summen_Acker!BY46</f>
        <v>0</v>
      </c>
      <c r="R15" s="816">
        <f>Summen_Acker!BY47</f>
        <v>0</v>
      </c>
      <c r="S15" s="816">
        <f>Summen_Acker!$BY48</f>
        <v>0</v>
      </c>
      <c r="T15" s="816">
        <f>Summen_Acker!$BY49</f>
        <v>0</v>
      </c>
      <c r="U15" s="816">
        <f>Summen_Acker!$BY50</f>
        <v>0</v>
      </c>
      <c r="V15" s="816">
        <f>Summen_Acker!$BY51</f>
        <v>0</v>
      </c>
      <c r="W15" s="816">
        <f>Summen_Acker!$BY52</f>
        <v>0</v>
      </c>
      <c r="AH15" s="758"/>
      <c r="AI15" s="758"/>
      <c r="AJ15" s="758"/>
      <c r="AK15" s="758"/>
      <c r="AL15" s="758"/>
      <c r="AM15" s="758"/>
      <c r="AN15" s="758"/>
      <c r="AO15" s="758"/>
      <c r="AP15" s="758"/>
      <c r="AQ15" s="758"/>
      <c r="AR15" s="758"/>
      <c r="AS15" s="758"/>
      <c r="AT15" s="758"/>
      <c r="AU15" s="758"/>
      <c r="AV15" s="6"/>
      <c r="AW15" s="760"/>
      <c r="AX15" s="760"/>
      <c r="AY15" s="760"/>
      <c r="AZ15" s="760"/>
      <c r="BA15" s="760"/>
      <c r="CF15" s="876"/>
    </row>
    <row r="16" spans="1:84" ht="19.5" customHeight="1">
      <c r="A16" s="163"/>
      <c r="B16" s="1370"/>
      <c r="C16" s="1371"/>
      <c r="D16" s="1372"/>
      <c r="E16" s="1373"/>
      <c r="F16" s="1373"/>
      <c r="G16" s="1374"/>
      <c r="H16" s="1375"/>
      <c r="I16" s="1376"/>
      <c r="J16" s="1377"/>
      <c r="K16" s="1378"/>
      <c r="L16" s="1378"/>
      <c r="M16" s="1378"/>
      <c r="N16" s="1378"/>
      <c r="O16" s="1378"/>
      <c r="P16" s="1378"/>
      <c r="Q16" s="1378"/>
      <c r="R16" s="1378"/>
      <c r="S16" s="1379"/>
      <c r="T16" s="1379"/>
      <c r="U16" s="1379"/>
      <c r="V16" s="1379"/>
      <c r="W16" s="1379"/>
      <c r="AH16" s="758"/>
      <c r="AI16" s="758"/>
      <c r="AJ16" s="758"/>
      <c r="AK16" s="758"/>
      <c r="AL16" s="758"/>
      <c r="AM16" s="758"/>
      <c r="AN16" s="758"/>
      <c r="AO16" s="758"/>
      <c r="AP16" s="758"/>
      <c r="AQ16" s="758"/>
      <c r="AR16" s="758"/>
      <c r="AS16" s="758"/>
      <c r="AT16" s="758"/>
      <c r="AU16" s="758"/>
      <c r="AV16" s="6"/>
      <c r="AW16" s="760"/>
      <c r="AX16" s="760"/>
      <c r="AY16" s="760"/>
      <c r="AZ16" s="760"/>
      <c r="BA16" s="760"/>
      <c r="CF16" s="876"/>
    </row>
    <row r="17" spans="1:84" ht="19.5" customHeight="1">
      <c r="A17" s="163"/>
      <c r="B17" s="925"/>
      <c r="C17" s="926"/>
      <c r="D17" s="870"/>
      <c r="E17" s="870"/>
      <c r="F17" s="870"/>
      <c r="G17" s="870"/>
      <c r="H17" s="747"/>
      <c r="I17" s="870"/>
      <c r="J17" s="758"/>
      <c r="K17" s="758"/>
      <c r="L17" s="758"/>
      <c r="M17" s="758"/>
      <c r="N17" s="758"/>
      <c r="O17" s="758"/>
      <c r="P17" s="758"/>
      <c r="Q17" s="758"/>
      <c r="R17" s="758"/>
      <c r="S17" s="758"/>
      <c r="U17" s="927"/>
      <c r="W17" s="927"/>
      <c r="AH17" s="758"/>
      <c r="AI17" s="758"/>
      <c r="AJ17" s="758"/>
      <c r="AK17" s="758"/>
      <c r="AL17" s="758"/>
      <c r="AM17" s="758"/>
      <c r="AN17" s="758"/>
      <c r="AO17" s="758"/>
      <c r="AP17" s="758"/>
      <c r="AQ17" s="758"/>
      <c r="AR17" s="758"/>
      <c r="AS17" s="758"/>
      <c r="AT17" s="758"/>
      <c r="AU17" s="758"/>
      <c r="AV17" s="6"/>
      <c r="AW17" s="760"/>
      <c r="AX17" s="760"/>
      <c r="AY17" s="760"/>
      <c r="AZ17" s="760"/>
      <c r="BA17" s="760"/>
      <c r="CF17" s="876"/>
    </row>
    <row r="18" spans="1:84" ht="19.5" customHeight="1">
      <c r="A18" s="163"/>
      <c r="B18" s="925"/>
      <c r="C18" s="926"/>
      <c r="D18" s="870"/>
      <c r="E18" s="870"/>
      <c r="F18" s="870"/>
      <c r="G18" s="870"/>
      <c r="H18" s="747"/>
      <c r="I18" s="870"/>
      <c r="J18" s="758"/>
      <c r="K18" s="758"/>
      <c r="L18" s="758"/>
      <c r="M18" s="758"/>
      <c r="N18" s="758"/>
      <c r="O18" s="758"/>
      <c r="P18" s="758"/>
      <c r="Q18" s="758"/>
      <c r="R18" s="758"/>
      <c r="S18" s="758"/>
      <c r="U18" s="927"/>
      <c r="W18" s="927"/>
      <c r="AH18" s="758"/>
      <c r="AI18" s="758"/>
      <c r="AJ18" s="758"/>
      <c r="AK18" s="758"/>
      <c r="AL18" s="758"/>
      <c r="AM18" s="758"/>
      <c r="AN18" s="758"/>
      <c r="AO18" s="758"/>
      <c r="AP18" s="758"/>
      <c r="AQ18" s="758"/>
      <c r="AR18" s="758"/>
      <c r="AS18" s="758"/>
      <c r="AT18" s="758"/>
      <c r="AU18" s="758"/>
      <c r="AV18" s="6"/>
      <c r="AW18" s="760"/>
      <c r="AX18" s="760"/>
      <c r="AY18" s="760"/>
      <c r="AZ18" s="760"/>
      <c r="BA18" s="760"/>
      <c r="CF18" s="876"/>
    </row>
    <row r="19" spans="1:84" ht="13.5" thickBot="1">
      <c r="A19" s="163"/>
      <c r="B19" s="163"/>
      <c r="C19" s="163"/>
      <c r="D19" s="163"/>
      <c r="E19" s="163"/>
      <c r="F19" s="163"/>
      <c r="G19" s="163"/>
      <c r="H19" s="10"/>
      <c r="I19" s="163"/>
      <c r="J19" s="163"/>
      <c r="K19" s="163"/>
      <c r="L19" s="163"/>
      <c r="M19" s="163"/>
      <c r="N19" s="163"/>
      <c r="O19" s="163"/>
      <c r="P19" s="163"/>
      <c r="Q19" s="163"/>
      <c r="R19" s="163"/>
      <c r="S19" s="163"/>
      <c r="T19" s="163"/>
      <c r="U19" s="163"/>
      <c r="V19" s="163"/>
      <c r="W19" s="163"/>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c r="BA19" s="760"/>
      <c r="CF19" s="876"/>
    </row>
    <row r="20" spans="1:84" ht="27" customHeight="1" thickBot="1">
      <c r="B20" s="855" t="s">
        <v>2</v>
      </c>
      <c r="C20" s="864" t="s">
        <v>470</v>
      </c>
      <c r="D20" s="1424" t="s">
        <v>1231</v>
      </c>
      <c r="E20" s="966" t="s">
        <v>1230</v>
      </c>
      <c r="F20" s="966"/>
      <c r="G20" s="966"/>
      <c r="H20" s="747"/>
      <c r="I20" s="857" t="s">
        <v>894</v>
      </c>
      <c r="J20" s="868" t="s">
        <v>883</v>
      </c>
      <c r="K20" s="858" t="s">
        <v>884</v>
      </c>
      <c r="L20" s="858" t="s">
        <v>885</v>
      </c>
      <c r="M20" s="858" t="s">
        <v>886</v>
      </c>
      <c r="N20" s="858" t="s">
        <v>887</v>
      </c>
      <c r="O20" s="858" t="s">
        <v>888</v>
      </c>
      <c r="P20" s="858" t="s">
        <v>889</v>
      </c>
      <c r="Q20" s="858" t="s">
        <v>890</v>
      </c>
      <c r="R20" s="858" t="s">
        <v>891</v>
      </c>
      <c r="S20" s="858" t="s">
        <v>892</v>
      </c>
      <c r="T20" s="858" t="s">
        <v>1228</v>
      </c>
      <c r="U20" s="858" t="s">
        <v>1229</v>
      </c>
      <c r="V20" s="858" t="s">
        <v>1239</v>
      </c>
      <c r="W20" s="859" t="s">
        <v>1240</v>
      </c>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c r="AT20" s="926"/>
      <c r="AU20" s="926"/>
      <c r="AV20" s="926"/>
      <c r="AW20" s="926"/>
      <c r="AX20" s="926"/>
      <c r="AY20" s="926"/>
      <c r="AZ20" s="760"/>
      <c r="BA20" s="760"/>
      <c r="CF20" s="876"/>
    </row>
    <row r="21" spans="1:84" ht="18.75" customHeight="1">
      <c r="A21" s="1015">
        <v>1</v>
      </c>
      <c r="B21" s="861">
        <f>'meine Dünger'!C5</f>
        <v>0</v>
      </c>
      <c r="C21" s="865">
        <f>'meine Dünger'!G5</f>
        <v>0</v>
      </c>
      <c r="D21" s="854">
        <f>I21</f>
        <v>0</v>
      </c>
      <c r="E21" s="966" t="s">
        <v>1230</v>
      </c>
      <c r="F21" s="870"/>
      <c r="G21" s="870"/>
      <c r="H21" s="747"/>
      <c r="I21" s="856">
        <f>SUM(J21:W21)</f>
        <v>0</v>
      </c>
      <c r="J21" s="866">
        <f>J4*$C$21</f>
        <v>0</v>
      </c>
      <c r="K21" s="867">
        <f t="shared" ref="K21:S21" si="4">K4*$C$21</f>
        <v>0</v>
      </c>
      <c r="L21" s="867">
        <f t="shared" si="4"/>
        <v>0</v>
      </c>
      <c r="M21" s="867">
        <f t="shared" si="4"/>
        <v>0</v>
      </c>
      <c r="N21" s="867">
        <f t="shared" si="4"/>
        <v>0</v>
      </c>
      <c r="O21" s="867">
        <f t="shared" si="4"/>
        <v>0</v>
      </c>
      <c r="P21" s="867">
        <f t="shared" si="4"/>
        <v>0</v>
      </c>
      <c r="Q21" s="867">
        <f t="shared" si="4"/>
        <v>0</v>
      </c>
      <c r="R21" s="867">
        <f t="shared" si="4"/>
        <v>0</v>
      </c>
      <c r="S21" s="867">
        <f t="shared" si="4"/>
        <v>0</v>
      </c>
      <c r="T21" s="867">
        <f t="shared" ref="T21:U21" si="5">T4*$C$21</f>
        <v>0</v>
      </c>
      <c r="U21" s="867">
        <f t="shared" si="5"/>
        <v>0</v>
      </c>
      <c r="V21" s="867">
        <f t="shared" ref="V21:W21" si="6">V4*$C$21</f>
        <v>0</v>
      </c>
      <c r="W21" s="869">
        <f t="shared" si="6"/>
        <v>0</v>
      </c>
      <c r="X21" s="758"/>
      <c r="Y21" s="758"/>
      <c r="Z21" s="758"/>
      <c r="AA21" s="758"/>
      <c r="AB21" s="758"/>
      <c r="AC21" s="758"/>
      <c r="AD21" s="758"/>
      <c r="AE21" s="758"/>
      <c r="AF21" s="758"/>
      <c r="AG21" s="758"/>
      <c r="AH21" s="758"/>
      <c r="AI21" s="758"/>
      <c r="AJ21" s="758"/>
      <c r="AK21" s="758"/>
      <c r="AL21" s="758"/>
      <c r="AM21" s="758"/>
      <c r="AN21" s="758"/>
      <c r="AO21" s="758"/>
      <c r="AP21" s="758"/>
      <c r="AQ21" s="758"/>
      <c r="AR21" s="758"/>
      <c r="AS21" s="758"/>
      <c r="AT21" s="758"/>
      <c r="AU21" s="758"/>
      <c r="AV21" s="6"/>
      <c r="AW21" s="760"/>
      <c r="AX21" s="760"/>
      <c r="AY21" s="760"/>
      <c r="AZ21" s="760"/>
      <c r="BA21" s="760"/>
      <c r="CF21" s="876"/>
    </row>
    <row r="22" spans="1:84" ht="18.75" customHeight="1">
      <c r="A22" s="1015">
        <v>2</v>
      </c>
      <c r="B22" s="861">
        <f>'meine Dünger'!C6</f>
        <v>0</v>
      </c>
      <c r="C22" s="865">
        <f>'meine Dünger'!G6</f>
        <v>0</v>
      </c>
      <c r="D22" s="854">
        <f t="shared" ref="D22:D32" si="7">I22</f>
        <v>0</v>
      </c>
      <c r="E22" s="870"/>
      <c r="F22" s="870"/>
      <c r="G22" s="870"/>
      <c r="H22" s="747"/>
      <c r="I22" s="856">
        <f t="shared" ref="I22:I32" si="8">SUM(J22:W22)</f>
        <v>0</v>
      </c>
      <c r="J22" s="866">
        <f t="shared" ref="J22:S22" si="9">J5*$C$22</f>
        <v>0</v>
      </c>
      <c r="K22" s="867">
        <f t="shared" si="9"/>
        <v>0</v>
      </c>
      <c r="L22" s="867">
        <f t="shared" si="9"/>
        <v>0</v>
      </c>
      <c r="M22" s="867">
        <f t="shared" si="9"/>
        <v>0</v>
      </c>
      <c r="N22" s="867">
        <f t="shared" si="9"/>
        <v>0</v>
      </c>
      <c r="O22" s="867">
        <f t="shared" si="9"/>
        <v>0</v>
      </c>
      <c r="P22" s="867">
        <f t="shared" si="9"/>
        <v>0</v>
      </c>
      <c r="Q22" s="867">
        <f t="shared" si="9"/>
        <v>0</v>
      </c>
      <c r="R22" s="867">
        <f t="shared" si="9"/>
        <v>0</v>
      </c>
      <c r="S22" s="867">
        <f t="shared" si="9"/>
        <v>0</v>
      </c>
      <c r="T22" s="867">
        <f t="shared" ref="T22:U22" si="10">T5*$C$22</f>
        <v>0</v>
      </c>
      <c r="U22" s="867">
        <f t="shared" si="10"/>
        <v>0</v>
      </c>
      <c r="V22" s="867">
        <f t="shared" ref="V22:W22" si="11">V5*$C$22</f>
        <v>0</v>
      </c>
      <c r="W22" s="869">
        <f t="shared" si="11"/>
        <v>0</v>
      </c>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758"/>
      <c r="AV22" s="6"/>
      <c r="AW22" s="760"/>
      <c r="AX22" s="760"/>
      <c r="AY22" s="760"/>
      <c r="AZ22" s="760"/>
      <c r="BA22" s="760"/>
      <c r="CF22" s="876"/>
    </row>
    <row r="23" spans="1:84" ht="18.75" customHeight="1">
      <c r="A23" s="1015">
        <v>3</v>
      </c>
      <c r="B23" s="861">
        <f>'meine Dünger'!C7</f>
        <v>0</v>
      </c>
      <c r="C23" s="865">
        <f>'meine Dünger'!G7</f>
        <v>0</v>
      </c>
      <c r="D23" s="854">
        <f t="shared" si="7"/>
        <v>0</v>
      </c>
      <c r="E23" s="870"/>
      <c r="F23" s="870"/>
      <c r="G23" s="870"/>
      <c r="H23" s="747"/>
      <c r="I23" s="856">
        <f t="shared" si="8"/>
        <v>0</v>
      </c>
      <c r="J23" s="866">
        <f t="shared" ref="J23:S23" si="12">J6*$C$23</f>
        <v>0</v>
      </c>
      <c r="K23" s="867">
        <f t="shared" si="12"/>
        <v>0</v>
      </c>
      <c r="L23" s="867">
        <f t="shared" si="12"/>
        <v>0</v>
      </c>
      <c r="M23" s="867">
        <f t="shared" si="12"/>
        <v>0</v>
      </c>
      <c r="N23" s="867">
        <f t="shared" si="12"/>
        <v>0</v>
      </c>
      <c r="O23" s="867">
        <f t="shared" si="12"/>
        <v>0</v>
      </c>
      <c r="P23" s="867">
        <f t="shared" si="12"/>
        <v>0</v>
      </c>
      <c r="Q23" s="867">
        <f t="shared" si="12"/>
        <v>0</v>
      </c>
      <c r="R23" s="867">
        <f t="shared" si="12"/>
        <v>0</v>
      </c>
      <c r="S23" s="867">
        <f t="shared" si="12"/>
        <v>0</v>
      </c>
      <c r="T23" s="867">
        <f t="shared" ref="T23:U23" si="13">T6*$C$23</f>
        <v>0</v>
      </c>
      <c r="U23" s="867">
        <f t="shared" si="13"/>
        <v>0</v>
      </c>
      <c r="V23" s="867">
        <f t="shared" ref="V23:W23" si="14">V6*$C$23</f>
        <v>0</v>
      </c>
      <c r="W23" s="869">
        <f t="shared" si="14"/>
        <v>0</v>
      </c>
      <c r="AH23" s="758"/>
      <c r="AI23" s="758"/>
      <c r="AJ23" s="758"/>
      <c r="AK23" s="758"/>
      <c r="AL23" s="758"/>
      <c r="AM23" s="758"/>
      <c r="AN23" s="758"/>
      <c r="AO23" s="758"/>
      <c r="AP23" s="758"/>
      <c r="AQ23" s="758"/>
      <c r="AR23" s="758"/>
      <c r="AS23" s="758"/>
      <c r="AT23" s="758"/>
      <c r="AU23" s="758"/>
      <c r="AV23" s="6"/>
      <c r="AW23" s="760"/>
      <c r="AX23" s="760"/>
      <c r="AY23" s="760"/>
      <c r="AZ23" s="760"/>
      <c r="BA23" s="760"/>
      <c r="CF23" s="876"/>
    </row>
    <row r="24" spans="1:84" ht="18.75" customHeight="1">
      <c r="A24" s="1015">
        <v>4</v>
      </c>
      <c r="B24" s="861">
        <f>'meine Dünger'!C8</f>
        <v>0</v>
      </c>
      <c r="C24" s="865">
        <f>'meine Dünger'!G8</f>
        <v>0</v>
      </c>
      <c r="D24" s="854">
        <f t="shared" si="7"/>
        <v>0</v>
      </c>
      <c r="E24" s="870"/>
      <c r="F24" s="870"/>
      <c r="G24" s="870"/>
      <c r="H24" s="747"/>
      <c r="I24" s="856">
        <f t="shared" si="8"/>
        <v>0</v>
      </c>
      <c r="J24" s="866">
        <f t="shared" ref="J24:S24" si="15">J7*$C$24</f>
        <v>0</v>
      </c>
      <c r="K24" s="867">
        <f t="shared" si="15"/>
        <v>0</v>
      </c>
      <c r="L24" s="867">
        <f t="shared" si="15"/>
        <v>0</v>
      </c>
      <c r="M24" s="867">
        <f t="shared" si="15"/>
        <v>0</v>
      </c>
      <c r="N24" s="867">
        <f t="shared" si="15"/>
        <v>0</v>
      </c>
      <c r="O24" s="867">
        <f t="shared" si="15"/>
        <v>0</v>
      </c>
      <c r="P24" s="867">
        <f t="shared" si="15"/>
        <v>0</v>
      </c>
      <c r="Q24" s="867">
        <f t="shared" si="15"/>
        <v>0</v>
      </c>
      <c r="R24" s="867">
        <f t="shared" si="15"/>
        <v>0</v>
      </c>
      <c r="S24" s="867">
        <f t="shared" si="15"/>
        <v>0</v>
      </c>
      <c r="T24" s="867">
        <f t="shared" ref="T24:U24" si="16">T7*$C$24</f>
        <v>0</v>
      </c>
      <c r="U24" s="867">
        <f t="shared" si="16"/>
        <v>0</v>
      </c>
      <c r="V24" s="867">
        <f t="shared" ref="V24:W24" si="17">V7*$C$24</f>
        <v>0</v>
      </c>
      <c r="W24" s="869">
        <f t="shared" si="17"/>
        <v>0</v>
      </c>
      <c r="AH24" s="758"/>
      <c r="AI24" s="758"/>
      <c r="AJ24" s="758"/>
      <c r="AK24" s="758"/>
      <c r="AL24" s="758"/>
      <c r="AM24" s="758"/>
      <c r="AN24" s="758"/>
      <c r="AO24" s="758"/>
      <c r="AP24" s="758"/>
      <c r="AQ24" s="758"/>
      <c r="AR24" s="758"/>
      <c r="AS24" s="758"/>
      <c r="AT24" s="758"/>
      <c r="AU24" s="758"/>
      <c r="AV24" s="6"/>
      <c r="AW24" s="760"/>
      <c r="AX24" s="760"/>
      <c r="AY24" s="760"/>
      <c r="AZ24" s="760"/>
      <c r="BA24" s="760"/>
      <c r="CF24" s="876"/>
    </row>
    <row r="25" spans="1:84" ht="18.75" customHeight="1">
      <c r="A25" s="1015">
        <v>5</v>
      </c>
      <c r="B25" s="861">
        <f>'meine Dünger'!C9</f>
        <v>0</v>
      </c>
      <c r="C25" s="865">
        <f>'meine Dünger'!G9</f>
        <v>0</v>
      </c>
      <c r="D25" s="854">
        <f t="shared" si="7"/>
        <v>0</v>
      </c>
      <c r="E25" s="870"/>
      <c r="F25" s="870"/>
      <c r="G25" s="870"/>
      <c r="H25" s="747"/>
      <c r="I25" s="856">
        <f t="shared" si="8"/>
        <v>0</v>
      </c>
      <c r="J25" s="866">
        <f t="shared" ref="J25:S25" si="18">J8*$C$25</f>
        <v>0</v>
      </c>
      <c r="K25" s="867">
        <f t="shared" si="18"/>
        <v>0</v>
      </c>
      <c r="L25" s="867">
        <f t="shared" si="18"/>
        <v>0</v>
      </c>
      <c r="M25" s="867">
        <f t="shared" si="18"/>
        <v>0</v>
      </c>
      <c r="N25" s="867">
        <f t="shared" si="18"/>
        <v>0</v>
      </c>
      <c r="O25" s="867">
        <f t="shared" si="18"/>
        <v>0</v>
      </c>
      <c r="P25" s="867">
        <f t="shared" si="18"/>
        <v>0</v>
      </c>
      <c r="Q25" s="867">
        <f t="shared" si="18"/>
        <v>0</v>
      </c>
      <c r="R25" s="867">
        <f t="shared" si="18"/>
        <v>0</v>
      </c>
      <c r="S25" s="867">
        <f t="shared" si="18"/>
        <v>0</v>
      </c>
      <c r="T25" s="867">
        <f t="shared" ref="T25:U25" si="19">T8*$C$25</f>
        <v>0</v>
      </c>
      <c r="U25" s="867">
        <f t="shared" si="19"/>
        <v>0</v>
      </c>
      <c r="V25" s="867">
        <f t="shared" ref="V25:W25" si="20">V8*$C$25</f>
        <v>0</v>
      </c>
      <c r="W25" s="869">
        <f t="shared" si="20"/>
        <v>0</v>
      </c>
      <c r="AH25" s="758"/>
      <c r="AI25" s="758"/>
      <c r="AJ25" s="758"/>
      <c r="AK25" s="758"/>
      <c r="AL25" s="758"/>
      <c r="AM25" s="758"/>
      <c r="AN25" s="758"/>
      <c r="AO25" s="758"/>
      <c r="AP25" s="758"/>
      <c r="AQ25" s="758"/>
      <c r="AR25" s="758"/>
      <c r="AS25" s="758"/>
      <c r="AT25" s="758"/>
      <c r="AU25" s="758"/>
      <c r="AV25" s="6"/>
      <c r="AW25" s="760"/>
      <c r="AX25" s="760"/>
      <c r="AY25" s="760"/>
      <c r="AZ25" s="760"/>
      <c r="BA25" s="760"/>
      <c r="CF25" s="876"/>
    </row>
    <row r="26" spans="1:84" ht="18.75" customHeight="1">
      <c r="A26" s="1015">
        <v>6</v>
      </c>
      <c r="B26" s="861">
        <f>'meine Dünger'!C10</f>
        <v>0</v>
      </c>
      <c r="C26" s="865">
        <f>'meine Dünger'!G10</f>
        <v>0</v>
      </c>
      <c r="D26" s="854">
        <f t="shared" si="7"/>
        <v>0</v>
      </c>
      <c r="E26" s="870"/>
      <c r="F26" s="870"/>
      <c r="G26" s="870"/>
      <c r="H26" s="747"/>
      <c r="I26" s="856">
        <f t="shared" si="8"/>
        <v>0</v>
      </c>
      <c r="J26" s="866">
        <f t="shared" ref="J26:S26" si="21">J9*$C$26</f>
        <v>0</v>
      </c>
      <c r="K26" s="867">
        <f t="shared" si="21"/>
        <v>0</v>
      </c>
      <c r="L26" s="867">
        <f t="shared" si="21"/>
        <v>0</v>
      </c>
      <c r="M26" s="867">
        <f t="shared" si="21"/>
        <v>0</v>
      </c>
      <c r="N26" s="867">
        <f t="shared" si="21"/>
        <v>0</v>
      </c>
      <c r="O26" s="867">
        <f t="shared" si="21"/>
        <v>0</v>
      </c>
      <c r="P26" s="867">
        <f t="shared" si="21"/>
        <v>0</v>
      </c>
      <c r="Q26" s="867">
        <f t="shared" si="21"/>
        <v>0</v>
      </c>
      <c r="R26" s="867">
        <f t="shared" si="21"/>
        <v>0</v>
      </c>
      <c r="S26" s="867">
        <f t="shared" si="21"/>
        <v>0</v>
      </c>
      <c r="T26" s="867">
        <f t="shared" ref="T26:U26" si="22">T9*$C$26</f>
        <v>0</v>
      </c>
      <c r="U26" s="867">
        <f t="shared" si="22"/>
        <v>0</v>
      </c>
      <c r="V26" s="867">
        <f t="shared" ref="V26:W26" si="23">V9*$C$26</f>
        <v>0</v>
      </c>
      <c r="W26" s="869">
        <f t="shared" si="23"/>
        <v>0</v>
      </c>
      <c r="AH26" s="758"/>
      <c r="AI26" s="758"/>
      <c r="AJ26" s="758"/>
      <c r="AK26" s="758"/>
      <c r="AL26" s="758"/>
      <c r="AM26" s="758"/>
      <c r="AN26" s="758"/>
      <c r="AO26" s="758"/>
      <c r="AP26" s="758"/>
      <c r="AQ26" s="758"/>
      <c r="AR26" s="758"/>
      <c r="AS26" s="758"/>
      <c r="AT26" s="758"/>
      <c r="AU26" s="758"/>
      <c r="AV26" s="6"/>
      <c r="AW26" s="760"/>
      <c r="AX26" s="760"/>
      <c r="AY26" s="760"/>
      <c r="AZ26" s="760"/>
      <c r="BA26" s="760"/>
      <c r="CF26" s="876"/>
    </row>
    <row r="27" spans="1:84" ht="18.75" customHeight="1">
      <c r="A27" s="1015">
        <v>7</v>
      </c>
      <c r="B27" s="861">
        <f>'meine Dünger'!C11</f>
        <v>0</v>
      </c>
      <c r="C27" s="865">
        <f>'meine Dünger'!G11</f>
        <v>0</v>
      </c>
      <c r="D27" s="854">
        <f t="shared" si="7"/>
        <v>0</v>
      </c>
      <c r="E27" s="870"/>
      <c r="F27" s="870"/>
      <c r="G27" s="870"/>
      <c r="H27" s="747"/>
      <c r="I27" s="856">
        <f t="shared" si="8"/>
        <v>0</v>
      </c>
      <c r="J27" s="866">
        <f t="shared" ref="J27:S27" si="24">J10*$C$27</f>
        <v>0</v>
      </c>
      <c r="K27" s="867">
        <f t="shared" si="24"/>
        <v>0</v>
      </c>
      <c r="L27" s="867">
        <f t="shared" si="24"/>
        <v>0</v>
      </c>
      <c r="M27" s="867">
        <f t="shared" si="24"/>
        <v>0</v>
      </c>
      <c r="N27" s="867">
        <f t="shared" si="24"/>
        <v>0</v>
      </c>
      <c r="O27" s="867">
        <f t="shared" si="24"/>
        <v>0</v>
      </c>
      <c r="P27" s="867">
        <f t="shared" si="24"/>
        <v>0</v>
      </c>
      <c r="Q27" s="867">
        <f t="shared" si="24"/>
        <v>0</v>
      </c>
      <c r="R27" s="867">
        <f t="shared" si="24"/>
        <v>0</v>
      </c>
      <c r="S27" s="867">
        <f t="shared" si="24"/>
        <v>0</v>
      </c>
      <c r="T27" s="867">
        <f t="shared" ref="T27:U27" si="25">T10*$C$27</f>
        <v>0</v>
      </c>
      <c r="U27" s="867">
        <f t="shared" si="25"/>
        <v>0</v>
      </c>
      <c r="V27" s="867">
        <f t="shared" ref="V27:W27" si="26">V10*$C$27</f>
        <v>0</v>
      </c>
      <c r="W27" s="869">
        <f t="shared" si="26"/>
        <v>0</v>
      </c>
      <c r="AH27" s="758"/>
      <c r="AI27" s="758"/>
      <c r="AJ27" s="758"/>
      <c r="AK27" s="758"/>
      <c r="AL27" s="758"/>
      <c r="AM27" s="758"/>
      <c r="AN27" s="758"/>
      <c r="AO27" s="758"/>
      <c r="AP27" s="758"/>
      <c r="AQ27" s="758"/>
      <c r="AR27" s="758"/>
      <c r="AS27" s="758"/>
      <c r="AT27" s="758"/>
      <c r="AU27" s="758"/>
      <c r="AV27" s="6"/>
      <c r="AW27" s="760"/>
      <c r="AX27" s="760"/>
      <c r="AY27" s="760"/>
      <c r="AZ27" s="760"/>
      <c r="BA27" s="760"/>
      <c r="CF27" s="876"/>
    </row>
    <row r="28" spans="1:84" ht="18.75" customHeight="1">
      <c r="A28" s="1015">
        <v>8</v>
      </c>
      <c r="B28" s="861">
        <f>'meine Dünger'!C12</f>
        <v>0</v>
      </c>
      <c r="C28" s="865">
        <f>'meine Dünger'!G12</f>
        <v>0</v>
      </c>
      <c r="D28" s="854">
        <f t="shared" si="7"/>
        <v>0</v>
      </c>
      <c r="E28" s="870"/>
      <c r="F28" s="870"/>
      <c r="G28" s="870"/>
      <c r="H28" s="747"/>
      <c r="I28" s="856">
        <f t="shared" si="8"/>
        <v>0</v>
      </c>
      <c r="J28" s="866">
        <f t="shared" ref="J28:S28" si="27">J11*$C28</f>
        <v>0</v>
      </c>
      <c r="K28" s="867">
        <f t="shared" si="27"/>
        <v>0</v>
      </c>
      <c r="L28" s="867">
        <f t="shared" si="27"/>
        <v>0</v>
      </c>
      <c r="M28" s="867">
        <f t="shared" si="27"/>
        <v>0</v>
      </c>
      <c r="N28" s="867">
        <f t="shared" si="27"/>
        <v>0</v>
      </c>
      <c r="O28" s="867">
        <f t="shared" si="27"/>
        <v>0</v>
      </c>
      <c r="P28" s="867">
        <f t="shared" si="27"/>
        <v>0</v>
      </c>
      <c r="Q28" s="867">
        <f t="shared" si="27"/>
        <v>0</v>
      </c>
      <c r="R28" s="867">
        <f t="shared" si="27"/>
        <v>0</v>
      </c>
      <c r="S28" s="867">
        <f t="shared" si="27"/>
        <v>0</v>
      </c>
      <c r="T28" s="867">
        <f t="shared" ref="T28:U28" si="28">T11*$C28</f>
        <v>0</v>
      </c>
      <c r="U28" s="867">
        <f t="shared" si="28"/>
        <v>0</v>
      </c>
      <c r="V28" s="867">
        <f t="shared" ref="V28:W28" si="29">V11*$C28</f>
        <v>0</v>
      </c>
      <c r="W28" s="869">
        <f t="shared" si="29"/>
        <v>0</v>
      </c>
      <c r="AH28" s="758"/>
      <c r="AI28" s="758"/>
      <c r="AJ28" s="758"/>
      <c r="AK28" s="758"/>
      <c r="AL28" s="758"/>
      <c r="AM28" s="758"/>
      <c r="AN28" s="758"/>
      <c r="AO28" s="758"/>
      <c r="AP28" s="758"/>
      <c r="AQ28" s="758"/>
      <c r="AR28" s="758"/>
      <c r="AS28" s="758"/>
      <c r="AT28" s="758"/>
      <c r="AU28" s="758"/>
      <c r="AV28" s="6"/>
      <c r="AW28" s="760"/>
      <c r="AX28" s="760"/>
      <c r="AY28" s="760"/>
      <c r="AZ28" s="760"/>
      <c r="BA28" s="760"/>
      <c r="CF28" s="876"/>
    </row>
    <row r="29" spans="1:84" ht="18.75" customHeight="1">
      <c r="A29" s="1015">
        <v>9</v>
      </c>
      <c r="B29" s="861">
        <f>'meine Dünger'!C13</f>
        <v>0</v>
      </c>
      <c r="C29" s="865">
        <f>'meine Dünger'!G13</f>
        <v>0</v>
      </c>
      <c r="D29" s="854">
        <f t="shared" si="7"/>
        <v>0</v>
      </c>
      <c r="E29" s="870"/>
      <c r="F29" s="870"/>
      <c r="G29" s="870"/>
      <c r="H29" s="747"/>
      <c r="I29" s="856">
        <f t="shared" si="8"/>
        <v>0</v>
      </c>
      <c r="J29" s="866">
        <f t="shared" ref="J29:S29" si="30">J12*$C$29</f>
        <v>0</v>
      </c>
      <c r="K29" s="867">
        <f t="shared" si="30"/>
        <v>0</v>
      </c>
      <c r="L29" s="867">
        <f t="shared" si="30"/>
        <v>0</v>
      </c>
      <c r="M29" s="867">
        <f t="shared" si="30"/>
        <v>0</v>
      </c>
      <c r="N29" s="867">
        <f t="shared" si="30"/>
        <v>0</v>
      </c>
      <c r="O29" s="867">
        <f t="shared" si="30"/>
        <v>0</v>
      </c>
      <c r="P29" s="867">
        <f t="shared" si="30"/>
        <v>0</v>
      </c>
      <c r="Q29" s="867">
        <f t="shared" si="30"/>
        <v>0</v>
      </c>
      <c r="R29" s="867">
        <f t="shared" si="30"/>
        <v>0</v>
      </c>
      <c r="S29" s="867">
        <f t="shared" si="30"/>
        <v>0</v>
      </c>
      <c r="T29" s="867">
        <f t="shared" ref="T29:U29" si="31">T12*$C$29</f>
        <v>0</v>
      </c>
      <c r="U29" s="867">
        <f t="shared" si="31"/>
        <v>0</v>
      </c>
      <c r="V29" s="867">
        <f t="shared" ref="V29:W29" si="32">V12*$C$29</f>
        <v>0</v>
      </c>
      <c r="W29" s="869">
        <f t="shared" si="32"/>
        <v>0</v>
      </c>
      <c r="AH29" s="758"/>
      <c r="AI29" s="758"/>
      <c r="AJ29" s="758"/>
      <c r="AK29" s="758"/>
      <c r="AL29" s="758"/>
      <c r="AM29" s="758"/>
      <c r="AN29" s="758"/>
      <c r="AO29" s="758"/>
      <c r="AP29" s="758"/>
      <c r="AQ29" s="758"/>
      <c r="AR29" s="758"/>
      <c r="AS29" s="758"/>
      <c r="AT29" s="758"/>
      <c r="AU29" s="758"/>
      <c r="AV29" s="6"/>
      <c r="AW29" s="760"/>
      <c r="AX29" s="760"/>
      <c r="AY29" s="760"/>
      <c r="AZ29" s="760"/>
      <c r="BA29" s="760"/>
      <c r="CF29" s="876"/>
    </row>
    <row r="30" spans="1:84" ht="18.75" customHeight="1">
      <c r="A30" s="1015">
        <v>10</v>
      </c>
      <c r="B30" s="861">
        <f>'meine Dünger'!C14</f>
        <v>0</v>
      </c>
      <c r="C30" s="865">
        <f>'meine Dünger'!G14</f>
        <v>0</v>
      </c>
      <c r="D30" s="854">
        <f t="shared" si="7"/>
        <v>0</v>
      </c>
      <c r="E30" s="870"/>
      <c r="F30" s="870"/>
      <c r="G30" s="870"/>
      <c r="H30" s="747"/>
      <c r="I30" s="856">
        <f t="shared" si="8"/>
        <v>0</v>
      </c>
      <c r="J30" s="866">
        <f t="shared" ref="J30:S30" si="33">J13*$C$30</f>
        <v>0</v>
      </c>
      <c r="K30" s="867">
        <f t="shared" si="33"/>
        <v>0</v>
      </c>
      <c r="L30" s="867">
        <f t="shared" si="33"/>
        <v>0</v>
      </c>
      <c r="M30" s="867">
        <f t="shared" si="33"/>
        <v>0</v>
      </c>
      <c r="N30" s="867">
        <f t="shared" si="33"/>
        <v>0</v>
      </c>
      <c r="O30" s="867">
        <f t="shared" si="33"/>
        <v>0</v>
      </c>
      <c r="P30" s="867">
        <f t="shared" si="33"/>
        <v>0</v>
      </c>
      <c r="Q30" s="867">
        <f t="shared" si="33"/>
        <v>0</v>
      </c>
      <c r="R30" s="867">
        <f t="shared" si="33"/>
        <v>0</v>
      </c>
      <c r="S30" s="867">
        <f t="shared" si="33"/>
        <v>0</v>
      </c>
      <c r="T30" s="867">
        <f t="shared" ref="T30:U30" si="34">T13*$C$30</f>
        <v>0</v>
      </c>
      <c r="U30" s="867">
        <f t="shared" si="34"/>
        <v>0</v>
      </c>
      <c r="V30" s="867">
        <f t="shared" ref="V30:W30" si="35">V13*$C$30</f>
        <v>0</v>
      </c>
      <c r="W30" s="869">
        <f t="shared" si="35"/>
        <v>0</v>
      </c>
      <c r="AH30" s="758"/>
      <c r="AI30" s="758"/>
      <c r="AJ30" s="758"/>
      <c r="AK30" s="758"/>
      <c r="AL30" s="758"/>
      <c r="AM30" s="758"/>
      <c r="AN30" s="758"/>
      <c r="AO30" s="758"/>
      <c r="AP30" s="758"/>
      <c r="AQ30" s="758"/>
      <c r="AR30" s="758"/>
      <c r="AS30" s="758"/>
      <c r="AT30" s="758"/>
      <c r="AU30" s="758"/>
      <c r="AV30" s="6"/>
      <c r="AW30" s="760"/>
      <c r="AX30" s="760"/>
      <c r="AY30" s="760"/>
      <c r="AZ30" s="760"/>
      <c r="BA30" s="760"/>
      <c r="CF30" s="876"/>
    </row>
    <row r="31" spans="1:84" ht="18.75" customHeight="1">
      <c r="A31" s="1015">
        <v>11</v>
      </c>
      <c r="B31" s="861">
        <f>'meine Dünger'!C15</f>
        <v>0</v>
      </c>
      <c r="C31" s="865">
        <f>'meine Dünger'!G15</f>
        <v>0</v>
      </c>
      <c r="D31" s="854">
        <f t="shared" si="7"/>
        <v>0</v>
      </c>
      <c r="E31" s="870"/>
      <c r="F31" s="870"/>
      <c r="G31" s="870"/>
      <c r="H31" s="747"/>
      <c r="I31" s="856">
        <f t="shared" si="8"/>
        <v>0</v>
      </c>
      <c r="J31" s="866">
        <f t="shared" ref="J31:S31" si="36">J14*$C$31</f>
        <v>0</v>
      </c>
      <c r="K31" s="867">
        <f t="shared" si="36"/>
        <v>0</v>
      </c>
      <c r="L31" s="867">
        <f t="shared" si="36"/>
        <v>0</v>
      </c>
      <c r="M31" s="867">
        <f t="shared" si="36"/>
        <v>0</v>
      </c>
      <c r="N31" s="867">
        <f t="shared" si="36"/>
        <v>0</v>
      </c>
      <c r="O31" s="867">
        <f t="shared" si="36"/>
        <v>0</v>
      </c>
      <c r="P31" s="867">
        <f t="shared" si="36"/>
        <v>0</v>
      </c>
      <c r="Q31" s="867">
        <f t="shared" si="36"/>
        <v>0</v>
      </c>
      <c r="R31" s="867">
        <f t="shared" si="36"/>
        <v>0</v>
      </c>
      <c r="S31" s="867">
        <f t="shared" si="36"/>
        <v>0</v>
      </c>
      <c r="T31" s="867">
        <f t="shared" ref="T31:U31" si="37">T14*$C$31</f>
        <v>0</v>
      </c>
      <c r="U31" s="867">
        <f t="shared" si="37"/>
        <v>0</v>
      </c>
      <c r="V31" s="867">
        <f t="shared" ref="V31:W31" si="38">V14*$C$31</f>
        <v>0</v>
      </c>
      <c r="W31" s="869">
        <f t="shared" si="38"/>
        <v>0</v>
      </c>
      <c r="AH31" s="758"/>
      <c r="AI31" s="758"/>
      <c r="AJ31" s="758"/>
      <c r="AK31" s="758"/>
      <c r="AL31" s="758"/>
      <c r="AM31" s="758"/>
      <c r="AN31" s="758"/>
      <c r="AO31" s="758"/>
      <c r="AP31" s="758"/>
      <c r="AQ31" s="758"/>
      <c r="AR31" s="758"/>
      <c r="AS31" s="758"/>
      <c r="AT31" s="758"/>
      <c r="AU31" s="758"/>
      <c r="AV31" s="6"/>
      <c r="AW31" s="760"/>
      <c r="AX31" s="760"/>
      <c r="AY31" s="760"/>
      <c r="AZ31" s="760"/>
      <c r="BA31" s="760"/>
      <c r="CF31" s="876"/>
    </row>
    <row r="32" spans="1:84" ht="18.75" customHeight="1">
      <c r="A32" s="1015">
        <v>12</v>
      </c>
      <c r="B32" s="861">
        <f>'meine Dünger'!C16</f>
        <v>0</v>
      </c>
      <c r="C32" s="865">
        <f>'meine Dünger'!G16</f>
        <v>0</v>
      </c>
      <c r="D32" s="854">
        <f t="shared" si="7"/>
        <v>0</v>
      </c>
      <c r="E32" s="870"/>
      <c r="F32" s="870"/>
      <c r="G32" s="870"/>
      <c r="H32" s="747"/>
      <c r="I32" s="856">
        <f t="shared" si="8"/>
        <v>0</v>
      </c>
      <c r="J32" s="866">
        <f t="shared" ref="J32:S32" si="39">J15*$C$32</f>
        <v>0</v>
      </c>
      <c r="K32" s="867">
        <f t="shared" si="39"/>
        <v>0</v>
      </c>
      <c r="L32" s="867">
        <f t="shared" si="39"/>
        <v>0</v>
      </c>
      <c r="M32" s="867">
        <f t="shared" si="39"/>
        <v>0</v>
      </c>
      <c r="N32" s="867">
        <f t="shared" si="39"/>
        <v>0</v>
      </c>
      <c r="O32" s="867">
        <f t="shared" si="39"/>
        <v>0</v>
      </c>
      <c r="P32" s="867">
        <f t="shared" si="39"/>
        <v>0</v>
      </c>
      <c r="Q32" s="867">
        <f t="shared" si="39"/>
        <v>0</v>
      </c>
      <c r="R32" s="867">
        <f t="shared" si="39"/>
        <v>0</v>
      </c>
      <c r="S32" s="867">
        <f t="shared" si="39"/>
        <v>0</v>
      </c>
      <c r="T32" s="867">
        <f t="shared" ref="T32:U32" si="40">T15*$C$32</f>
        <v>0</v>
      </c>
      <c r="U32" s="867">
        <f t="shared" si="40"/>
        <v>0</v>
      </c>
      <c r="V32" s="867">
        <f t="shared" ref="V32:W32" si="41">V15*$C$32</f>
        <v>0</v>
      </c>
      <c r="W32" s="869">
        <f t="shared" si="41"/>
        <v>0</v>
      </c>
      <c r="AH32" s="758"/>
      <c r="AI32" s="758"/>
      <c r="AJ32" s="758"/>
      <c r="AK32" s="758"/>
      <c r="AL32" s="758"/>
      <c r="AM32" s="758"/>
      <c r="AN32" s="758"/>
      <c r="AO32" s="758"/>
      <c r="AP32" s="758"/>
      <c r="AQ32" s="758"/>
      <c r="AR32" s="758"/>
      <c r="AS32" s="758"/>
      <c r="AT32" s="758"/>
      <c r="AU32" s="758"/>
      <c r="AV32" s="6"/>
      <c r="AW32" s="760"/>
      <c r="AX32" s="760"/>
      <c r="AY32" s="760"/>
      <c r="AZ32" s="760"/>
      <c r="BA32" s="760"/>
      <c r="CF32" s="876"/>
    </row>
    <row r="33" spans="1:84" ht="18.75" customHeight="1" thickBot="1">
      <c r="A33" s="1015">
        <v>13</v>
      </c>
      <c r="B33" s="1380"/>
      <c r="C33" s="1381"/>
      <c r="D33" s="1373"/>
      <c r="E33" s="1382"/>
      <c r="F33" s="1382"/>
      <c r="G33" s="1382"/>
      <c r="H33" s="817"/>
      <c r="I33" s="1383"/>
      <c r="J33" s="1384"/>
      <c r="K33" s="1385"/>
      <c r="L33" s="1385"/>
      <c r="M33" s="1385"/>
      <c r="N33" s="1385"/>
      <c r="O33" s="1385"/>
      <c r="P33" s="1385"/>
      <c r="Q33" s="1385"/>
      <c r="R33" s="1385"/>
      <c r="S33" s="1385"/>
      <c r="T33" s="1385"/>
      <c r="U33" s="1385"/>
      <c r="V33" s="1385"/>
      <c r="W33" s="1386"/>
      <c r="AH33" s="758"/>
      <c r="AI33" s="758"/>
      <c r="AJ33" s="758"/>
      <c r="AK33" s="758"/>
      <c r="AL33" s="758"/>
      <c r="AM33" s="758"/>
      <c r="AN33" s="758"/>
      <c r="AO33" s="758"/>
      <c r="AP33" s="758"/>
      <c r="AQ33" s="758"/>
      <c r="AR33" s="758"/>
      <c r="AS33" s="758"/>
      <c r="AT33" s="758"/>
      <c r="AU33" s="758"/>
      <c r="AV33" s="6"/>
      <c r="AW33" s="760"/>
      <c r="AX33" s="760"/>
      <c r="AY33" s="760"/>
      <c r="AZ33" s="760"/>
      <c r="BA33" s="760"/>
      <c r="CF33" s="876"/>
    </row>
    <row r="34" spans="1:84" ht="18.75" customHeight="1" thickBot="1">
      <c r="B34" s="862"/>
      <c r="C34" s="872"/>
      <c r="D34" s="870"/>
      <c r="E34" s="870"/>
      <c r="F34" s="870"/>
      <c r="G34" s="870"/>
      <c r="H34" s="747"/>
      <c r="I34" s="870"/>
      <c r="J34" s="873">
        <f t="shared" ref="J34:S34" si="42">SUM(J21:J33)</f>
        <v>0</v>
      </c>
      <c r="K34" s="874">
        <f t="shared" si="42"/>
        <v>0</v>
      </c>
      <c r="L34" s="874">
        <f t="shared" si="42"/>
        <v>0</v>
      </c>
      <c r="M34" s="874">
        <f t="shared" si="42"/>
        <v>0</v>
      </c>
      <c r="N34" s="874">
        <f t="shared" si="42"/>
        <v>0</v>
      </c>
      <c r="O34" s="874">
        <f t="shared" si="42"/>
        <v>0</v>
      </c>
      <c r="P34" s="874">
        <f t="shared" si="42"/>
        <v>0</v>
      </c>
      <c r="Q34" s="874">
        <f t="shared" si="42"/>
        <v>0</v>
      </c>
      <c r="R34" s="874">
        <f t="shared" si="42"/>
        <v>0</v>
      </c>
      <c r="S34" s="874">
        <f t="shared" si="42"/>
        <v>0</v>
      </c>
      <c r="T34" s="874">
        <f t="shared" ref="T34:U34" si="43">SUM(T21:T33)</f>
        <v>0</v>
      </c>
      <c r="U34" s="874">
        <f t="shared" si="43"/>
        <v>0</v>
      </c>
      <c r="V34" s="874">
        <f t="shared" ref="V34:W34" si="44">SUM(V21:V33)</f>
        <v>0</v>
      </c>
      <c r="W34" s="875">
        <f t="shared" si="44"/>
        <v>0</v>
      </c>
      <c r="AH34" s="758"/>
      <c r="AI34" s="758"/>
      <c r="AJ34" s="758"/>
      <c r="AK34" s="758"/>
      <c r="AL34" s="758"/>
      <c r="AM34" s="758"/>
      <c r="AN34" s="758"/>
      <c r="AO34" s="758"/>
      <c r="AP34" s="758"/>
      <c r="AQ34" s="758"/>
      <c r="AR34" s="758"/>
      <c r="AS34" s="758"/>
      <c r="AT34" s="758"/>
      <c r="AU34" s="758"/>
      <c r="AV34" s="6"/>
      <c r="AW34" s="760"/>
      <c r="AX34" s="760"/>
      <c r="AY34" s="760"/>
      <c r="AZ34" s="760"/>
      <c r="BA34" s="760"/>
      <c r="CF34" s="876"/>
    </row>
    <row r="35" spans="1:84" ht="12.75">
      <c r="B35" s="163"/>
      <c r="C35" s="163"/>
      <c r="D35" s="163"/>
      <c r="E35" s="163"/>
      <c r="F35" s="163"/>
      <c r="G35" s="163"/>
      <c r="H35" s="10"/>
      <c r="I35" s="10"/>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876"/>
    </row>
    <row r="36" spans="1:84" ht="15" thickBot="1">
      <c r="BZ36" s="876"/>
      <c r="CA36" s="876"/>
      <c r="CB36" s="876"/>
      <c r="CC36" s="876"/>
      <c r="CD36" s="876"/>
      <c r="CE36" s="876"/>
      <c r="CF36" s="876"/>
    </row>
    <row r="37" spans="1:84" ht="13.5" thickBot="1">
      <c r="C37" s="902">
        <f>'meine Dünger'!C5</f>
        <v>0</v>
      </c>
      <c r="D37" s="900"/>
      <c r="E37" s="900"/>
      <c r="F37" s="900"/>
      <c r="G37" s="900"/>
      <c r="H37" s="900"/>
      <c r="I37" s="900"/>
      <c r="J37" s="900"/>
      <c r="K37" s="901"/>
      <c r="L37" s="902">
        <f>'meine Dünger'!C6</f>
        <v>0</v>
      </c>
      <c r="M37" s="900"/>
      <c r="N37" s="900"/>
      <c r="O37" s="900"/>
      <c r="P37" s="900"/>
      <c r="Q37" s="901"/>
      <c r="R37" s="903">
        <f>'meine Dünger'!C7</f>
        <v>0</v>
      </c>
      <c r="S37" s="904"/>
      <c r="T37" s="904"/>
      <c r="U37" s="904"/>
      <c r="V37" s="904"/>
      <c r="W37" s="905"/>
      <c r="X37" s="903">
        <f>'meine Dünger'!C8</f>
        <v>0</v>
      </c>
      <c r="Y37" s="904"/>
      <c r="Z37" s="904"/>
      <c r="AA37" s="904"/>
      <c r="AB37" s="904"/>
      <c r="AC37" s="905"/>
      <c r="AD37" s="903">
        <f>'meine Dünger'!C9</f>
        <v>0</v>
      </c>
      <c r="AE37" s="904"/>
      <c r="AF37" s="904"/>
      <c r="AG37" s="904"/>
      <c r="AH37" s="904"/>
      <c r="AI37" s="905"/>
      <c r="AJ37" s="903">
        <f>'meine Dünger'!C10</f>
        <v>0</v>
      </c>
      <c r="AK37" s="904"/>
      <c r="AL37" s="904"/>
      <c r="AM37" s="904"/>
      <c r="AN37" s="904"/>
      <c r="AO37" s="905"/>
      <c r="AP37" s="903">
        <f>'meine Dünger'!C11</f>
        <v>0</v>
      </c>
      <c r="AQ37" s="904"/>
      <c r="AR37" s="904"/>
      <c r="AS37" s="904"/>
      <c r="AT37" s="904"/>
      <c r="AU37" s="905"/>
      <c r="AV37" s="903">
        <f>'meine Dünger'!C12</f>
        <v>0</v>
      </c>
      <c r="AW37" s="904"/>
      <c r="AX37" s="904"/>
      <c r="AY37" s="904"/>
      <c r="AZ37" s="904"/>
      <c r="BA37" s="905"/>
      <c r="BB37" s="903">
        <f>'meine Dünger'!C13</f>
        <v>0</v>
      </c>
      <c r="BC37" s="904"/>
      <c r="BD37" s="904"/>
      <c r="BE37" s="904"/>
      <c r="BF37" s="904"/>
      <c r="BG37" s="905"/>
      <c r="BH37" s="903">
        <f>'meine Dünger'!C14</f>
        <v>0</v>
      </c>
      <c r="BI37" s="904"/>
      <c r="BJ37" s="904"/>
      <c r="BK37" s="904"/>
      <c r="BL37" s="904"/>
      <c r="BM37" s="905"/>
      <c r="BN37" s="903">
        <f>'meine Dünger'!C15</f>
        <v>0</v>
      </c>
      <c r="BO37" s="904"/>
      <c r="BP37" s="904"/>
      <c r="BQ37" s="904"/>
      <c r="BR37" s="904"/>
      <c r="BS37" s="905"/>
      <c r="BT37" s="903">
        <f>'meine Dünger'!C16</f>
        <v>0</v>
      </c>
      <c r="BU37" s="904"/>
      <c r="BV37" s="904"/>
      <c r="BW37" s="904"/>
      <c r="BX37" s="904"/>
      <c r="BY37" s="905"/>
      <c r="BZ37" s="876"/>
      <c r="CA37" s="876"/>
      <c r="CB37" s="876"/>
      <c r="CC37" s="876"/>
      <c r="CD37" s="876"/>
      <c r="CE37" s="876"/>
      <c r="CF37" s="876"/>
    </row>
    <row r="38" spans="1:84" ht="13.5" thickBot="1">
      <c r="B38" s="808"/>
      <c r="C38" s="896" t="s">
        <v>849</v>
      </c>
      <c r="D38" s="897" t="s">
        <v>879</v>
      </c>
      <c r="E38" s="897"/>
      <c r="F38" s="897"/>
      <c r="G38" s="897"/>
      <c r="H38" s="897" t="s">
        <v>880</v>
      </c>
      <c r="I38" s="897" t="s">
        <v>881</v>
      </c>
      <c r="J38" s="898" t="s">
        <v>893</v>
      </c>
      <c r="K38" s="899" t="s">
        <v>623</v>
      </c>
      <c r="L38" s="897" t="s">
        <v>849</v>
      </c>
      <c r="M38" s="897" t="s">
        <v>879</v>
      </c>
      <c r="N38" s="897" t="s">
        <v>880</v>
      </c>
      <c r="O38" s="897" t="s">
        <v>881</v>
      </c>
      <c r="P38" s="898" t="s">
        <v>893</v>
      </c>
      <c r="Q38" s="899" t="s">
        <v>623</v>
      </c>
      <c r="R38" s="896" t="s">
        <v>849</v>
      </c>
      <c r="S38" s="897" t="s">
        <v>879</v>
      </c>
      <c r="T38" s="897" t="s">
        <v>880</v>
      </c>
      <c r="U38" s="897" t="s">
        <v>881</v>
      </c>
      <c r="V38" s="898" t="s">
        <v>893</v>
      </c>
      <c r="W38" s="899" t="s">
        <v>623</v>
      </c>
      <c r="X38" s="896" t="s">
        <v>849</v>
      </c>
      <c r="Y38" s="897" t="s">
        <v>879</v>
      </c>
      <c r="Z38" s="897" t="s">
        <v>880</v>
      </c>
      <c r="AA38" s="897" t="s">
        <v>881</v>
      </c>
      <c r="AB38" s="898" t="s">
        <v>893</v>
      </c>
      <c r="AC38" s="899" t="s">
        <v>623</v>
      </c>
      <c r="AD38" s="896" t="s">
        <v>849</v>
      </c>
      <c r="AE38" s="897" t="s">
        <v>879</v>
      </c>
      <c r="AF38" s="897" t="s">
        <v>880</v>
      </c>
      <c r="AG38" s="897" t="s">
        <v>881</v>
      </c>
      <c r="AH38" s="898" t="s">
        <v>893</v>
      </c>
      <c r="AI38" s="899" t="s">
        <v>623</v>
      </c>
      <c r="AJ38" s="896" t="s">
        <v>849</v>
      </c>
      <c r="AK38" s="897" t="s">
        <v>899</v>
      </c>
      <c r="AL38" s="897" t="s">
        <v>900</v>
      </c>
      <c r="AM38" s="897" t="s">
        <v>901</v>
      </c>
      <c r="AN38" s="898" t="s">
        <v>893</v>
      </c>
      <c r="AO38" s="899" t="s">
        <v>623</v>
      </c>
      <c r="AP38" s="896" t="s">
        <v>849</v>
      </c>
      <c r="AQ38" s="897" t="s">
        <v>902</v>
      </c>
      <c r="AR38" s="897" t="s">
        <v>903</v>
      </c>
      <c r="AS38" s="897" t="s">
        <v>904</v>
      </c>
      <c r="AT38" s="898" t="s">
        <v>893</v>
      </c>
      <c r="AU38" s="899" t="s">
        <v>623</v>
      </c>
      <c r="AV38" s="896" t="s">
        <v>849</v>
      </c>
      <c r="AW38" s="897" t="s">
        <v>905</v>
      </c>
      <c r="AX38" s="897" t="s">
        <v>906</v>
      </c>
      <c r="AY38" s="897" t="s">
        <v>907</v>
      </c>
      <c r="AZ38" s="898" t="s">
        <v>893</v>
      </c>
      <c r="BA38" s="899" t="s">
        <v>623</v>
      </c>
      <c r="BB38" s="896" t="s">
        <v>849</v>
      </c>
      <c r="BC38" s="897" t="s">
        <v>908</v>
      </c>
      <c r="BD38" s="897" t="s">
        <v>909</v>
      </c>
      <c r="BE38" s="897" t="s">
        <v>910</v>
      </c>
      <c r="BF38" s="898" t="s">
        <v>893</v>
      </c>
      <c r="BG38" s="899" t="s">
        <v>623</v>
      </c>
      <c r="BH38" s="896" t="s">
        <v>849</v>
      </c>
      <c r="BI38" s="897" t="s">
        <v>911</v>
      </c>
      <c r="BJ38" s="897" t="s">
        <v>912</v>
      </c>
      <c r="BK38" s="897" t="s">
        <v>913</v>
      </c>
      <c r="BL38" s="898" t="s">
        <v>893</v>
      </c>
      <c r="BM38" s="899" t="s">
        <v>623</v>
      </c>
      <c r="BN38" s="896" t="s">
        <v>849</v>
      </c>
      <c r="BO38" s="897" t="s">
        <v>914</v>
      </c>
      <c r="BP38" s="897" t="s">
        <v>915</v>
      </c>
      <c r="BQ38" s="897" t="s">
        <v>916</v>
      </c>
      <c r="BR38" s="898" t="s">
        <v>893</v>
      </c>
      <c r="BS38" s="899" t="s">
        <v>623</v>
      </c>
      <c r="BT38" s="896" t="s">
        <v>849</v>
      </c>
      <c r="BU38" s="897" t="s">
        <v>917</v>
      </c>
      <c r="BV38" s="897" t="s">
        <v>918</v>
      </c>
      <c r="BW38" s="897" t="s">
        <v>919</v>
      </c>
      <c r="BX38" s="898" t="s">
        <v>893</v>
      </c>
      <c r="BY38" s="899" t="s">
        <v>623</v>
      </c>
      <c r="BZ38" s="877"/>
      <c r="CA38" s="877"/>
      <c r="CB38" s="877"/>
      <c r="CC38" s="877"/>
      <c r="CD38" s="877"/>
      <c r="CE38" s="877"/>
      <c r="CF38" s="877"/>
    </row>
    <row r="39" spans="1:84" ht="12.75">
      <c r="B39" s="811" t="s">
        <v>883</v>
      </c>
      <c r="C39" s="850">
        <f>IF(Acker!J5=$C$37,Acker!K5*Acker!C5,0)</f>
        <v>0</v>
      </c>
      <c r="D39" s="894">
        <f>IF(Acker!L5=$C$37,Acker!M5*Acker!C5,0)</f>
        <v>0</v>
      </c>
      <c r="E39" s="894"/>
      <c r="F39" s="894"/>
      <c r="G39" s="894"/>
      <c r="H39" s="894">
        <f>IF(Acker!N5=$C$37,Acker!O5*Acker!C5,0)</f>
        <v>0</v>
      </c>
      <c r="I39" s="894">
        <f>IF(Acker!P5=$C$37,Acker!Q5*Acker!C5,0)</f>
        <v>0</v>
      </c>
      <c r="J39" s="895">
        <f>IF(Acker!R5=$C$37,Acker!S5*Acker!C5,0)</f>
        <v>0</v>
      </c>
      <c r="K39" s="848">
        <f>SUM(C39:J39)</f>
        <v>0</v>
      </c>
      <c r="L39" s="842">
        <f>IF(Acker!J5=$L$37,Acker!K5*Acker!C5,0)</f>
        <v>0</v>
      </c>
      <c r="M39" s="841">
        <f>IF(Acker!L5=$L$37,Acker!M5*Acker!C5,0)</f>
        <v>0</v>
      </c>
      <c r="N39" s="841">
        <f>IF(Acker!N5=$L$37,Acker!O5*Acker!C5,0)</f>
        <v>0</v>
      </c>
      <c r="O39" s="841">
        <f>IF(Acker!P5=$L$37,Acker!Q5*Acker!C5,0)</f>
        <v>0</v>
      </c>
      <c r="P39" s="841">
        <f>IF(Acker!R5=$L$37,Acker!S5*Acker!C5,0)</f>
        <v>0</v>
      </c>
      <c r="Q39" s="1417">
        <f t="shared" ref="Q39" si="45">SUM(L39:P39)</f>
        <v>0</v>
      </c>
      <c r="R39" s="843">
        <f>IF(Acker!J5=$R$37,Acker!K5*Acker!C5,0)</f>
        <v>0</v>
      </c>
      <c r="S39" s="841">
        <f>IF(Acker!L5=$R$37,Acker!M5*Acker!C5,0)</f>
        <v>0</v>
      </c>
      <c r="T39" s="841">
        <f>IF(Acker!N5=$R$37,Acker!O5*Acker!C5,0)</f>
        <v>0</v>
      </c>
      <c r="U39" s="841">
        <f>IF(Acker!P5=$R$37,Acker!Q5*Acker!C5,0)</f>
        <v>0</v>
      </c>
      <c r="V39" s="841">
        <f>IF(Acker!R5=$R$37,Acker!S5*Acker!C5,0)</f>
        <v>0</v>
      </c>
      <c r="W39" s="1417">
        <f t="shared" ref="W39" si="46">SUM(R39:V39)</f>
        <v>0</v>
      </c>
      <c r="X39" s="843">
        <f>IF(Acker!J5=$X$37,Acker!K5*Acker!C5,0)</f>
        <v>0</v>
      </c>
      <c r="Y39" s="841">
        <f>IF(Acker!L5=$X$37,Acker!M5*Acker!C5,0)</f>
        <v>0</v>
      </c>
      <c r="Z39" s="841">
        <f>IF(Acker!N5=$X$37,Acker!O5*Acker!C5,0)</f>
        <v>0</v>
      </c>
      <c r="AA39" s="841">
        <f>IF(Acker!P5=$X$37,Acker!Q5*Acker!C5,0)</f>
        <v>0</v>
      </c>
      <c r="AB39" s="841">
        <f>IF(Acker!R5=$X$37,Acker!S5*Acker!C5,0)</f>
        <v>0</v>
      </c>
      <c r="AC39" s="1417">
        <f t="shared" ref="AC39" si="47">SUM(X39:AB39)</f>
        <v>0</v>
      </c>
      <c r="AD39" s="843">
        <f>IF(Acker!J5=$AD$37,Acker!K5*Acker!C5,0)</f>
        <v>0</v>
      </c>
      <c r="AE39" s="841">
        <f>IF(Acker!L5=$AD$37,Acker!M5*Acker!C5,0)</f>
        <v>0</v>
      </c>
      <c r="AF39" s="841">
        <f>IF(Acker!N5=$AD$37,Acker!O5*Acker!C5,0)</f>
        <v>0</v>
      </c>
      <c r="AG39" s="841">
        <f>IF(Acker!P5=$AD$37,Acker!Q5*Acker!C5,0)</f>
        <v>0</v>
      </c>
      <c r="AH39" s="841">
        <f>IF(Acker!R5=$AD$37,Acker!S5*Acker!C5,0)</f>
        <v>0</v>
      </c>
      <c r="AI39" s="1417">
        <f t="shared" ref="AI39" si="48">SUM(AD39:AH39)</f>
        <v>0</v>
      </c>
      <c r="AJ39" s="843">
        <f>IF(Acker!J5=$AJ$37,Acker!K5*Acker!C5,0)</f>
        <v>0</v>
      </c>
      <c r="AK39" s="841">
        <f>IF(Acker!L5=$AJ$37,Acker!M5*Acker!C5,0)</f>
        <v>0</v>
      </c>
      <c r="AL39" s="841">
        <f>IF(Acker!N5=$AJ$37,Acker!O5*Acker!C5,0)</f>
        <v>0</v>
      </c>
      <c r="AM39" s="841">
        <f>IF(Acker!P5=$AJ$37,Acker!Q5*Acker!C5,0)</f>
        <v>0</v>
      </c>
      <c r="AN39" s="841">
        <f>IF(Acker!R5=$AJ$37,Acker!S5*Acker!C5,0)</f>
        <v>0</v>
      </c>
      <c r="AO39" s="1417">
        <f t="shared" ref="AO39" si="49">SUM(AJ39:AN39)</f>
        <v>0</v>
      </c>
      <c r="AP39" s="843">
        <f>IF(Acker!J5=$AP$37,Acker!K5*Acker!C5,0)</f>
        <v>0</v>
      </c>
      <c r="AQ39" s="841">
        <f>IF(Acker!L5=$AP$37,Acker!M5*Acker!C5,0)</f>
        <v>0</v>
      </c>
      <c r="AR39" s="841">
        <f>IF(Acker!N5=$AP$37,Acker!O5*Acker!C5,0)</f>
        <v>0</v>
      </c>
      <c r="AS39" s="841">
        <f>IF(Acker!P5=$AP$37,Acker!Q5*Acker!C5,0)</f>
        <v>0</v>
      </c>
      <c r="AT39" s="841">
        <f>IF(Acker!R5=$AP$37,Acker!S5*Acker!C5,0)</f>
        <v>0</v>
      </c>
      <c r="AU39" s="1417">
        <f t="shared" ref="AU39" si="50">SUM(AP39:AT39)</f>
        <v>0</v>
      </c>
      <c r="AV39" s="843">
        <f>IF(Acker!J5=$AV$37,Acker!K5*Acker!C5,0)</f>
        <v>0</v>
      </c>
      <c r="AW39" s="841">
        <f>IF(Acker!L5=$AV$37,Acker!M5*Acker!C5,0)</f>
        <v>0</v>
      </c>
      <c r="AX39" s="841">
        <f>IF(Acker!N5=$AV$37,Acker!O5*Acker!C5,0)</f>
        <v>0</v>
      </c>
      <c r="AY39" s="841">
        <f>IF(Acker!P5=$AV$37,Acker!Q5*Acker!C5,0)</f>
        <v>0</v>
      </c>
      <c r="AZ39" s="841">
        <f>IF(Acker!R5=$AV$37,Acker!S5*Acker!C5,0)</f>
        <v>0</v>
      </c>
      <c r="BA39" s="1417">
        <f t="shared" ref="BA39" si="51">SUM(AV39:AZ39)</f>
        <v>0</v>
      </c>
      <c r="BB39" s="843">
        <f>IF(Acker!J5=$BB$37,Acker!K5*Acker!C5,0)</f>
        <v>0</v>
      </c>
      <c r="BC39" s="841">
        <f>IF(Acker!L5=$BB$37,Acker!M5*Acker!C5,0)</f>
        <v>0</v>
      </c>
      <c r="BD39" s="841">
        <f>IF(Acker!N5=$BB$37,Acker!O5*Acker!C5,0)</f>
        <v>0</v>
      </c>
      <c r="BE39" s="841">
        <f>IF(Acker!P5=$BB$37,Acker!Q5*Acker!C5,0)</f>
        <v>0</v>
      </c>
      <c r="BF39" s="841">
        <f>IF(Acker!R5=$BB$37,Acker!S5*Acker!C5,0)</f>
        <v>0</v>
      </c>
      <c r="BG39" s="1417">
        <f t="shared" ref="BG39" si="52">SUM(BB39:BF39)</f>
        <v>0</v>
      </c>
      <c r="BH39" s="843">
        <f>IF(Acker!J5=$BH$37,Acker!K5*Acker!C5,0)</f>
        <v>0</v>
      </c>
      <c r="BI39" s="841">
        <f>IF(Acker!L5=$BH$37,Acker!M5*Acker!C5,0)</f>
        <v>0</v>
      </c>
      <c r="BJ39" s="841">
        <f>IF(Acker!N5=$BH$37,Acker!O5*Acker!C5,0)</f>
        <v>0</v>
      </c>
      <c r="BK39" s="841">
        <f>IF(Acker!P5=$BH$37,Acker!Q5*Acker!C5,0)</f>
        <v>0</v>
      </c>
      <c r="BL39" s="847">
        <f>IF(Acker!R5=$BH$37,Acker!S5*Acker!C5,0)</f>
        <v>0</v>
      </c>
      <c r="BM39" s="1417">
        <f t="shared" ref="BM39" si="53">SUM(BH39:BL39)</f>
        <v>0</v>
      </c>
      <c r="BN39" s="842">
        <f>IF(Acker!J5=$BN$37,Acker!K5*Acker!C5,0)</f>
        <v>0</v>
      </c>
      <c r="BO39" s="841">
        <f>IF(Acker!L5=$BN$37,Acker!M5*Acker!C5,0)</f>
        <v>0</v>
      </c>
      <c r="BP39" s="841">
        <f>IF(Acker!N5=$BN$37,Acker!O5*Acker!C5,0)</f>
        <v>0</v>
      </c>
      <c r="BQ39" s="841">
        <f>IF(Acker!P5=$BN$37,Acker!Q5*Acker!C5,0)</f>
        <v>0</v>
      </c>
      <c r="BR39" s="841">
        <f>IF(Acker!R5=$BN$37,Acker!S5*Acker!C5,0)</f>
        <v>0</v>
      </c>
      <c r="BS39" s="1417">
        <f t="shared" ref="BS39" si="54">SUM(BN39:BR39)</f>
        <v>0</v>
      </c>
      <c r="BT39" s="843">
        <f>IF(Acker!J5=$BT$37,Acker!K5*Acker!C5,0)</f>
        <v>0</v>
      </c>
      <c r="BU39" s="841">
        <f>IF(Acker!L5=$BT$37,Acker!M5*Acker!C5,0)</f>
        <v>0</v>
      </c>
      <c r="BV39" s="841">
        <f>IF(Acker!N5=$BT$37,Acker!O5*Acker!C5,0)</f>
        <v>0</v>
      </c>
      <c r="BW39" s="841">
        <f>IF(Acker!P5=$BT$37,Acker!Q5*Acker!C5,0)</f>
        <v>0</v>
      </c>
      <c r="BX39" s="841">
        <f>IF(Acker!R5=$BT$37,Acker!S5*Acker!C5,0)</f>
        <v>0</v>
      </c>
      <c r="BY39" s="1417">
        <f t="shared" ref="BY39" si="55">SUM(BT39:BX39)</f>
        <v>0</v>
      </c>
      <c r="BZ39" s="877"/>
      <c r="CA39" s="877"/>
      <c r="CB39" s="877"/>
      <c r="CC39" s="877"/>
      <c r="CD39" s="877"/>
      <c r="CE39" s="877"/>
      <c r="CF39" s="877"/>
    </row>
    <row r="40" spans="1:84" ht="12.75">
      <c r="B40" s="811" t="s">
        <v>884</v>
      </c>
      <c r="C40" s="850">
        <f>IF(Acker!J6=$C$37,Acker!K6*Acker!C6,0)</f>
        <v>0</v>
      </c>
      <c r="D40" s="894">
        <f>IF(Acker!L6=$C$37,Acker!M6*Acker!C6,0)</f>
        <v>0</v>
      </c>
      <c r="E40" s="894"/>
      <c r="F40" s="894"/>
      <c r="G40" s="894"/>
      <c r="H40" s="894">
        <f>IF(Acker!N6=$C$37,Acker!O6*Acker!C6,0)</f>
        <v>0</v>
      </c>
      <c r="I40" s="894">
        <f>IF(Acker!P6=$C$37,Acker!Q6*Acker!C6,0)</f>
        <v>0</v>
      </c>
      <c r="J40" s="895">
        <f>IF(Acker!R6=$C$37,Acker!S6*Acker!C6,0)</f>
        <v>0</v>
      </c>
      <c r="K40" s="849">
        <f t="shared" ref="K40:K48" si="56">SUM(C40:J40)</f>
        <v>0</v>
      </c>
      <c r="L40" s="842">
        <f>IF(Acker!J6=$L$37,Acker!K6*Acker!C6,0)</f>
        <v>0</v>
      </c>
      <c r="M40" s="841">
        <f>IF(Acker!L6=$L$37,Acker!M6*Acker!C6,0)</f>
        <v>0</v>
      </c>
      <c r="N40" s="841">
        <f>IF(Acker!N6=$L$37,Acker!O6*Acker!C6,0)</f>
        <v>0</v>
      </c>
      <c r="O40" s="841">
        <f>IF(Acker!P6=$L$37,Acker!Q6*Acker!C6,0)</f>
        <v>0</v>
      </c>
      <c r="P40" s="841">
        <f>IF(Acker!R6=$L$37,Acker!S6*Acker!C6,0)</f>
        <v>0</v>
      </c>
      <c r="Q40" s="1418">
        <f t="shared" ref="Q40:Q50" si="57">SUM(L40:P40)</f>
        <v>0</v>
      </c>
      <c r="R40" s="843">
        <f>IF(Acker!J6=$R$37,Acker!K6*Acker!C6,0)</f>
        <v>0</v>
      </c>
      <c r="S40" s="841">
        <f>IF(Acker!L6=$R$37,Acker!M6*Acker!C6,0)</f>
        <v>0</v>
      </c>
      <c r="T40" s="841">
        <f>IF(Acker!N6=$R$37,Acker!O6*Acker!C6,0)</f>
        <v>0</v>
      </c>
      <c r="U40" s="841">
        <f>IF(Acker!P6=$R$37,Acker!Q6*Acker!C6,0)</f>
        <v>0</v>
      </c>
      <c r="V40" s="841">
        <f>IF(Acker!R6=$R$37,Acker!S6*Acker!C6,0)</f>
        <v>0</v>
      </c>
      <c r="W40" s="1418">
        <f t="shared" ref="W40:W50" si="58">SUM(R40:V40)</f>
        <v>0</v>
      </c>
      <c r="X40" s="843">
        <f>IF(Acker!J6=$X$37,Acker!K6*Acker!C6,0)</f>
        <v>0</v>
      </c>
      <c r="Y40" s="841">
        <f>IF(Acker!L6=$X$37,Acker!M6*Acker!C6,0)</f>
        <v>0</v>
      </c>
      <c r="Z40" s="841">
        <f>IF(Acker!N6=$X$37,Acker!O6*Acker!C6,0)</f>
        <v>0</v>
      </c>
      <c r="AA40" s="841">
        <f>IF(Acker!P6=$X$37,Acker!Q6*Acker!C6,0)</f>
        <v>0</v>
      </c>
      <c r="AB40" s="841">
        <f>IF(Acker!R6=$X$37,Acker!S6*Acker!C6,0)</f>
        <v>0</v>
      </c>
      <c r="AC40" s="1418">
        <f t="shared" ref="AC40:AC50" si="59">SUM(X40:AB40)</f>
        <v>0</v>
      </c>
      <c r="AD40" s="843">
        <f>IF(Acker!J6=$AD$37,Acker!K6*Acker!C6,0)</f>
        <v>0</v>
      </c>
      <c r="AE40" s="841">
        <f>IF(Acker!L6=$AD$37,Acker!M6*Acker!C6,0)</f>
        <v>0</v>
      </c>
      <c r="AF40" s="841">
        <f>IF(Acker!N6=$AD$37,Acker!O6*Acker!C6,0)</f>
        <v>0</v>
      </c>
      <c r="AG40" s="841">
        <f>IF(Acker!P6=$AD$37,Acker!Q6*Acker!C6,0)</f>
        <v>0</v>
      </c>
      <c r="AH40" s="841">
        <f>IF(Acker!R6=$AD$37,Acker!S6*Acker!C6,0)</f>
        <v>0</v>
      </c>
      <c r="AI40" s="1418">
        <f t="shared" ref="AI40:AI50" si="60">SUM(AD40:AH40)</f>
        <v>0</v>
      </c>
      <c r="AJ40" s="843">
        <f>IF(Acker!J6=$AJ$37,Acker!K6*Acker!C6,0)</f>
        <v>0</v>
      </c>
      <c r="AK40" s="841">
        <f>IF(Acker!L6=$AJ$37,Acker!M6*Acker!C6,0)</f>
        <v>0</v>
      </c>
      <c r="AL40" s="841">
        <f>IF(Acker!N6=$AJ$37,Acker!O6*Acker!C6,0)</f>
        <v>0</v>
      </c>
      <c r="AM40" s="841">
        <f>IF(Acker!P6=$AJ$37,Acker!Q6*Acker!C6,0)</f>
        <v>0</v>
      </c>
      <c r="AN40" s="841">
        <f>IF(Acker!R6=$AJ$37,Acker!S6*Acker!C6,0)</f>
        <v>0</v>
      </c>
      <c r="AO40" s="1418">
        <f t="shared" ref="AO40:AO50" si="61">SUM(AJ40:AN40)</f>
        <v>0</v>
      </c>
      <c r="AP40" s="843">
        <f>IF(Acker!J6=$AP$37,Acker!K6*Acker!C6,0)</f>
        <v>0</v>
      </c>
      <c r="AQ40" s="841">
        <f>IF(Acker!L6=$AP$37,Acker!M6*Acker!C6,0)</f>
        <v>0</v>
      </c>
      <c r="AR40" s="841">
        <f>IF(Acker!N6=$AP$37,Acker!O6*Acker!C6,0)</f>
        <v>0</v>
      </c>
      <c r="AS40" s="841">
        <f>IF(Acker!P6=$AP$37,Acker!Q6*Acker!C6,0)</f>
        <v>0</v>
      </c>
      <c r="AT40" s="841">
        <f>IF(Acker!R6=$AP$37,Acker!S6*Acker!C6,0)</f>
        <v>0</v>
      </c>
      <c r="AU40" s="1418">
        <f t="shared" ref="AU40:AU50" si="62">SUM(AP40:AT40)</f>
        <v>0</v>
      </c>
      <c r="AV40" s="843">
        <f>IF(Acker!J6=$AV$37,Acker!K6*Acker!C6,0)</f>
        <v>0</v>
      </c>
      <c r="AW40" s="841">
        <f>IF(Acker!L6=$AV$37,Acker!M6*Acker!C6,0)</f>
        <v>0</v>
      </c>
      <c r="AX40" s="841">
        <f>IF(Acker!N6=$AV$37,Acker!O6*Acker!C6,0)</f>
        <v>0</v>
      </c>
      <c r="AY40" s="841">
        <f>IF(Acker!P6=$AV$37,Acker!Q6*Acker!C6,0)</f>
        <v>0</v>
      </c>
      <c r="AZ40" s="841">
        <f>IF(Acker!R6=$AV$37,Acker!S6*Acker!C6,0)</f>
        <v>0</v>
      </c>
      <c r="BA40" s="1418">
        <f t="shared" ref="BA40:BA50" si="63">SUM(AV40:AZ40)</f>
        <v>0</v>
      </c>
      <c r="BB40" s="843">
        <f>IF(Acker!J6=$BB$37,Acker!K6*Acker!C6,0)</f>
        <v>0</v>
      </c>
      <c r="BC40" s="841">
        <f>IF(Acker!L6=$BB$37,Acker!M6*Acker!C6,0)</f>
        <v>0</v>
      </c>
      <c r="BD40" s="841">
        <f>IF(Acker!N6=$BB$37,Acker!O6*Acker!C6,0)</f>
        <v>0</v>
      </c>
      <c r="BE40" s="841">
        <f>IF(Acker!P6=$BB$37,Acker!Q6*Acker!C6,0)</f>
        <v>0</v>
      </c>
      <c r="BF40" s="841">
        <f>IF(Acker!R6=$BB$37,Acker!S6*Acker!C6,0)</f>
        <v>0</v>
      </c>
      <c r="BG40" s="1418">
        <f t="shared" ref="BG40:BG50" si="64">SUM(BB40:BF40)</f>
        <v>0</v>
      </c>
      <c r="BH40" s="843">
        <f>IF(Acker!J6=$BH$37,Acker!K6*Acker!C6,0)</f>
        <v>0</v>
      </c>
      <c r="BI40" s="841">
        <f>IF(Acker!L6=$BH$37,Acker!M6*Acker!C6,0)</f>
        <v>0</v>
      </c>
      <c r="BJ40" s="841">
        <f>IF(Acker!N6=$BH$37,Acker!O6*Acker!C6,0)</f>
        <v>0</v>
      </c>
      <c r="BK40" s="841">
        <f>IF(Acker!P6=$BH$37,Acker!Q6*Acker!C6,0)</f>
        <v>0</v>
      </c>
      <c r="BL40" s="847">
        <f>IF(Acker!R6=$BH$37,Acker!S6*Acker!C6,0)</f>
        <v>0</v>
      </c>
      <c r="BM40" s="1418">
        <f t="shared" ref="BM40:BM50" si="65">SUM(BH40:BL40)</f>
        <v>0</v>
      </c>
      <c r="BN40" s="842">
        <f>IF(Acker!J6=$BN$37,Acker!K6*Acker!C6,0)</f>
        <v>0</v>
      </c>
      <c r="BO40" s="841">
        <f>IF(Acker!L6=$BN$37,Acker!M6*Acker!C6,0)</f>
        <v>0</v>
      </c>
      <c r="BP40" s="841">
        <f>IF(Acker!N6=$BN$37,Acker!O6*Acker!C6,0)</f>
        <v>0</v>
      </c>
      <c r="BQ40" s="841">
        <f>IF(Acker!P6=$BN$37,Acker!Q6*Acker!C6,0)</f>
        <v>0</v>
      </c>
      <c r="BR40" s="841">
        <f>IF(Acker!R6=$BN$37,Acker!S6*Acker!C6,0)</f>
        <v>0</v>
      </c>
      <c r="BS40" s="1418">
        <f t="shared" ref="BS40:BS50" si="66">SUM(BN40:BR40)</f>
        <v>0</v>
      </c>
      <c r="BT40" s="843">
        <f>IF(Acker!J6=$BT$37,Acker!K6*Acker!C6,0)</f>
        <v>0</v>
      </c>
      <c r="BU40" s="841">
        <f>IF(Acker!L6=$BT$37,Acker!M6*Acker!C6,0)</f>
        <v>0</v>
      </c>
      <c r="BV40" s="841">
        <f>IF(Acker!N6=$BT$37,Acker!O6*Acker!C6,0)</f>
        <v>0</v>
      </c>
      <c r="BW40" s="841">
        <f>IF(Acker!P6=$BT$37,Acker!Q6*Acker!C6,0)</f>
        <v>0</v>
      </c>
      <c r="BX40" s="841">
        <f>IF(Acker!R6=$BT$37,Acker!S6*Acker!C6,0)</f>
        <v>0</v>
      </c>
      <c r="BY40" s="1418">
        <f t="shared" ref="BY40:BY50" si="67">SUM(BT40:BX40)</f>
        <v>0</v>
      </c>
      <c r="BZ40" s="877"/>
      <c r="CA40" s="877"/>
      <c r="CB40" s="877"/>
      <c r="CC40" s="877"/>
      <c r="CD40" s="877"/>
      <c r="CE40" s="877"/>
      <c r="CF40" s="877"/>
    </row>
    <row r="41" spans="1:84" ht="12.75">
      <c r="B41" s="811" t="s">
        <v>885</v>
      </c>
      <c r="C41" s="850">
        <f>IF(Acker!J7=$C$37,Acker!K7*Acker!C7,0)</f>
        <v>0</v>
      </c>
      <c r="D41" s="894">
        <f>IF(Acker!L7=$C$37,Acker!M7*Acker!C7,0)</f>
        <v>0</v>
      </c>
      <c r="E41" s="894"/>
      <c r="F41" s="894"/>
      <c r="G41" s="894"/>
      <c r="H41" s="894">
        <f>IF(Acker!N7=$C$37,Acker!O7*Acker!C7,0)</f>
        <v>0</v>
      </c>
      <c r="I41" s="894">
        <f>IF(Acker!P7=$C$37,Acker!Q7*Acker!C7,0)</f>
        <v>0</v>
      </c>
      <c r="J41" s="895">
        <f>IF(Acker!R7=$C$37,Acker!S7*Acker!C7,0)</f>
        <v>0</v>
      </c>
      <c r="K41" s="849">
        <f t="shared" si="56"/>
        <v>0</v>
      </c>
      <c r="L41" s="842">
        <f>IF(Acker!J7=$L$37,Acker!K7*Acker!C7,0)</f>
        <v>0</v>
      </c>
      <c r="M41" s="841">
        <f>IF(Acker!L7=$L$37,Acker!M7*Acker!C7,0)</f>
        <v>0</v>
      </c>
      <c r="N41" s="841">
        <f>IF(Acker!N7=$L$37,Acker!O7*Acker!C7,0)</f>
        <v>0</v>
      </c>
      <c r="O41" s="841">
        <f>IF(Acker!P7=$L$37,Acker!Q7*Acker!C7,0)</f>
        <v>0</v>
      </c>
      <c r="P41" s="841">
        <f>IF(Acker!R7=$L$37,Acker!S7*Acker!C7,0)</f>
        <v>0</v>
      </c>
      <c r="Q41" s="1418">
        <f t="shared" si="57"/>
        <v>0</v>
      </c>
      <c r="R41" s="843">
        <f>IF(Acker!J7=$R$37,Acker!K7*Acker!C7,0)</f>
        <v>0</v>
      </c>
      <c r="S41" s="841">
        <f>IF(Acker!L7=$R$37,Acker!M7*Acker!C7,0)</f>
        <v>0</v>
      </c>
      <c r="T41" s="841">
        <f>IF(Acker!N7=$R$37,Acker!O7*Acker!C7,0)</f>
        <v>0</v>
      </c>
      <c r="U41" s="841">
        <f>IF(Acker!P7=$R$37,Acker!Q7*Acker!C7,0)</f>
        <v>0</v>
      </c>
      <c r="V41" s="841">
        <f>IF(Acker!R7=$R$37,Acker!S7*Acker!C7,0)</f>
        <v>0</v>
      </c>
      <c r="W41" s="1418">
        <f t="shared" si="58"/>
        <v>0</v>
      </c>
      <c r="X41" s="843">
        <f>IF(Acker!J7=$X$37,Acker!K7*Acker!C7,0)</f>
        <v>0</v>
      </c>
      <c r="Y41" s="841">
        <f>IF(Acker!L7=$X$37,Acker!M7*Acker!C7,0)</f>
        <v>0</v>
      </c>
      <c r="Z41" s="841">
        <f>IF(Acker!N7=$X$37,Acker!O7*Acker!C7,0)</f>
        <v>0</v>
      </c>
      <c r="AA41" s="841">
        <f>IF(Acker!P7=$X$37,Acker!Q7*Acker!C7,0)</f>
        <v>0</v>
      </c>
      <c r="AB41" s="841">
        <f>IF(Acker!R7=$X$37,Acker!S7*Acker!C7,0)</f>
        <v>0</v>
      </c>
      <c r="AC41" s="1418">
        <f t="shared" si="59"/>
        <v>0</v>
      </c>
      <c r="AD41" s="843">
        <f>IF(Acker!J7=$AD$37,Acker!K7*Acker!C7,0)</f>
        <v>0</v>
      </c>
      <c r="AE41" s="841">
        <f>IF(Acker!L7=$AD$37,Acker!M7*Acker!C7,0)</f>
        <v>0</v>
      </c>
      <c r="AF41" s="841">
        <f>IF(Acker!N7=$AD$37,Acker!O7*Acker!C7,0)</f>
        <v>0</v>
      </c>
      <c r="AG41" s="841">
        <f>IF(Acker!P7=$AD$37,Acker!Q7*Acker!C7,0)</f>
        <v>0</v>
      </c>
      <c r="AH41" s="841">
        <f>IF(Acker!R7=$AD$37,Acker!S7*Acker!C7,0)</f>
        <v>0</v>
      </c>
      <c r="AI41" s="1418">
        <f t="shared" si="60"/>
        <v>0</v>
      </c>
      <c r="AJ41" s="843">
        <f>IF(Acker!J7=$AJ$37,Acker!K7*Acker!C7,0)</f>
        <v>0</v>
      </c>
      <c r="AK41" s="841">
        <f>IF(Acker!L7=$AJ$37,Acker!M7*Acker!C7,0)</f>
        <v>0</v>
      </c>
      <c r="AL41" s="841">
        <f>IF(Acker!N7=$AJ$37,Acker!O7*Acker!C7,0)</f>
        <v>0</v>
      </c>
      <c r="AM41" s="841">
        <f>IF(Acker!P7=$AJ$37,Acker!Q7*Acker!C7,0)</f>
        <v>0</v>
      </c>
      <c r="AN41" s="841">
        <f>IF(Acker!R7=$AJ$37,Acker!S7*Acker!C7,0)</f>
        <v>0</v>
      </c>
      <c r="AO41" s="1418">
        <f t="shared" si="61"/>
        <v>0</v>
      </c>
      <c r="AP41" s="843">
        <f>IF(Acker!J7=$AP$37,Acker!K7*Acker!C7,0)</f>
        <v>0</v>
      </c>
      <c r="AQ41" s="841">
        <f>IF(Acker!L7=$AP$37,Acker!M7*Acker!C7,0)</f>
        <v>0</v>
      </c>
      <c r="AR41" s="841">
        <f>IF(Acker!N7=$AP$37,Acker!O7*Acker!C7,0)</f>
        <v>0</v>
      </c>
      <c r="AS41" s="841">
        <f>IF(Acker!P7=$AP$37,Acker!Q7*Acker!C7,0)</f>
        <v>0</v>
      </c>
      <c r="AT41" s="841">
        <f>IF(Acker!R7=$AP$37,Acker!S7*Acker!C7,0)</f>
        <v>0</v>
      </c>
      <c r="AU41" s="1418">
        <f t="shared" si="62"/>
        <v>0</v>
      </c>
      <c r="AV41" s="843">
        <f>IF(Acker!J7=$AV$37,Acker!K7*Acker!C7,0)</f>
        <v>0</v>
      </c>
      <c r="AW41" s="841">
        <f>IF(Acker!L7=$AV$37,Acker!M7*Acker!C7,0)</f>
        <v>0</v>
      </c>
      <c r="AX41" s="841">
        <f>IF(Acker!N7=$AV$37,Acker!O7*Acker!C7,0)</f>
        <v>0</v>
      </c>
      <c r="AY41" s="841">
        <f>IF(Acker!P7=$AV$37,Acker!Q7*Acker!C7,0)</f>
        <v>0</v>
      </c>
      <c r="AZ41" s="841">
        <f>IF(Acker!R7=$AV$37,Acker!S7*Acker!C7,0)</f>
        <v>0</v>
      </c>
      <c r="BA41" s="1418">
        <f t="shared" si="63"/>
        <v>0</v>
      </c>
      <c r="BB41" s="843">
        <f>IF(Acker!J7=$BB$37,Acker!K7*Acker!C7,0)</f>
        <v>0</v>
      </c>
      <c r="BC41" s="841">
        <f>IF(Acker!L7=$BB$37,Acker!M7*Acker!C7,0)</f>
        <v>0</v>
      </c>
      <c r="BD41" s="841">
        <f>IF(Acker!N7=$BB$37,Acker!O7*Acker!C7,0)</f>
        <v>0</v>
      </c>
      <c r="BE41" s="841">
        <f>IF(Acker!P7=$BB$37,Acker!Q7*Acker!C7,0)</f>
        <v>0</v>
      </c>
      <c r="BF41" s="841">
        <f>IF(Acker!R7=$BB$37,Acker!S7*Acker!C7,0)</f>
        <v>0</v>
      </c>
      <c r="BG41" s="1418">
        <f t="shared" si="64"/>
        <v>0</v>
      </c>
      <c r="BH41" s="843">
        <f>IF(Acker!J7=$BH$37,Acker!K7*Acker!C7,0)</f>
        <v>0</v>
      </c>
      <c r="BI41" s="841">
        <f>IF(Acker!L7=$BH$37,Acker!M7*Acker!C7,0)</f>
        <v>0</v>
      </c>
      <c r="BJ41" s="841">
        <f>IF(Acker!N7=$BH$37,Acker!O7*Acker!C7,0)</f>
        <v>0</v>
      </c>
      <c r="BK41" s="841">
        <f>IF(Acker!P7=$BH$37,Acker!Q7*Acker!C7,0)</f>
        <v>0</v>
      </c>
      <c r="BL41" s="847">
        <f>IF(Acker!R7=$BH$37,Acker!S7*Acker!C7,0)</f>
        <v>0</v>
      </c>
      <c r="BM41" s="1418">
        <f t="shared" si="65"/>
        <v>0</v>
      </c>
      <c r="BN41" s="842">
        <f>IF(Acker!J7=$BN$37,Acker!K7*Acker!C7,0)</f>
        <v>0</v>
      </c>
      <c r="BO41" s="841">
        <f>IF(Acker!L7=$BN$37,Acker!M7*Acker!C7,0)</f>
        <v>0</v>
      </c>
      <c r="BP41" s="841">
        <f>IF(Acker!N7=$BN$37,Acker!O7*Acker!C7,0)</f>
        <v>0</v>
      </c>
      <c r="BQ41" s="841">
        <f>IF(Acker!P7=$BN$37,Acker!Q7*Acker!C7,0)</f>
        <v>0</v>
      </c>
      <c r="BR41" s="841">
        <f>IF(Acker!R7=$BN$37,Acker!S7*Acker!C7,0)</f>
        <v>0</v>
      </c>
      <c r="BS41" s="1418">
        <f t="shared" si="66"/>
        <v>0</v>
      </c>
      <c r="BT41" s="843">
        <f>IF(Acker!J7=$BT$37,Acker!K7*Acker!C7,0)</f>
        <v>0</v>
      </c>
      <c r="BU41" s="841">
        <f>IF(Acker!L7=$BT$37,Acker!M7*Acker!C7,0)</f>
        <v>0</v>
      </c>
      <c r="BV41" s="841">
        <f>IF(Acker!N7=$BT$37,Acker!O7*Acker!C7,0)</f>
        <v>0</v>
      </c>
      <c r="BW41" s="841">
        <f>IF(Acker!P7=$BT$37,Acker!Q7*Acker!C7,0)</f>
        <v>0</v>
      </c>
      <c r="BX41" s="841">
        <f>IF(Acker!R7=$BT$37,Acker!S7*Acker!C7,0)</f>
        <v>0</v>
      </c>
      <c r="BY41" s="1418">
        <f t="shared" si="67"/>
        <v>0</v>
      </c>
      <c r="BZ41" s="877"/>
      <c r="CA41" s="877"/>
      <c r="CB41" s="877"/>
      <c r="CC41" s="877"/>
      <c r="CD41" s="877"/>
      <c r="CE41" s="877"/>
      <c r="CF41" s="877"/>
    </row>
    <row r="42" spans="1:84" ht="12.75">
      <c r="B42" s="811" t="s">
        <v>886</v>
      </c>
      <c r="C42" s="850">
        <f>IF(Acker!J8=$C$37,Acker!K8*Acker!C8,0)</f>
        <v>0</v>
      </c>
      <c r="D42" s="894">
        <f>IF(Acker!L8=$C$37,Acker!M8*Acker!C8,0)</f>
        <v>0</v>
      </c>
      <c r="E42" s="894"/>
      <c r="F42" s="894"/>
      <c r="G42" s="894"/>
      <c r="H42" s="894">
        <f>IF(Acker!N8=$C$37,Acker!O8*Acker!C8,0)</f>
        <v>0</v>
      </c>
      <c r="I42" s="894">
        <f>IF(Acker!P8=$C$37,Acker!Q8*Acker!C8,0)</f>
        <v>0</v>
      </c>
      <c r="J42" s="895">
        <f>IF(Acker!R8=$C$37,Acker!S8*Acker!C8,0)</f>
        <v>0</v>
      </c>
      <c r="K42" s="849">
        <f t="shared" si="56"/>
        <v>0</v>
      </c>
      <c r="L42" s="842">
        <f>IF(Acker!J8=$L$37,Acker!K8*Acker!C8,0)</f>
        <v>0</v>
      </c>
      <c r="M42" s="841">
        <f>IF(Acker!L8=$L$37,Acker!M8*Acker!C8,0)</f>
        <v>0</v>
      </c>
      <c r="N42" s="841">
        <f>IF(Acker!N8=$L$37,Acker!O8*Acker!C8,0)</f>
        <v>0</v>
      </c>
      <c r="O42" s="841">
        <f>IF(Acker!P8=$L$37,Acker!Q8*Acker!C8,0)</f>
        <v>0</v>
      </c>
      <c r="P42" s="841">
        <f>IF(Acker!R8=$L$37,Acker!S8*Acker!C8,0)</f>
        <v>0</v>
      </c>
      <c r="Q42" s="1418">
        <f t="shared" si="57"/>
        <v>0</v>
      </c>
      <c r="R42" s="843">
        <f>IF(Acker!J8=$R$37,Acker!K8*Acker!C8,0)</f>
        <v>0</v>
      </c>
      <c r="S42" s="841">
        <f>IF(Acker!L8=$R$37,Acker!M8*Acker!C8,0)</f>
        <v>0</v>
      </c>
      <c r="T42" s="841">
        <f>IF(Acker!N8=$R$37,Acker!O8*Acker!C8,0)</f>
        <v>0</v>
      </c>
      <c r="U42" s="841">
        <f>IF(Acker!P8=$R$37,Acker!Q8*Acker!C8,0)</f>
        <v>0</v>
      </c>
      <c r="V42" s="841">
        <f>IF(Acker!R8=$R$37,Acker!S8*Acker!C8,0)</f>
        <v>0</v>
      </c>
      <c r="W42" s="1418">
        <f t="shared" si="58"/>
        <v>0</v>
      </c>
      <c r="X42" s="843">
        <f>IF(Acker!J8=$X$37,Acker!K8*Acker!C8,0)</f>
        <v>0</v>
      </c>
      <c r="Y42" s="841">
        <f>IF(Acker!L8=$X$37,Acker!M8*Acker!C8,0)</f>
        <v>0</v>
      </c>
      <c r="Z42" s="841">
        <f>IF(Acker!N8=$X$37,Acker!O8*Acker!C8,0)</f>
        <v>0</v>
      </c>
      <c r="AA42" s="841">
        <f>IF(Acker!P8=$X$37,Acker!Q8*Acker!C8,0)</f>
        <v>0</v>
      </c>
      <c r="AB42" s="841">
        <f>IF(Acker!R8=$X$37,Acker!S8*Acker!C8,0)</f>
        <v>0</v>
      </c>
      <c r="AC42" s="1418">
        <f t="shared" si="59"/>
        <v>0</v>
      </c>
      <c r="AD42" s="843">
        <f>IF(Acker!J8=$AD$37,Acker!K8*Acker!C8,0)</f>
        <v>0</v>
      </c>
      <c r="AE42" s="841">
        <f>IF(Acker!L8=$AD$37,Acker!M8*Acker!C8,0)</f>
        <v>0</v>
      </c>
      <c r="AF42" s="841">
        <f>IF(Acker!N8=$AD$37,Acker!O8*Acker!C8,0)</f>
        <v>0</v>
      </c>
      <c r="AG42" s="841">
        <f>IF(Acker!P8=$AD$37,Acker!Q8*Acker!C8,0)</f>
        <v>0</v>
      </c>
      <c r="AH42" s="841">
        <f>IF(Acker!R8=$AD$37,Acker!S8*Acker!C8,0)</f>
        <v>0</v>
      </c>
      <c r="AI42" s="1418">
        <f t="shared" si="60"/>
        <v>0</v>
      </c>
      <c r="AJ42" s="843">
        <f>IF(Acker!J8=$AJ$37,Acker!K8*Acker!C8,0)</f>
        <v>0</v>
      </c>
      <c r="AK42" s="841">
        <f>IF(Acker!L8=$AJ$37,Acker!M8*Acker!C8,0)</f>
        <v>0</v>
      </c>
      <c r="AL42" s="841">
        <f>IF(Acker!N8=$AJ$37,Acker!O8*Acker!C8,0)</f>
        <v>0</v>
      </c>
      <c r="AM42" s="841">
        <f>IF(Acker!P8=$AJ$37,Acker!Q8*Acker!C8,0)</f>
        <v>0</v>
      </c>
      <c r="AN42" s="841">
        <f>IF(Acker!R8=$AJ$37,Acker!S8*Acker!C8,0)</f>
        <v>0</v>
      </c>
      <c r="AO42" s="1418">
        <f t="shared" si="61"/>
        <v>0</v>
      </c>
      <c r="AP42" s="843">
        <f>IF(Acker!J8=$AP$37,Acker!K8*Acker!C8,0)</f>
        <v>0</v>
      </c>
      <c r="AQ42" s="841">
        <f>IF(Acker!L8=$AP$37,Acker!M8*Acker!C8,0)</f>
        <v>0</v>
      </c>
      <c r="AR42" s="841">
        <f>IF(Acker!N8=$AP$37,Acker!O8*Acker!C8,0)</f>
        <v>0</v>
      </c>
      <c r="AS42" s="841">
        <f>IF(Acker!P8=$AP$37,Acker!Q8*Acker!C8,0)</f>
        <v>0</v>
      </c>
      <c r="AT42" s="841">
        <f>IF(Acker!R8=$AP$37,Acker!S8*Acker!C8,0)</f>
        <v>0</v>
      </c>
      <c r="AU42" s="1418">
        <f t="shared" si="62"/>
        <v>0</v>
      </c>
      <c r="AV42" s="843">
        <f>IF(Acker!J8=$AV$37,Acker!K8*Acker!C8,0)</f>
        <v>0</v>
      </c>
      <c r="AW42" s="841">
        <f>IF(Acker!L8=$AV$37,Acker!M8*Acker!C8,0)</f>
        <v>0</v>
      </c>
      <c r="AX42" s="841">
        <f>IF(Acker!N8=$AV$37,Acker!O8*Acker!C8,0)</f>
        <v>0</v>
      </c>
      <c r="AY42" s="841">
        <f>IF(Acker!P8=$AV$37,Acker!Q8*Acker!C8,0)</f>
        <v>0</v>
      </c>
      <c r="AZ42" s="841">
        <f>IF(Acker!R8=$AV$37,Acker!S8*Acker!C8,0)</f>
        <v>0</v>
      </c>
      <c r="BA42" s="1418">
        <f t="shared" si="63"/>
        <v>0</v>
      </c>
      <c r="BB42" s="843">
        <f>IF(Acker!J8=$BB$37,Acker!K8*Acker!C8,0)</f>
        <v>0</v>
      </c>
      <c r="BC42" s="841">
        <f>IF(Acker!L8=$BB$37,Acker!M8*Acker!C8,0)</f>
        <v>0</v>
      </c>
      <c r="BD42" s="841">
        <f>IF(Acker!N8=$BB$37,Acker!O8*Acker!C8,0)</f>
        <v>0</v>
      </c>
      <c r="BE42" s="841">
        <f>IF(Acker!P8=$BB$37,Acker!Q8*Acker!C8,0)</f>
        <v>0</v>
      </c>
      <c r="BF42" s="841">
        <f>IF(Acker!R8=$BB$37,Acker!S8*Acker!C8,0)</f>
        <v>0</v>
      </c>
      <c r="BG42" s="1418">
        <f t="shared" si="64"/>
        <v>0</v>
      </c>
      <c r="BH42" s="843">
        <f>IF(Acker!J8=$BH$37,Acker!K8*Acker!C8,0)</f>
        <v>0</v>
      </c>
      <c r="BI42" s="841">
        <f>IF(Acker!L8=$BH$37,Acker!M8*Acker!C8,0)</f>
        <v>0</v>
      </c>
      <c r="BJ42" s="841">
        <f>IF(Acker!N8=$BH$37,Acker!O8*Acker!C8,0)</f>
        <v>0</v>
      </c>
      <c r="BK42" s="841">
        <f>IF(Acker!P8=$BH$37,Acker!Q8*Acker!C8,0)</f>
        <v>0</v>
      </c>
      <c r="BL42" s="847">
        <f>IF(Acker!R8=$BH$37,Acker!S8*Acker!C8,0)</f>
        <v>0</v>
      </c>
      <c r="BM42" s="1418">
        <f t="shared" si="65"/>
        <v>0</v>
      </c>
      <c r="BN42" s="842">
        <f>IF(Acker!J8=$BN$37,Acker!K8*Acker!C8,0)</f>
        <v>0</v>
      </c>
      <c r="BO42" s="841">
        <f>IF(Acker!L8=$BN$37,Acker!M8*Acker!C8,0)</f>
        <v>0</v>
      </c>
      <c r="BP42" s="841">
        <f>IF(Acker!N8=$BN$37,Acker!O8*Acker!C8,0)</f>
        <v>0</v>
      </c>
      <c r="BQ42" s="841">
        <f>IF(Acker!P8=$BN$37,Acker!Q8*Acker!C8,0)</f>
        <v>0</v>
      </c>
      <c r="BR42" s="841">
        <f>IF(Acker!R8=$BN$37,Acker!S8*Acker!C8,0)</f>
        <v>0</v>
      </c>
      <c r="BS42" s="1418">
        <f t="shared" si="66"/>
        <v>0</v>
      </c>
      <c r="BT42" s="843">
        <f>IF(Acker!J8=$BT$37,Acker!K8*Acker!C8,0)</f>
        <v>0</v>
      </c>
      <c r="BU42" s="841">
        <f>IF(Acker!L8=$BT$37,Acker!M8*Acker!C8,0)</f>
        <v>0</v>
      </c>
      <c r="BV42" s="841">
        <f>IF(Acker!N8=$BT$37,Acker!O8*Acker!C8,0)</f>
        <v>0</v>
      </c>
      <c r="BW42" s="841">
        <f>IF(Acker!P8=$BT$37,Acker!Q8*Acker!C8,0)</f>
        <v>0</v>
      </c>
      <c r="BX42" s="841">
        <f>IF(Acker!R8=$BT$37,Acker!S8*Acker!C8,0)</f>
        <v>0</v>
      </c>
      <c r="BY42" s="1418">
        <f t="shared" si="67"/>
        <v>0</v>
      </c>
      <c r="BZ42" s="877"/>
      <c r="CA42" s="877"/>
      <c r="CB42" s="877"/>
      <c r="CC42" s="877"/>
      <c r="CD42" s="877"/>
      <c r="CE42" s="877"/>
      <c r="CF42" s="877"/>
    </row>
    <row r="43" spans="1:84" ht="12.75">
      <c r="B43" s="811" t="s">
        <v>887</v>
      </c>
      <c r="C43" s="850">
        <f>IF(Acker!J9=$C$37,Acker!K9*Acker!C9,0)</f>
        <v>0</v>
      </c>
      <c r="D43" s="894">
        <f>IF(Acker!L9=$C$37,Acker!M9*Acker!C9,0)</f>
        <v>0</v>
      </c>
      <c r="E43" s="894"/>
      <c r="F43" s="894"/>
      <c r="G43" s="894"/>
      <c r="H43" s="894">
        <f>IF(Acker!N9=$C$37,Acker!O9*Acker!C9,0)</f>
        <v>0</v>
      </c>
      <c r="I43" s="894">
        <f>IF(Acker!P9=$C$37,Acker!Q9*Acker!C9,0)</f>
        <v>0</v>
      </c>
      <c r="J43" s="895">
        <f>IF(Acker!R9=$C$37,Acker!S9*Acker!C9,0)</f>
        <v>0</v>
      </c>
      <c r="K43" s="849">
        <f t="shared" si="56"/>
        <v>0</v>
      </c>
      <c r="L43" s="842">
        <f>IF(Acker!J9=$L$37,Acker!K9*Acker!C9,0)</f>
        <v>0</v>
      </c>
      <c r="M43" s="841">
        <f>IF(Acker!L9=$L$37,Acker!M9*Acker!C9,0)</f>
        <v>0</v>
      </c>
      <c r="N43" s="841">
        <f>IF(Acker!N9=$L$37,Acker!O9*Acker!C9,0)</f>
        <v>0</v>
      </c>
      <c r="O43" s="841">
        <f>IF(Acker!P9=$L$37,Acker!Q9*Acker!C9,0)</f>
        <v>0</v>
      </c>
      <c r="P43" s="841">
        <f>IF(Acker!R9=$L$37,Acker!S9*Acker!C9,0)</f>
        <v>0</v>
      </c>
      <c r="Q43" s="1418">
        <f t="shared" si="57"/>
        <v>0</v>
      </c>
      <c r="R43" s="843">
        <f>IF(Acker!J9=$R$37,Acker!K9*Acker!C9,0)</f>
        <v>0</v>
      </c>
      <c r="S43" s="841">
        <f>IF(Acker!L9=$R$37,Acker!M9*Acker!C9,0)</f>
        <v>0</v>
      </c>
      <c r="T43" s="841">
        <f>IF(Acker!N9=$R$37,Acker!O9*Acker!C9,0)</f>
        <v>0</v>
      </c>
      <c r="U43" s="841">
        <f>IF(Acker!P9=$R$37,Acker!Q9*Acker!C9,0)</f>
        <v>0</v>
      </c>
      <c r="V43" s="841">
        <f>IF(Acker!R9=$R$37,Acker!S9*Acker!C9,0)</f>
        <v>0</v>
      </c>
      <c r="W43" s="1418">
        <f t="shared" si="58"/>
        <v>0</v>
      </c>
      <c r="X43" s="843">
        <f>IF(Acker!J9=$X$37,Acker!K9*Acker!C9,0)</f>
        <v>0</v>
      </c>
      <c r="Y43" s="841">
        <f>IF(Acker!L9=$X$37,Acker!M9*Acker!C9,0)</f>
        <v>0</v>
      </c>
      <c r="Z43" s="841">
        <f>IF(Acker!N9=$X$37,Acker!O9*Acker!C9,0)</f>
        <v>0</v>
      </c>
      <c r="AA43" s="841">
        <f>IF(Acker!P9=$X$37,Acker!Q9*Acker!C9,0)</f>
        <v>0</v>
      </c>
      <c r="AB43" s="841">
        <f>IF(Acker!R9=$X$37,Acker!S9*Acker!C9,0)</f>
        <v>0</v>
      </c>
      <c r="AC43" s="1418">
        <f t="shared" si="59"/>
        <v>0</v>
      </c>
      <c r="AD43" s="843">
        <f>IF(Acker!J9=$AD$37,Acker!K9*Acker!C9,0)</f>
        <v>0</v>
      </c>
      <c r="AE43" s="841">
        <f>IF(Acker!L9=$AD$37,Acker!M9*Acker!C9,0)</f>
        <v>0</v>
      </c>
      <c r="AF43" s="841">
        <f>IF(Acker!N9=$AD$37,Acker!O9*Acker!C9,0)</f>
        <v>0</v>
      </c>
      <c r="AG43" s="841">
        <f>IF(Acker!P9=$AD$37,Acker!Q9*Acker!C9,0)</f>
        <v>0</v>
      </c>
      <c r="AH43" s="841">
        <f>IF(Acker!R9=$AD$37,Acker!S9*Acker!C9,0)</f>
        <v>0</v>
      </c>
      <c r="AI43" s="1418">
        <f t="shared" si="60"/>
        <v>0</v>
      </c>
      <c r="AJ43" s="843">
        <f>IF(Acker!J9=$AJ$37,Acker!K9*Acker!C9,0)</f>
        <v>0</v>
      </c>
      <c r="AK43" s="841">
        <f>IF(Acker!L9=$AJ$37,Acker!M9*Acker!C9,0)</f>
        <v>0</v>
      </c>
      <c r="AL43" s="841">
        <f>IF(Acker!N9=$AJ$37,Acker!O9*Acker!C9,0)</f>
        <v>0</v>
      </c>
      <c r="AM43" s="841">
        <f>IF(Acker!P9=$AJ$37,Acker!Q9*Acker!C9,0)</f>
        <v>0</v>
      </c>
      <c r="AN43" s="841">
        <f>IF(Acker!R9=$AJ$37,Acker!S9*Acker!C9,0)</f>
        <v>0</v>
      </c>
      <c r="AO43" s="1418">
        <f t="shared" si="61"/>
        <v>0</v>
      </c>
      <c r="AP43" s="843">
        <f>IF(Acker!J9=$AP$37,Acker!K9*Acker!C9,0)</f>
        <v>0</v>
      </c>
      <c r="AQ43" s="841">
        <f>IF(Acker!L9=$AP$37,Acker!M9*Acker!C9,0)</f>
        <v>0</v>
      </c>
      <c r="AR43" s="841">
        <f>IF(Acker!N9=$AP$37,Acker!O9*Acker!C9,0)</f>
        <v>0</v>
      </c>
      <c r="AS43" s="841">
        <f>IF(Acker!P9=$AP$37,Acker!Q9*Acker!C9,0)</f>
        <v>0</v>
      </c>
      <c r="AT43" s="841">
        <f>IF(Acker!R9=$AP$37,Acker!S9*Acker!C9,0)</f>
        <v>0</v>
      </c>
      <c r="AU43" s="1418">
        <f t="shared" si="62"/>
        <v>0</v>
      </c>
      <c r="AV43" s="843">
        <f>IF(Acker!J9=$AV$37,Acker!K9*Acker!C9,0)</f>
        <v>0</v>
      </c>
      <c r="AW43" s="841">
        <f>IF(Acker!L9=$AV$37,Acker!M9*Acker!C9,0)</f>
        <v>0</v>
      </c>
      <c r="AX43" s="841">
        <f>IF(Acker!N9=$AV$37,Acker!O9*Acker!C9,0)</f>
        <v>0</v>
      </c>
      <c r="AY43" s="841">
        <f>IF(Acker!P9=$AV$37,Acker!Q9*Acker!C9,0)</f>
        <v>0</v>
      </c>
      <c r="AZ43" s="841">
        <f>IF(Acker!R9=$AV$37,Acker!S9*Acker!C9,0)</f>
        <v>0</v>
      </c>
      <c r="BA43" s="1418">
        <f t="shared" si="63"/>
        <v>0</v>
      </c>
      <c r="BB43" s="843">
        <f>IF(Acker!J9=$BB$37,Acker!K9*Acker!C9,0)</f>
        <v>0</v>
      </c>
      <c r="BC43" s="841">
        <f>IF(Acker!L9=$BB$37,Acker!M9*Acker!C9,0)</f>
        <v>0</v>
      </c>
      <c r="BD43" s="841">
        <f>IF(Acker!N9=$BB$37,Acker!O9*Acker!C9,0)</f>
        <v>0</v>
      </c>
      <c r="BE43" s="841">
        <f>IF(Acker!P9=$BB$37,Acker!Q9*Acker!C9,0)</f>
        <v>0</v>
      </c>
      <c r="BF43" s="841">
        <f>IF(Acker!R9=$BB$37,Acker!S9*Acker!C9,0)</f>
        <v>0</v>
      </c>
      <c r="BG43" s="1418">
        <f t="shared" si="64"/>
        <v>0</v>
      </c>
      <c r="BH43" s="843">
        <f>IF(Acker!J9=$BH$37,Acker!K9*Acker!C9,0)</f>
        <v>0</v>
      </c>
      <c r="BI43" s="841">
        <f>IF(Acker!L9=$BH$37,Acker!M9*Acker!C9,0)</f>
        <v>0</v>
      </c>
      <c r="BJ43" s="841">
        <f>IF(Acker!N9=$BH$37,Acker!O9*Acker!C9,0)</f>
        <v>0</v>
      </c>
      <c r="BK43" s="841">
        <f>IF(Acker!P9=$BH$37,Acker!Q9*Acker!C9,0)</f>
        <v>0</v>
      </c>
      <c r="BL43" s="847">
        <f>IF(Acker!R9=$BH$37,Acker!S9*Acker!C9,0)</f>
        <v>0</v>
      </c>
      <c r="BM43" s="1418">
        <f t="shared" si="65"/>
        <v>0</v>
      </c>
      <c r="BN43" s="842">
        <f>IF(Acker!J9=$BN$37,Acker!K9*Acker!C9,0)</f>
        <v>0</v>
      </c>
      <c r="BO43" s="841">
        <f>IF(Acker!L9=$BN$37,Acker!M9*Acker!C9,0)</f>
        <v>0</v>
      </c>
      <c r="BP43" s="841">
        <f>IF(Acker!N9=$BN$37,Acker!O9*Acker!C9,0)</f>
        <v>0</v>
      </c>
      <c r="BQ43" s="841">
        <f>IF(Acker!P9=$BN$37,Acker!Q9*Acker!C9,0)</f>
        <v>0</v>
      </c>
      <c r="BR43" s="841">
        <f>IF(Acker!R9=$BN$37,Acker!S9*Acker!C9,0)</f>
        <v>0</v>
      </c>
      <c r="BS43" s="1418">
        <f t="shared" si="66"/>
        <v>0</v>
      </c>
      <c r="BT43" s="843">
        <f>IF(Acker!J9=$BT$37,Acker!K9*Acker!C9,0)</f>
        <v>0</v>
      </c>
      <c r="BU43" s="841">
        <f>IF(Acker!L9=$BT$37,Acker!M9*Acker!C9,0)</f>
        <v>0</v>
      </c>
      <c r="BV43" s="841">
        <f>IF(Acker!N9=$BT$37,Acker!O9*Acker!C9,0)</f>
        <v>0</v>
      </c>
      <c r="BW43" s="841">
        <f>IF(Acker!P9=$BT$37,Acker!Q9*Acker!C9,0)</f>
        <v>0</v>
      </c>
      <c r="BX43" s="841">
        <f>IF(Acker!R9=$BT$37,Acker!S9*Acker!C9,0)</f>
        <v>0</v>
      </c>
      <c r="BY43" s="1418">
        <f t="shared" si="67"/>
        <v>0</v>
      </c>
      <c r="BZ43" s="877"/>
      <c r="CA43" s="877"/>
      <c r="CB43" s="877"/>
      <c r="CC43" s="877"/>
      <c r="CD43" s="877"/>
      <c r="CE43" s="877"/>
      <c r="CF43" s="877"/>
    </row>
    <row r="44" spans="1:84" ht="12.75">
      <c r="B44" s="811" t="s">
        <v>888</v>
      </c>
      <c r="C44" s="850">
        <f>IF(Acker!J10=$C$37,Acker!K10*Acker!C10,0)</f>
        <v>0</v>
      </c>
      <c r="D44" s="894">
        <f>IF(Acker!L10=$C$37,Acker!M10*Acker!C10,0)</f>
        <v>0</v>
      </c>
      <c r="E44" s="894"/>
      <c r="F44" s="894"/>
      <c r="G44" s="894"/>
      <c r="H44" s="894">
        <f>IF(Acker!N10=$C$37,Acker!O10*Acker!C10,0)</f>
        <v>0</v>
      </c>
      <c r="I44" s="894">
        <f>IF(Acker!P10=$C$37,Acker!Q10*Acker!C10,0)</f>
        <v>0</v>
      </c>
      <c r="J44" s="895">
        <f>IF(Acker!R10=$C$37,Acker!S10*Acker!C10,0)</f>
        <v>0</v>
      </c>
      <c r="K44" s="849">
        <f t="shared" si="56"/>
        <v>0</v>
      </c>
      <c r="L44" s="842">
        <f>IF(Acker!J10=$L$37,Acker!K10*Acker!C10,0)</f>
        <v>0</v>
      </c>
      <c r="M44" s="841">
        <f>IF(Acker!L10=$L$37,Acker!M10*Acker!C10,0)</f>
        <v>0</v>
      </c>
      <c r="N44" s="841">
        <f>IF(Acker!N10=$L$37,Acker!O10*Acker!C10,0)</f>
        <v>0</v>
      </c>
      <c r="O44" s="841">
        <f>IF(Acker!P10=$L$37,Acker!Q10*Acker!C10,0)</f>
        <v>0</v>
      </c>
      <c r="P44" s="841">
        <f>IF(Acker!R10=$L$37,Acker!S10*Acker!C10,0)</f>
        <v>0</v>
      </c>
      <c r="Q44" s="1418">
        <f t="shared" si="57"/>
        <v>0</v>
      </c>
      <c r="R44" s="843">
        <f>IF(Acker!J10=$R$37,Acker!K10*Acker!C10,0)</f>
        <v>0</v>
      </c>
      <c r="S44" s="841">
        <f>IF(Acker!L10=$R$37,Acker!M10*Acker!C10,0)</f>
        <v>0</v>
      </c>
      <c r="T44" s="841">
        <f>IF(Acker!N10=$R$37,Acker!O10*Acker!C10,0)</f>
        <v>0</v>
      </c>
      <c r="U44" s="841">
        <f>IF(Acker!P10=$R$37,Acker!Q10*Acker!C10,0)</f>
        <v>0</v>
      </c>
      <c r="V44" s="841">
        <f>IF(Acker!R10=$R$37,Acker!S10*Acker!C10,0)</f>
        <v>0</v>
      </c>
      <c r="W44" s="1418">
        <f t="shared" si="58"/>
        <v>0</v>
      </c>
      <c r="X44" s="843">
        <f>IF(Acker!J10=$X$37,Acker!K10*Acker!C10,0)</f>
        <v>0</v>
      </c>
      <c r="Y44" s="841">
        <f>IF(Acker!L10=$X$37,Acker!M10*Acker!C10,0)</f>
        <v>0</v>
      </c>
      <c r="Z44" s="841">
        <f>IF(Acker!N10=$X$37,Acker!O10*Acker!C10,0)</f>
        <v>0</v>
      </c>
      <c r="AA44" s="841">
        <f>IF(Acker!P10=$X$37,Acker!Q10*Acker!C10,0)</f>
        <v>0</v>
      </c>
      <c r="AB44" s="841">
        <f>IF(Acker!R10=$X$37,Acker!S10*Acker!C10,0)</f>
        <v>0</v>
      </c>
      <c r="AC44" s="1418">
        <f t="shared" si="59"/>
        <v>0</v>
      </c>
      <c r="AD44" s="843">
        <f>IF(Acker!J10=$AD$37,Acker!K10*Acker!C10,0)</f>
        <v>0</v>
      </c>
      <c r="AE44" s="841">
        <f>IF(Acker!L10=$AD$37,Acker!M10*Acker!C10,0)</f>
        <v>0</v>
      </c>
      <c r="AF44" s="841">
        <f>IF(Acker!N10=$AD$37,Acker!O10*Acker!C10,0)</f>
        <v>0</v>
      </c>
      <c r="AG44" s="841">
        <f>IF(Acker!P10=$AD$37,Acker!Q10*Acker!C10,0)</f>
        <v>0</v>
      </c>
      <c r="AH44" s="841">
        <f>IF(Acker!R10=$AD$37,Acker!S10*Acker!C10,0)</f>
        <v>0</v>
      </c>
      <c r="AI44" s="1418">
        <f t="shared" si="60"/>
        <v>0</v>
      </c>
      <c r="AJ44" s="843">
        <f>IF(Acker!J10=$AJ$37,Acker!K10*Acker!C10,0)</f>
        <v>0</v>
      </c>
      <c r="AK44" s="841">
        <f>IF(Acker!L10=$AJ$37,Acker!M10*Acker!C10,0)</f>
        <v>0</v>
      </c>
      <c r="AL44" s="841">
        <f>IF(Acker!N10=$AJ$37,Acker!O10*Acker!C10,0)</f>
        <v>0</v>
      </c>
      <c r="AM44" s="841">
        <f>IF(Acker!P10=$AJ$37,Acker!Q10*Acker!C10,0)</f>
        <v>0</v>
      </c>
      <c r="AN44" s="841">
        <f>IF(Acker!R10=$AJ$37,Acker!S10*Acker!C10,0)</f>
        <v>0</v>
      </c>
      <c r="AO44" s="1418">
        <f t="shared" si="61"/>
        <v>0</v>
      </c>
      <c r="AP44" s="843">
        <f>IF(Acker!J10=$AP$37,Acker!K10*Acker!C10,0)</f>
        <v>0</v>
      </c>
      <c r="AQ44" s="841">
        <f>IF(Acker!L10=$AP$37,Acker!M10*Acker!C10,0)</f>
        <v>0</v>
      </c>
      <c r="AR44" s="841">
        <f>IF(Acker!N10=$AP$37,Acker!O10*Acker!C10,0)</f>
        <v>0</v>
      </c>
      <c r="AS44" s="841">
        <f>IF(Acker!P10=$AP$37,Acker!Q10*Acker!C10,0)</f>
        <v>0</v>
      </c>
      <c r="AT44" s="841">
        <f>IF(Acker!R10=$AP$37,Acker!S10*Acker!C10,0)</f>
        <v>0</v>
      </c>
      <c r="AU44" s="1418">
        <f t="shared" si="62"/>
        <v>0</v>
      </c>
      <c r="AV44" s="843">
        <f>IF(Acker!J10=$AV$37,Acker!K10*Acker!C10,0)</f>
        <v>0</v>
      </c>
      <c r="AW44" s="841">
        <f>IF(Acker!L10=$AV$37,Acker!M10*Acker!C10,0)</f>
        <v>0</v>
      </c>
      <c r="AX44" s="841">
        <f>IF(Acker!N10=$AV$37,Acker!O10*Acker!C10,0)</f>
        <v>0</v>
      </c>
      <c r="AY44" s="841">
        <f>IF(Acker!P10=$AV$37,Acker!Q10*Acker!C10,0)</f>
        <v>0</v>
      </c>
      <c r="AZ44" s="841">
        <f>IF(Acker!R10=$AV$37,Acker!S10*Acker!C10,0)</f>
        <v>0</v>
      </c>
      <c r="BA44" s="1418">
        <f t="shared" si="63"/>
        <v>0</v>
      </c>
      <c r="BB44" s="843">
        <f>IF(Acker!J10=$BB$37,Acker!K10*Acker!C10,0)</f>
        <v>0</v>
      </c>
      <c r="BC44" s="841">
        <f>IF(Acker!L10=$BB$37,Acker!M10*Acker!C10,0)</f>
        <v>0</v>
      </c>
      <c r="BD44" s="841">
        <f>IF(Acker!N10=$BB$37,Acker!O10*Acker!C10,0)</f>
        <v>0</v>
      </c>
      <c r="BE44" s="841">
        <f>IF(Acker!P10=$BB$37,Acker!Q10*Acker!C10,0)</f>
        <v>0</v>
      </c>
      <c r="BF44" s="841">
        <f>IF(Acker!R10=$BB$37,Acker!S10*Acker!C10,0)</f>
        <v>0</v>
      </c>
      <c r="BG44" s="1418">
        <f t="shared" si="64"/>
        <v>0</v>
      </c>
      <c r="BH44" s="843">
        <f>IF(Acker!J10=$BH$37,Acker!K10*Acker!C10,0)</f>
        <v>0</v>
      </c>
      <c r="BI44" s="841">
        <f>IF(Acker!L10=$BH$37,Acker!M10*Acker!C10,0)</f>
        <v>0</v>
      </c>
      <c r="BJ44" s="841">
        <f>IF(Acker!N10=$BH$37,Acker!O10*Acker!C10,0)</f>
        <v>0</v>
      </c>
      <c r="BK44" s="841">
        <f>IF(Acker!P10=$BH$37,Acker!Q10*Acker!C10,0)</f>
        <v>0</v>
      </c>
      <c r="BL44" s="847">
        <f>IF(Acker!R10=$BH$37,Acker!S10*Acker!C10,0)</f>
        <v>0</v>
      </c>
      <c r="BM44" s="1418">
        <f t="shared" si="65"/>
        <v>0</v>
      </c>
      <c r="BN44" s="842">
        <f>IF(Acker!J10=$BN$37,Acker!K10*Acker!C10,0)</f>
        <v>0</v>
      </c>
      <c r="BO44" s="841">
        <f>IF(Acker!L10=$BN$37,Acker!M10*Acker!C10,0)</f>
        <v>0</v>
      </c>
      <c r="BP44" s="841">
        <f>IF(Acker!N10=$BN$37,Acker!O10*Acker!C10,0)</f>
        <v>0</v>
      </c>
      <c r="BQ44" s="841">
        <f>IF(Acker!P10=$BN$37,Acker!Q10*Acker!C10,0)</f>
        <v>0</v>
      </c>
      <c r="BR44" s="841">
        <f>IF(Acker!R10=$BN$37,Acker!S10*Acker!C10,0)</f>
        <v>0</v>
      </c>
      <c r="BS44" s="1418">
        <f t="shared" si="66"/>
        <v>0</v>
      </c>
      <c r="BT44" s="843">
        <f>IF(Acker!J10=$BT$37,Acker!K10*Acker!C10,0)</f>
        <v>0</v>
      </c>
      <c r="BU44" s="841">
        <f>IF(Acker!L10=$BT$37,Acker!M10*Acker!C10,0)</f>
        <v>0</v>
      </c>
      <c r="BV44" s="841">
        <f>IF(Acker!N10=$BT$37,Acker!O10*Acker!C10,0)</f>
        <v>0</v>
      </c>
      <c r="BW44" s="841">
        <f>IF(Acker!P10=$BT$37,Acker!Q10*Acker!C10,0)</f>
        <v>0</v>
      </c>
      <c r="BX44" s="841">
        <f>IF(Acker!R10=$BT$37,Acker!S10*Acker!C10,0)</f>
        <v>0</v>
      </c>
      <c r="BY44" s="1418">
        <f t="shared" si="67"/>
        <v>0</v>
      </c>
      <c r="BZ44" s="878"/>
      <c r="CA44" s="878"/>
      <c r="CB44" s="878"/>
      <c r="CC44" s="878"/>
      <c r="CD44" s="878"/>
      <c r="CE44" s="878"/>
      <c r="CF44" s="878"/>
    </row>
    <row r="45" spans="1:84" ht="12.75">
      <c r="B45" s="811" t="s">
        <v>889</v>
      </c>
      <c r="C45" s="850">
        <f>IF(Acker!J11=$C$37,Acker!K11*Acker!C11,0)</f>
        <v>0</v>
      </c>
      <c r="D45" s="894">
        <f>IF(Acker!L11=$C$37,Acker!M11*Acker!C11,0)</f>
        <v>0</v>
      </c>
      <c r="E45" s="894"/>
      <c r="F45" s="894"/>
      <c r="G45" s="894"/>
      <c r="H45" s="894">
        <f>IF(Acker!N11=$C$37,Acker!O11*Acker!C11,0)</f>
        <v>0</v>
      </c>
      <c r="I45" s="894">
        <f>IF(Acker!P11=$C$37,Acker!Q11*Acker!C11,0)</f>
        <v>0</v>
      </c>
      <c r="J45" s="895">
        <f>IF(Acker!R11=$C$37,Acker!S11*Acker!C11,0)</f>
        <v>0</v>
      </c>
      <c r="K45" s="849">
        <f t="shared" si="56"/>
        <v>0</v>
      </c>
      <c r="L45" s="842">
        <f>IF(Acker!J11=$L$37,Acker!K11*Acker!C11,0)</f>
        <v>0</v>
      </c>
      <c r="M45" s="841">
        <f>IF(Acker!L11=$L$37,Acker!M11*Acker!C11,0)</f>
        <v>0</v>
      </c>
      <c r="N45" s="841">
        <f>IF(Acker!N11=$L$37,Acker!O11*Acker!C11,0)</f>
        <v>0</v>
      </c>
      <c r="O45" s="841">
        <f>IF(Acker!P11=$L$37,Acker!Q11*Acker!C11,0)</f>
        <v>0</v>
      </c>
      <c r="P45" s="841">
        <f>IF(Acker!R11=$L$37,Acker!S11*Acker!C11,0)</f>
        <v>0</v>
      </c>
      <c r="Q45" s="1418">
        <f t="shared" si="57"/>
        <v>0</v>
      </c>
      <c r="R45" s="843">
        <f>IF(Acker!J11=$R$37,Acker!K11*Acker!C11,0)</f>
        <v>0</v>
      </c>
      <c r="S45" s="841">
        <f>IF(Acker!L11=$R$37,Acker!M11*Acker!C11,0)</f>
        <v>0</v>
      </c>
      <c r="T45" s="841">
        <f>IF(Acker!N11=$R$37,Acker!O11*Acker!C11,0)</f>
        <v>0</v>
      </c>
      <c r="U45" s="841">
        <f>IF(Acker!P11=$R$37,Acker!Q11*Acker!C11,0)</f>
        <v>0</v>
      </c>
      <c r="V45" s="841">
        <f>IF(Acker!R11=$R$37,Acker!S11*Acker!C11,0)</f>
        <v>0</v>
      </c>
      <c r="W45" s="1418">
        <f t="shared" si="58"/>
        <v>0</v>
      </c>
      <c r="X45" s="843">
        <f>IF(Acker!J11=$X$37,Acker!K11*Acker!C11,0)</f>
        <v>0</v>
      </c>
      <c r="Y45" s="841">
        <f>IF(Acker!L11=$X$37,Acker!M11*Acker!C11,0)</f>
        <v>0</v>
      </c>
      <c r="Z45" s="841">
        <f>IF(Acker!N11=$X$37,Acker!O11*Acker!C11,0)</f>
        <v>0</v>
      </c>
      <c r="AA45" s="841">
        <f>IF(Acker!P11=$X$37,Acker!Q11*Acker!C11,0)</f>
        <v>0</v>
      </c>
      <c r="AB45" s="841">
        <f>IF(Acker!R11=$X$37,Acker!S11*Acker!C11,0)</f>
        <v>0</v>
      </c>
      <c r="AC45" s="1418">
        <f t="shared" si="59"/>
        <v>0</v>
      </c>
      <c r="AD45" s="843">
        <f>IF(Acker!J11=$AD$37,Acker!K11*Acker!C11,0)</f>
        <v>0</v>
      </c>
      <c r="AE45" s="841">
        <f>IF(Acker!L11=$AD$37,Acker!M11*Acker!C11,0)</f>
        <v>0</v>
      </c>
      <c r="AF45" s="841">
        <f>IF(Acker!N11=$AD$37,Acker!O11*Acker!C11,0)</f>
        <v>0</v>
      </c>
      <c r="AG45" s="841">
        <f>IF(Acker!P11=$AD$37,Acker!Q11*Acker!C11,0)</f>
        <v>0</v>
      </c>
      <c r="AH45" s="841">
        <f>IF(Acker!R11=$AD$37,Acker!S11*Acker!C11,0)</f>
        <v>0</v>
      </c>
      <c r="AI45" s="1418">
        <f t="shared" si="60"/>
        <v>0</v>
      </c>
      <c r="AJ45" s="843">
        <f>IF(Acker!J11=$AJ$37,Acker!K11*Acker!C11,0)</f>
        <v>0</v>
      </c>
      <c r="AK45" s="841">
        <f>IF(Acker!L11=$AJ$37,Acker!M11*Acker!C11,0)</f>
        <v>0</v>
      </c>
      <c r="AL45" s="841">
        <f>IF(Acker!N11=$AJ$37,Acker!O11*Acker!C11,0)</f>
        <v>0</v>
      </c>
      <c r="AM45" s="841">
        <f>IF(Acker!P11=$AJ$37,Acker!Q11*Acker!C11,0)</f>
        <v>0</v>
      </c>
      <c r="AN45" s="841">
        <f>IF(Acker!R11=$AJ$37,Acker!S11*Acker!C11,0)</f>
        <v>0</v>
      </c>
      <c r="AO45" s="1418">
        <f t="shared" si="61"/>
        <v>0</v>
      </c>
      <c r="AP45" s="843">
        <f>IF(Acker!J11=$AP$37,Acker!K11*Acker!C11,0)</f>
        <v>0</v>
      </c>
      <c r="AQ45" s="841">
        <f>IF(Acker!L11=$AP$37,Acker!M11*Acker!C11,0)</f>
        <v>0</v>
      </c>
      <c r="AR45" s="841">
        <f>IF(Acker!N11=$AP$37,Acker!O11*Acker!C11,0)</f>
        <v>0</v>
      </c>
      <c r="AS45" s="841">
        <f>IF(Acker!P11=$AP$37,Acker!Q11*Acker!C11,0)</f>
        <v>0</v>
      </c>
      <c r="AT45" s="841">
        <f>IF(Acker!R11=$AP$37,Acker!S11*Acker!C11,0)</f>
        <v>0</v>
      </c>
      <c r="AU45" s="1418">
        <f t="shared" si="62"/>
        <v>0</v>
      </c>
      <c r="AV45" s="843">
        <f>IF(Acker!J11=$AV$37,Acker!K11*Acker!C11,0)</f>
        <v>0</v>
      </c>
      <c r="AW45" s="841">
        <f>IF(Acker!L11=$AV$37,Acker!M11*Acker!C11,0)</f>
        <v>0</v>
      </c>
      <c r="AX45" s="841">
        <f>IF(Acker!N11=$AV$37,Acker!O11*Acker!C11,0)</f>
        <v>0</v>
      </c>
      <c r="AY45" s="841">
        <f>IF(Acker!P11=$AV$37,Acker!Q11*Acker!C11,0)</f>
        <v>0</v>
      </c>
      <c r="AZ45" s="841">
        <f>IF(Acker!R11=$AV$37,Acker!S11*Acker!C11,0)</f>
        <v>0</v>
      </c>
      <c r="BA45" s="1418">
        <f t="shared" si="63"/>
        <v>0</v>
      </c>
      <c r="BB45" s="843">
        <f>IF(Acker!J11=$BB$37,Acker!K11*Acker!C11,0)</f>
        <v>0</v>
      </c>
      <c r="BC45" s="841">
        <f>IF(Acker!L11=$BB$37,Acker!M11*Acker!C11,0)</f>
        <v>0</v>
      </c>
      <c r="BD45" s="841">
        <f>IF(Acker!N11=$BB$37,Acker!O11*Acker!C11,0)</f>
        <v>0</v>
      </c>
      <c r="BE45" s="841">
        <f>IF(Acker!P11=$BB$37,Acker!Q11*Acker!C11,0)</f>
        <v>0</v>
      </c>
      <c r="BF45" s="841">
        <f>IF(Acker!R11=$BB$37,Acker!S11*Acker!C11,0)</f>
        <v>0</v>
      </c>
      <c r="BG45" s="1418">
        <f t="shared" si="64"/>
        <v>0</v>
      </c>
      <c r="BH45" s="843">
        <f>IF(Acker!J11=$BH$37,Acker!K11*Acker!C11,0)</f>
        <v>0</v>
      </c>
      <c r="BI45" s="841">
        <f>IF(Acker!L11=$BH$37,Acker!M11*Acker!C11,0)</f>
        <v>0</v>
      </c>
      <c r="BJ45" s="841">
        <f>IF(Acker!N11=$BH$37,Acker!O11*Acker!C11,0)</f>
        <v>0</v>
      </c>
      <c r="BK45" s="841">
        <f>IF(Acker!P11=$BH$37,Acker!Q11*Acker!C11,0)</f>
        <v>0</v>
      </c>
      <c r="BL45" s="847">
        <f>IF(Acker!R11=$BH$37,Acker!S11*Acker!C11,0)</f>
        <v>0</v>
      </c>
      <c r="BM45" s="1418">
        <f t="shared" si="65"/>
        <v>0</v>
      </c>
      <c r="BN45" s="842">
        <f>IF(Acker!J11=$BN$37,Acker!K11*Acker!C11,0)</f>
        <v>0</v>
      </c>
      <c r="BO45" s="841">
        <f>IF(Acker!L11=$BN$37,Acker!M11*Acker!C11,0)</f>
        <v>0</v>
      </c>
      <c r="BP45" s="841">
        <f>IF(Acker!N11=$BN$37,Acker!O11*Acker!C11,0)</f>
        <v>0</v>
      </c>
      <c r="BQ45" s="841">
        <f>IF(Acker!P11=$BN$37,Acker!Q11*Acker!C11,0)</f>
        <v>0</v>
      </c>
      <c r="BR45" s="841">
        <f>IF(Acker!R11=$BN$37,Acker!S11*Acker!C11,0)</f>
        <v>0</v>
      </c>
      <c r="BS45" s="1418">
        <f t="shared" si="66"/>
        <v>0</v>
      </c>
      <c r="BT45" s="843">
        <f>IF(Acker!J11=$BT$37,Acker!K11*Acker!C11,0)</f>
        <v>0</v>
      </c>
      <c r="BU45" s="841">
        <f>IF(Acker!L11=$BT$37,Acker!M11*Acker!C11,0)</f>
        <v>0</v>
      </c>
      <c r="BV45" s="841">
        <f>IF(Acker!N11=$BT$37,Acker!O11*Acker!C11,0)</f>
        <v>0</v>
      </c>
      <c r="BW45" s="841">
        <f>IF(Acker!P11=$BT$37,Acker!Q11*Acker!C11,0)</f>
        <v>0</v>
      </c>
      <c r="BX45" s="841">
        <f>IF(Acker!R11=$BT$37,Acker!S11*Acker!C11,0)</f>
        <v>0</v>
      </c>
      <c r="BY45" s="1418">
        <f t="shared" si="67"/>
        <v>0</v>
      </c>
      <c r="BZ45" s="878"/>
      <c r="CA45" s="878"/>
      <c r="CB45" s="878"/>
      <c r="CC45" s="878"/>
      <c r="CD45" s="878"/>
      <c r="CE45" s="878"/>
      <c r="CF45" s="878"/>
    </row>
    <row r="46" spans="1:84" ht="20.25">
      <c r="B46" s="811" t="s">
        <v>890</v>
      </c>
      <c r="C46" s="850">
        <f>IF(Acker!J12=$C$37,Acker!K12*Acker!C12,0)</f>
        <v>0</v>
      </c>
      <c r="D46" s="894">
        <f>IF(Acker!L12=$C$37,Acker!M12*Acker!C12,0)</f>
        <v>0</v>
      </c>
      <c r="E46" s="894"/>
      <c r="F46" s="894"/>
      <c r="G46" s="894"/>
      <c r="H46" s="894">
        <f>IF(Acker!N12=$C$37,Acker!O12*Acker!C12,0)</f>
        <v>0</v>
      </c>
      <c r="I46" s="894">
        <f>IF(Acker!P12=$C$37,Acker!Q12*Acker!C12,0)</f>
        <v>0</v>
      </c>
      <c r="J46" s="895">
        <f>IF(Acker!R12=$C$37,Acker!S12*Acker!C12,0)</f>
        <v>0</v>
      </c>
      <c r="K46" s="849">
        <f t="shared" si="56"/>
        <v>0</v>
      </c>
      <c r="L46" s="842">
        <f>IF(Acker!J12=$L$37,Acker!K12*Acker!C12,0)</f>
        <v>0</v>
      </c>
      <c r="M46" s="841">
        <f>IF(Acker!L12=$L$37,Acker!M12*Acker!C12,0)</f>
        <v>0</v>
      </c>
      <c r="N46" s="841">
        <f>IF(Acker!N12=$L$37,Acker!O12*Acker!C12,0)</f>
        <v>0</v>
      </c>
      <c r="O46" s="841">
        <f>IF(Acker!P12=$L$37,Acker!Q12*Acker!C12,0)</f>
        <v>0</v>
      </c>
      <c r="P46" s="841">
        <f>IF(Acker!R12=$L$37,Acker!S12*Acker!C12,0)</f>
        <v>0</v>
      </c>
      <c r="Q46" s="1418">
        <f t="shared" si="57"/>
        <v>0</v>
      </c>
      <c r="R46" s="843">
        <f>IF(Acker!J12=$R$37,Acker!K12*Acker!C12,0)</f>
        <v>0</v>
      </c>
      <c r="S46" s="841">
        <f>IF(Acker!L12=$R$37,Acker!M12*Acker!C12,0)</f>
        <v>0</v>
      </c>
      <c r="T46" s="841">
        <f>IF(Acker!N12=$R$37,Acker!O12*Acker!C12,0)</f>
        <v>0</v>
      </c>
      <c r="U46" s="841">
        <f>IF(Acker!P12=$R$37,Acker!Q12*Acker!C12,0)</f>
        <v>0</v>
      </c>
      <c r="V46" s="841">
        <f>IF(Acker!R12=$R$37,Acker!S12*Acker!C12,0)</f>
        <v>0</v>
      </c>
      <c r="W46" s="1418">
        <f t="shared" si="58"/>
        <v>0</v>
      </c>
      <c r="X46" s="843">
        <f>IF(Acker!J12=$X$37,Acker!K12*Acker!C12,0)</f>
        <v>0</v>
      </c>
      <c r="Y46" s="841">
        <f>IF(Acker!L12=$X$37,Acker!M12*Acker!C12,0)</f>
        <v>0</v>
      </c>
      <c r="Z46" s="841">
        <f>IF(Acker!N12=$X$37,Acker!O12*Acker!C12,0)</f>
        <v>0</v>
      </c>
      <c r="AA46" s="841">
        <f>IF(Acker!P12=$X$37,Acker!Q12*Acker!C12,0)</f>
        <v>0</v>
      </c>
      <c r="AB46" s="841">
        <f>IF(Acker!R12=$X$37,Acker!S12*Acker!C12,0)</f>
        <v>0</v>
      </c>
      <c r="AC46" s="1418">
        <f t="shared" si="59"/>
        <v>0</v>
      </c>
      <c r="AD46" s="843">
        <f>IF(Acker!J12=$AD$37,Acker!K12*Acker!C12,0)</f>
        <v>0</v>
      </c>
      <c r="AE46" s="841">
        <f>IF(Acker!L12=$AD$37,Acker!M12*Acker!C12,0)</f>
        <v>0</v>
      </c>
      <c r="AF46" s="841">
        <f>IF(Acker!N12=$AD$37,Acker!O12*Acker!C12,0)</f>
        <v>0</v>
      </c>
      <c r="AG46" s="841">
        <f>IF(Acker!P12=$AD$37,Acker!Q12*Acker!C12,0)</f>
        <v>0</v>
      </c>
      <c r="AH46" s="841">
        <f>IF(Acker!R12=$AD$37,Acker!S12*Acker!C12,0)</f>
        <v>0</v>
      </c>
      <c r="AI46" s="1418">
        <f t="shared" si="60"/>
        <v>0</v>
      </c>
      <c r="AJ46" s="843">
        <f>IF(Acker!J12=$AJ$37,Acker!K12*Acker!C12,0)</f>
        <v>0</v>
      </c>
      <c r="AK46" s="841">
        <f>IF(Acker!L12=$AJ$37,Acker!M12*Acker!C12,0)</f>
        <v>0</v>
      </c>
      <c r="AL46" s="841">
        <f>IF(Acker!N12=$AJ$37,Acker!O12*Acker!C12,0)</f>
        <v>0</v>
      </c>
      <c r="AM46" s="841">
        <f>IF(Acker!P12=$AJ$37,Acker!Q12*Acker!C12,0)</f>
        <v>0</v>
      </c>
      <c r="AN46" s="841">
        <f>IF(Acker!R12=$AJ$37,Acker!S12*Acker!C12,0)</f>
        <v>0</v>
      </c>
      <c r="AO46" s="1418">
        <f t="shared" si="61"/>
        <v>0</v>
      </c>
      <c r="AP46" s="843">
        <f>IF(Acker!J12=$AP$37,Acker!K12*Acker!C12,0)</f>
        <v>0</v>
      </c>
      <c r="AQ46" s="841">
        <f>IF(Acker!L12=$AP$37,Acker!M12*Acker!C12,0)</f>
        <v>0</v>
      </c>
      <c r="AR46" s="841">
        <f>IF(Acker!N12=$AP$37,Acker!O12*Acker!C12,0)</f>
        <v>0</v>
      </c>
      <c r="AS46" s="841">
        <f>IF(Acker!P12=$AP$37,Acker!Q12*Acker!C12,0)</f>
        <v>0</v>
      </c>
      <c r="AT46" s="841">
        <f>IF(Acker!R12=$AP$37,Acker!S12*Acker!C12,0)</f>
        <v>0</v>
      </c>
      <c r="AU46" s="1418">
        <f t="shared" si="62"/>
        <v>0</v>
      </c>
      <c r="AV46" s="843">
        <f>IF(Acker!J12=$AV$37,Acker!K12*Acker!C12,0)</f>
        <v>0</v>
      </c>
      <c r="AW46" s="841">
        <f>IF(Acker!L12=$AV$37,Acker!M12*Acker!C12,0)</f>
        <v>0</v>
      </c>
      <c r="AX46" s="841">
        <f>IF(Acker!N12=$AV$37,Acker!O12*Acker!C12,0)</f>
        <v>0</v>
      </c>
      <c r="AY46" s="841">
        <f>IF(Acker!P12=$AV$37,Acker!Q12*Acker!C12,0)</f>
        <v>0</v>
      </c>
      <c r="AZ46" s="841">
        <f>IF(Acker!R12=$AV$37,Acker!S12*Acker!C12,0)</f>
        <v>0</v>
      </c>
      <c r="BA46" s="1418">
        <f t="shared" si="63"/>
        <v>0</v>
      </c>
      <c r="BB46" s="843">
        <f>IF(Acker!J12=$BB$37,Acker!K12*Acker!C12,0)</f>
        <v>0</v>
      </c>
      <c r="BC46" s="841">
        <f>IF(Acker!L12=$BB$37,Acker!M12*Acker!C12,0)</f>
        <v>0</v>
      </c>
      <c r="BD46" s="841">
        <f>IF(Acker!N12=$BB$37,Acker!O12*Acker!C12,0)</f>
        <v>0</v>
      </c>
      <c r="BE46" s="841">
        <f>IF(Acker!P12=$BB$37,Acker!Q12*Acker!C12,0)</f>
        <v>0</v>
      </c>
      <c r="BF46" s="841">
        <f>IF(Acker!R12=$BB$37,Acker!S12*Acker!C12,0)</f>
        <v>0</v>
      </c>
      <c r="BG46" s="1418">
        <f t="shared" si="64"/>
        <v>0</v>
      </c>
      <c r="BH46" s="843">
        <f>IF(Acker!J12=$BH$37,Acker!K12*Acker!C12,0)</f>
        <v>0</v>
      </c>
      <c r="BI46" s="841">
        <f>IF(Acker!L12=$BH$37,Acker!M12*Acker!C12,0)</f>
        <v>0</v>
      </c>
      <c r="BJ46" s="841">
        <f>IF(Acker!N12=$BH$37,Acker!O12*Acker!C12,0)</f>
        <v>0</v>
      </c>
      <c r="BK46" s="841">
        <f>IF(Acker!P12=$BH$37,Acker!Q12*Acker!C12,0)</f>
        <v>0</v>
      </c>
      <c r="BL46" s="847">
        <f>IF(Acker!R12=$BH$37,Acker!S12*Acker!C12,0)</f>
        <v>0</v>
      </c>
      <c r="BM46" s="1418">
        <f t="shared" si="65"/>
        <v>0</v>
      </c>
      <c r="BN46" s="842">
        <f>IF(Acker!J12=$BN$37,Acker!K12*Acker!C12,0)</f>
        <v>0</v>
      </c>
      <c r="BO46" s="841">
        <f>IF(Acker!L12=$BN$37,Acker!M12*Acker!C12,0)</f>
        <v>0</v>
      </c>
      <c r="BP46" s="841">
        <f>IF(Acker!N12=$BN$37,Acker!O12*Acker!C12,0)</f>
        <v>0</v>
      </c>
      <c r="BQ46" s="841">
        <f>IF(Acker!P12=$BN$37,Acker!Q12*Acker!C12,0)</f>
        <v>0</v>
      </c>
      <c r="BR46" s="841">
        <f>IF(Acker!R12=$BN$37,Acker!S12*Acker!C12,0)</f>
        <v>0</v>
      </c>
      <c r="BS46" s="1418">
        <f t="shared" si="66"/>
        <v>0</v>
      </c>
      <c r="BT46" s="843">
        <f>IF(Acker!J12=$BT$37,Acker!K12*Acker!C12,0)</f>
        <v>0</v>
      </c>
      <c r="BU46" s="841">
        <f>IF(Acker!L12=$BT$37,Acker!M12*Acker!C12,0)</f>
        <v>0</v>
      </c>
      <c r="BV46" s="841">
        <f>IF(Acker!N12=$BT$37,Acker!O12*Acker!C12,0)</f>
        <v>0</v>
      </c>
      <c r="BW46" s="841">
        <f>IF(Acker!P12=$BT$37,Acker!Q12*Acker!C12,0)</f>
        <v>0</v>
      </c>
      <c r="BX46" s="841">
        <f>IF(Acker!R12=$BT$37,Acker!S12*Acker!C12,0)</f>
        <v>0</v>
      </c>
      <c r="BY46" s="1418">
        <f t="shared" si="67"/>
        <v>0</v>
      </c>
      <c r="BZ46" s="879"/>
      <c r="CA46" s="879"/>
      <c r="CB46" s="879"/>
      <c r="CC46" s="879"/>
      <c r="CD46" s="879"/>
      <c r="CE46" s="879"/>
      <c r="CF46" s="879"/>
    </row>
    <row r="47" spans="1:84" ht="15.75">
      <c r="B47" s="811" t="s">
        <v>891</v>
      </c>
      <c r="C47" s="850">
        <f>IF(Acker!J13=$C$37,Acker!K13*Acker!C13,0)</f>
        <v>0</v>
      </c>
      <c r="D47" s="894">
        <f>IF(Acker!L13=$C$37,Acker!M13*Acker!C13,0)</f>
        <v>0</v>
      </c>
      <c r="E47" s="894"/>
      <c r="F47" s="894"/>
      <c r="G47" s="894"/>
      <c r="H47" s="894">
        <f>IF(Acker!N13=$C$37,Acker!O13*Acker!C13,0)</f>
        <v>0</v>
      </c>
      <c r="I47" s="894">
        <f>IF(Acker!P13=$C$37,Acker!Q13*Acker!C13,0)</f>
        <v>0</v>
      </c>
      <c r="J47" s="895">
        <f>IF(Acker!R13=$C$37,Acker!S13*Acker!C13,0)</f>
        <v>0</v>
      </c>
      <c r="K47" s="849">
        <f t="shared" si="56"/>
        <v>0</v>
      </c>
      <c r="L47" s="842">
        <f>IF(Acker!J13=$L$37,Acker!K13*Acker!C13,0)</f>
        <v>0</v>
      </c>
      <c r="M47" s="841">
        <f>IF(Acker!L13=$L$37,Acker!M13*Acker!C13,0)</f>
        <v>0</v>
      </c>
      <c r="N47" s="841">
        <f>IF(Acker!N13=$L$37,Acker!O13*Acker!C13,0)</f>
        <v>0</v>
      </c>
      <c r="O47" s="841">
        <f>IF(Acker!P13=$L$37,Acker!Q13*Acker!C13,0)</f>
        <v>0</v>
      </c>
      <c r="P47" s="841">
        <f>IF(Acker!R13=$L$37,Acker!S13*Acker!C13,0)</f>
        <v>0</v>
      </c>
      <c r="Q47" s="1418">
        <f t="shared" si="57"/>
        <v>0</v>
      </c>
      <c r="R47" s="843">
        <f>IF(Acker!J13=$R$37,Acker!K13*Acker!C13,0)</f>
        <v>0</v>
      </c>
      <c r="S47" s="841">
        <f>IF(Acker!L13=$R$37,Acker!M13*Acker!C13,0)</f>
        <v>0</v>
      </c>
      <c r="T47" s="841">
        <f>IF(Acker!N13=$R$37,Acker!O13*Acker!C13,0)</f>
        <v>0</v>
      </c>
      <c r="U47" s="841">
        <f>IF(Acker!P13=$R$37,Acker!Q13*Acker!C13,0)</f>
        <v>0</v>
      </c>
      <c r="V47" s="841">
        <f>IF(Acker!R13=$R$37,Acker!S13*Acker!C13,0)</f>
        <v>0</v>
      </c>
      <c r="W47" s="1418">
        <f t="shared" si="58"/>
        <v>0</v>
      </c>
      <c r="X47" s="843">
        <f>IF(Acker!J13=$X$37,Acker!K13*Acker!C13,0)</f>
        <v>0</v>
      </c>
      <c r="Y47" s="841">
        <f>IF(Acker!L13=$X$37,Acker!M13*Acker!C13,0)</f>
        <v>0</v>
      </c>
      <c r="Z47" s="841">
        <f>IF(Acker!N13=$X$37,Acker!O13*Acker!C13,0)</f>
        <v>0</v>
      </c>
      <c r="AA47" s="841">
        <f>IF(Acker!P13=$X$37,Acker!Q13*Acker!C13,0)</f>
        <v>0</v>
      </c>
      <c r="AB47" s="841">
        <f>IF(Acker!R13=$X$37,Acker!S13*Acker!C13,0)</f>
        <v>0</v>
      </c>
      <c r="AC47" s="1418">
        <f t="shared" si="59"/>
        <v>0</v>
      </c>
      <c r="AD47" s="843">
        <f>IF(Acker!J13=$AD$37,Acker!K13*Acker!C13,0)</f>
        <v>0</v>
      </c>
      <c r="AE47" s="841">
        <f>IF(Acker!L13=$AD$37,Acker!M13*Acker!C13,0)</f>
        <v>0</v>
      </c>
      <c r="AF47" s="841">
        <f>IF(Acker!N13=$AD$37,Acker!O13*Acker!C13,0)</f>
        <v>0</v>
      </c>
      <c r="AG47" s="841">
        <f>IF(Acker!P13=$AD$37,Acker!Q13*Acker!C13,0)</f>
        <v>0</v>
      </c>
      <c r="AH47" s="841">
        <f>IF(Acker!R13=$AD$37,Acker!S13*Acker!C13,0)</f>
        <v>0</v>
      </c>
      <c r="AI47" s="1418">
        <f t="shared" si="60"/>
        <v>0</v>
      </c>
      <c r="AJ47" s="843">
        <f>IF(Acker!J13=$AJ$37,Acker!K13*Acker!C13,0)</f>
        <v>0</v>
      </c>
      <c r="AK47" s="841">
        <f>IF(Acker!L13=$AJ$37,Acker!M13*Acker!C13,0)</f>
        <v>0</v>
      </c>
      <c r="AL47" s="841">
        <f>IF(Acker!N13=$AJ$37,Acker!O13*Acker!C13,0)</f>
        <v>0</v>
      </c>
      <c r="AM47" s="841">
        <f>IF(Acker!P13=$AJ$37,Acker!Q13*Acker!C13,0)</f>
        <v>0</v>
      </c>
      <c r="AN47" s="841">
        <f>IF(Acker!R13=$AJ$37,Acker!S13*Acker!C13,0)</f>
        <v>0</v>
      </c>
      <c r="AO47" s="1418">
        <f t="shared" si="61"/>
        <v>0</v>
      </c>
      <c r="AP47" s="843">
        <f>IF(Acker!J13=$AP$37,Acker!K13*Acker!C13,0)</f>
        <v>0</v>
      </c>
      <c r="AQ47" s="841">
        <f>IF(Acker!L13=$AP$37,Acker!M13*Acker!C13,0)</f>
        <v>0</v>
      </c>
      <c r="AR47" s="841">
        <f>IF(Acker!N13=$AP$37,Acker!O13*Acker!C13,0)</f>
        <v>0</v>
      </c>
      <c r="AS47" s="841">
        <f>IF(Acker!P13=$AP$37,Acker!Q13*Acker!C13,0)</f>
        <v>0</v>
      </c>
      <c r="AT47" s="841">
        <f>IF(Acker!R13=$AP$37,Acker!S13*Acker!C13,0)</f>
        <v>0</v>
      </c>
      <c r="AU47" s="1418">
        <f t="shared" si="62"/>
        <v>0</v>
      </c>
      <c r="AV47" s="843">
        <f>IF(Acker!J13=$AV$37,Acker!K13*Acker!C13,0)</f>
        <v>0</v>
      </c>
      <c r="AW47" s="841">
        <f>IF(Acker!L13=$AV$37,Acker!M13*Acker!C13,0)</f>
        <v>0</v>
      </c>
      <c r="AX47" s="841">
        <f>IF(Acker!N13=$AV$37,Acker!O13*Acker!C13,0)</f>
        <v>0</v>
      </c>
      <c r="AY47" s="841">
        <f>IF(Acker!P13=$AV$37,Acker!Q13*Acker!C13,0)</f>
        <v>0</v>
      </c>
      <c r="AZ47" s="841">
        <f>IF(Acker!R13=$AV$37,Acker!S13*Acker!C13,0)</f>
        <v>0</v>
      </c>
      <c r="BA47" s="1418">
        <f t="shared" si="63"/>
        <v>0</v>
      </c>
      <c r="BB47" s="843">
        <f>IF(Acker!J13=$BB$37,Acker!K13*Acker!C13,0)</f>
        <v>0</v>
      </c>
      <c r="BC47" s="841">
        <f>IF(Acker!L13=$BB$37,Acker!M13*Acker!C13,0)</f>
        <v>0</v>
      </c>
      <c r="BD47" s="841">
        <f>IF(Acker!N13=$BB$37,Acker!O13*Acker!C13,0)</f>
        <v>0</v>
      </c>
      <c r="BE47" s="841">
        <f>IF(Acker!P13=$BB$37,Acker!Q13*Acker!C13,0)</f>
        <v>0</v>
      </c>
      <c r="BF47" s="841">
        <f>IF(Acker!R13=$BB$37,Acker!S13*Acker!C13,0)</f>
        <v>0</v>
      </c>
      <c r="BG47" s="1418">
        <f t="shared" si="64"/>
        <v>0</v>
      </c>
      <c r="BH47" s="843">
        <f>IF(Acker!J13=$BH$37,Acker!K13*Acker!C13,0)</f>
        <v>0</v>
      </c>
      <c r="BI47" s="841">
        <f>IF(Acker!L13=$BH$37,Acker!M13*Acker!C13,0)</f>
        <v>0</v>
      </c>
      <c r="BJ47" s="841">
        <f>IF(Acker!N13=$BH$37,Acker!O13*Acker!C13,0)</f>
        <v>0</v>
      </c>
      <c r="BK47" s="841">
        <f>IF(Acker!P13=$BH$37,Acker!Q13*Acker!C13,0)</f>
        <v>0</v>
      </c>
      <c r="BL47" s="847">
        <f>IF(Acker!R13=$BH$37,Acker!S13*Acker!C13,0)</f>
        <v>0</v>
      </c>
      <c r="BM47" s="1418">
        <f t="shared" si="65"/>
        <v>0</v>
      </c>
      <c r="BN47" s="842">
        <f>IF(Acker!J13=$BN$37,Acker!K13*Acker!C13,0)</f>
        <v>0</v>
      </c>
      <c r="BO47" s="841">
        <f>IF(Acker!L13=$BN$37,Acker!M13*Acker!C13,0)</f>
        <v>0</v>
      </c>
      <c r="BP47" s="841">
        <f>IF(Acker!N13=$BN$37,Acker!O13*Acker!C13,0)</f>
        <v>0</v>
      </c>
      <c r="BQ47" s="841">
        <f>IF(Acker!P13=$BN$37,Acker!Q13*Acker!C13,0)</f>
        <v>0</v>
      </c>
      <c r="BR47" s="841">
        <f>IF(Acker!R13=$BN$37,Acker!S13*Acker!C13,0)</f>
        <v>0</v>
      </c>
      <c r="BS47" s="1418">
        <f t="shared" si="66"/>
        <v>0</v>
      </c>
      <c r="BT47" s="843">
        <f>IF(Acker!J13=$BT$37,Acker!K13*Acker!C13,0)</f>
        <v>0</v>
      </c>
      <c r="BU47" s="841">
        <f>IF(Acker!L13=$BT$37,Acker!M13*Acker!C13,0)</f>
        <v>0</v>
      </c>
      <c r="BV47" s="841">
        <f>IF(Acker!N13=$BT$37,Acker!O13*Acker!C13,0)</f>
        <v>0</v>
      </c>
      <c r="BW47" s="841">
        <f>IF(Acker!P13=$BT$37,Acker!Q13*Acker!C13,0)</f>
        <v>0</v>
      </c>
      <c r="BX47" s="841">
        <f>IF(Acker!R13=$BT$37,Acker!S13*Acker!C13,0)</f>
        <v>0</v>
      </c>
      <c r="BY47" s="1418">
        <f t="shared" si="67"/>
        <v>0</v>
      </c>
      <c r="BZ47" s="880"/>
      <c r="CA47" s="880"/>
      <c r="CB47" s="880"/>
      <c r="CC47" s="880"/>
      <c r="CD47" s="880"/>
      <c r="CE47" s="880"/>
      <c r="CF47" s="880"/>
    </row>
    <row r="48" spans="1:84" ht="15.75">
      <c r="B48" s="811" t="s">
        <v>892</v>
      </c>
      <c r="C48" s="850">
        <f>IF(Acker!J14=$C$37,Acker!K14*Acker!C14,0)</f>
        <v>0</v>
      </c>
      <c r="D48" s="894">
        <f>IF(Acker!L14=$C$37,Acker!M14*Acker!C14,0)</f>
        <v>0</v>
      </c>
      <c r="E48" s="894"/>
      <c r="F48" s="894"/>
      <c r="G48" s="894"/>
      <c r="H48" s="894">
        <f>IF(Acker!N14=$C$37,Acker!O14*Acker!C14,0)</f>
        <v>0</v>
      </c>
      <c r="I48" s="894">
        <f>IF(Acker!P14=$C$37,Acker!Q14*Acker!C14,0)</f>
        <v>0</v>
      </c>
      <c r="J48" s="895">
        <f>IF(Acker!R14=$C$37,Acker!S14*Acker!C14,0)</f>
        <v>0</v>
      </c>
      <c r="K48" s="849">
        <f t="shared" si="56"/>
        <v>0</v>
      </c>
      <c r="L48" s="842">
        <f>IF(Acker!J14=$L$37,Acker!K14*Acker!C14,0)</f>
        <v>0</v>
      </c>
      <c r="M48" s="841">
        <f>IF(Acker!L14=$L$37,Acker!M14*Acker!C14,0)</f>
        <v>0</v>
      </c>
      <c r="N48" s="841">
        <f>IF(Acker!N14=$L$37,Acker!O14*Acker!C14,0)</f>
        <v>0</v>
      </c>
      <c r="O48" s="841">
        <f>IF(Acker!P14=$L$37,Acker!Q14*Acker!C14,0)</f>
        <v>0</v>
      </c>
      <c r="P48" s="841">
        <f>IF(Acker!R14=$L$37,Acker!S14*Acker!C14,0)</f>
        <v>0</v>
      </c>
      <c r="Q48" s="1418">
        <f t="shared" si="57"/>
        <v>0</v>
      </c>
      <c r="R48" s="843">
        <f>IF(Acker!J14=$R$37,Acker!K14*Acker!C14,0)</f>
        <v>0</v>
      </c>
      <c r="S48" s="841">
        <f>IF(Acker!L14=$R$37,Acker!M14*Acker!C14,0)</f>
        <v>0</v>
      </c>
      <c r="T48" s="841">
        <f>IF(Acker!N14=$R$37,Acker!O14*Acker!C14,0)</f>
        <v>0</v>
      </c>
      <c r="U48" s="841">
        <f>IF(Acker!P14=$R$37,Acker!Q14*Acker!C14,0)</f>
        <v>0</v>
      </c>
      <c r="V48" s="841">
        <f>IF(Acker!R14=$R$37,Acker!S14*Acker!C14,0)</f>
        <v>0</v>
      </c>
      <c r="W48" s="1418">
        <f t="shared" si="58"/>
        <v>0</v>
      </c>
      <c r="X48" s="843">
        <f>IF(Acker!J14=$X$37,Acker!K14*Acker!C14,0)</f>
        <v>0</v>
      </c>
      <c r="Y48" s="841">
        <f>IF(Acker!L14=$X$37,Acker!M14*Acker!C14,0)</f>
        <v>0</v>
      </c>
      <c r="Z48" s="841">
        <f>IF(Acker!N14=$X$37,Acker!O14*Acker!C14,0)</f>
        <v>0</v>
      </c>
      <c r="AA48" s="841">
        <f>IF(Acker!P14=$X$37,Acker!Q14*Acker!C14,0)</f>
        <v>0</v>
      </c>
      <c r="AB48" s="841">
        <f>IF(Acker!R14=$X$37,Acker!S14*Acker!C14,0)</f>
        <v>0</v>
      </c>
      <c r="AC48" s="1418">
        <f t="shared" si="59"/>
        <v>0</v>
      </c>
      <c r="AD48" s="843">
        <f>IF(Acker!J14=$AD$37,Acker!K14*Acker!C14,0)</f>
        <v>0</v>
      </c>
      <c r="AE48" s="841">
        <f>IF(Acker!L14=$AD$37,Acker!M14*Acker!C14,0)</f>
        <v>0</v>
      </c>
      <c r="AF48" s="841">
        <f>IF(Acker!N14=$AD$37,Acker!O14*Acker!C14,0)</f>
        <v>0</v>
      </c>
      <c r="AG48" s="841">
        <f>IF(Acker!P14=$AD$37,Acker!Q14*Acker!C14,0)</f>
        <v>0</v>
      </c>
      <c r="AH48" s="841">
        <f>IF(Acker!R14=$AD$37,Acker!S14*Acker!C14,0)</f>
        <v>0</v>
      </c>
      <c r="AI48" s="1418">
        <f t="shared" si="60"/>
        <v>0</v>
      </c>
      <c r="AJ48" s="843">
        <f>IF(Acker!J14=$AJ$37,Acker!K14*Acker!C14,0)</f>
        <v>0</v>
      </c>
      <c r="AK48" s="841">
        <f>IF(Acker!L14=$AJ$37,Acker!M14*Acker!C14,0)</f>
        <v>0</v>
      </c>
      <c r="AL48" s="841">
        <f>IF(Acker!N14=$AJ$37,Acker!O14*Acker!C14,0)</f>
        <v>0</v>
      </c>
      <c r="AM48" s="841">
        <f>IF(Acker!P14=$AJ$37,Acker!Q14*Acker!C14,0)</f>
        <v>0</v>
      </c>
      <c r="AN48" s="841">
        <f>IF(Acker!R14=$AJ$37,Acker!S14*Acker!C14,0)</f>
        <v>0</v>
      </c>
      <c r="AO48" s="1418">
        <f t="shared" si="61"/>
        <v>0</v>
      </c>
      <c r="AP48" s="843">
        <f>IF(Acker!J14=$AP$37,Acker!K14*Acker!C14,0)</f>
        <v>0</v>
      </c>
      <c r="AQ48" s="841">
        <f>IF(Acker!L14=$AP$37,Acker!M14*Acker!C14,0)</f>
        <v>0</v>
      </c>
      <c r="AR48" s="841">
        <f>IF(Acker!N14=$AP$37,Acker!O14*Acker!C14,0)</f>
        <v>0</v>
      </c>
      <c r="AS48" s="841">
        <f>IF(Acker!P14=$AP$37,Acker!Q14*Acker!C14,0)</f>
        <v>0</v>
      </c>
      <c r="AT48" s="841">
        <f>IF(Acker!R14=$AP$37,Acker!S14*Acker!C14,0)</f>
        <v>0</v>
      </c>
      <c r="AU48" s="1418">
        <f t="shared" si="62"/>
        <v>0</v>
      </c>
      <c r="AV48" s="843">
        <f>IF(Acker!J14=$AV$37,Acker!K14*Acker!C14,0)</f>
        <v>0</v>
      </c>
      <c r="AW48" s="841">
        <f>IF(Acker!L14=$AV$37,Acker!M14*Acker!C14,0)</f>
        <v>0</v>
      </c>
      <c r="AX48" s="841">
        <f>IF(Acker!N14=$AV$37,Acker!O14*Acker!C14,0)</f>
        <v>0</v>
      </c>
      <c r="AY48" s="841">
        <f>IF(Acker!P14=$AV$37,Acker!Q14*Acker!C14,0)</f>
        <v>0</v>
      </c>
      <c r="AZ48" s="841">
        <f>IF(Acker!R14=$AV$37,Acker!S14*Acker!C14,0)</f>
        <v>0</v>
      </c>
      <c r="BA48" s="1418">
        <f t="shared" si="63"/>
        <v>0</v>
      </c>
      <c r="BB48" s="843">
        <f>IF(Acker!J14=$BB$37,Acker!K14*Acker!C14,0)</f>
        <v>0</v>
      </c>
      <c r="BC48" s="841">
        <f>IF(Acker!L14=$BB$37,Acker!M14*Acker!C14,0)</f>
        <v>0</v>
      </c>
      <c r="BD48" s="841">
        <f>IF(Acker!N14=$BB$37,Acker!O14*Acker!C14,0)</f>
        <v>0</v>
      </c>
      <c r="BE48" s="841">
        <f>IF(Acker!P14=$BB$37,Acker!Q14*Acker!C14,0)</f>
        <v>0</v>
      </c>
      <c r="BF48" s="841">
        <f>IF(Acker!R14=$BB$37,Acker!S14*Acker!C14,0)</f>
        <v>0</v>
      </c>
      <c r="BG48" s="1418">
        <f t="shared" si="64"/>
        <v>0</v>
      </c>
      <c r="BH48" s="843">
        <f>IF(Acker!J14=$BH$37,Acker!K14*Acker!C14,0)</f>
        <v>0</v>
      </c>
      <c r="BI48" s="841">
        <f>IF(Acker!L14=$BH$37,Acker!M14*Acker!C14,0)</f>
        <v>0</v>
      </c>
      <c r="BJ48" s="841">
        <f>IF(Acker!N14=$BH$37,Acker!O14*Acker!C14,0)</f>
        <v>0</v>
      </c>
      <c r="BK48" s="841">
        <f>IF(Acker!P14=$BH$37,Acker!Q14*Acker!C14,0)</f>
        <v>0</v>
      </c>
      <c r="BL48" s="847">
        <f>IF(Acker!R14=$BH$37,Acker!S14*Acker!C14,0)</f>
        <v>0</v>
      </c>
      <c r="BM48" s="1418">
        <f t="shared" si="65"/>
        <v>0</v>
      </c>
      <c r="BN48" s="842">
        <f>IF(Acker!J14=$BN$37,Acker!K14*Acker!C14,0)</f>
        <v>0</v>
      </c>
      <c r="BO48" s="841">
        <f>IF(Acker!L14=$BN$37,Acker!M14*Acker!C14,0)</f>
        <v>0</v>
      </c>
      <c r="BP48" s="841">
        <f>IF(Acker!N14=$BN$37,Acker!O14*Acker!C14,0)</f>
        <v>0</v>
      </c>
      <c r="BQ48" s="841">
        <f>IF(Acker!P14=$BN$37,Acker!Q14*Acker!C14,0)</f>
        <v>0</v>
      </c>
      <c r="BR48" s="841">
        <f>IF(Acker!R14=$BN$37,Acker!S14*Acker!C14,0)</f>
        <v>0</v>
      </c>
      <c r="BS48" s="1418">
        <f t="shared" si="66"/>
        <v>0</v>
      </c>
      <c r="BT48" s="843">
        <f>IF(Acker!J14=$BT$37,Acker!K14*Acker!C14,0)</f>
        <v>0</v>
      </c>
      <c r="BU48" s="841">
        <f>IF(Acker!L14=$BT$37,Acker!M14*Acker!C14,0)</f>
        <v>0</v>
      </c>
      <c r="BV48" s="841">
        <f>IF(Acker!N14=$BT$37,Acker!O14*Acker!C14,0)</f>
        <v>0</v>
      </c>
      <c r="BW48" s="841">
        <f>IF(Acker!P14=$BT$37,Acker!Q14*Acker!C14,0)</f>
        <v>0</v>
      </c>
      <c r="BX48" s="841">
        <f>IF(Acker!R14=$BT$37,Acker!S14*Acker!C14,0)</f>
        <v>0</v>
      </c>
      <c r="BY48" s="1418">
        <f t="shared" si="67"/>
        <v>0</v>
      </c>
      <c r="BZ48" s="881"/>
      <c r="CA48" s="881"/>
      <c r="CB48" s="881"/>
      <c r="CC48" s="881"/>
      <c r="CD48" s="881"/>
      <c r="CE48" s="881"/>
      <c r="CF48" s="881"/>
    </row>
    <row r="49" spans="2:84" ht="15.75">
      <c r="B49" s="811" t="s">
        <v>1228</v>
      </c>
      <c r="C49" s="850">
        <f>IF(Acker!J15=$C$37,Acker!K15*Acker!C15,0)</f>
        <v>0</v>
      </c>
      <c r="D49" s="894">
        <f>IF(Acker!L15=$C$37,Acker!M15*Acker!C15,0)</f>
        <v>0</v>
      </c>
      <c r="E49" s="894"/>
      <c r="F49" s="894"/>
      <c r="G49" s="894"/>
      <c r="H49" s="894">
        <f>IF(Acker!N15=$C$37,Acker!O15*Acker!C15,0)</f>
        <v>0</v>
      </c>
      <c r="I49" s="894">
        <f>IF(Acker!P15=$C$37,Acker!Q15*Acker!C15,0)</f>
        <v>0</v>
      </c>
      <c r="J49" s="895">
        <f>IF(Acker!R15=$C$37,Acker!S15*Acker!C15,0)</f>
        <v>0</v>
      </c>
      <c r="K49" s="849">
        <f t="shared" ref="K49:K50" si="68">SUM(C49:J49)</f>
        <v>0</v>
      </c>
      <c r="L49" s="842">
        <f>IF(Acker!J15=$L$37,Acker!K15*Acker!C15,0)</f>
        <v>0</v>
      </c>
      <c r="M49" s="841">
        <f>IF(Acker!L15=$L$37,Acker!M15*Acker!C15,0)</f>
        <v>0</v>
      </c>
      <c r="N49" s="841">
        <f>IF(Acker!N15=$L$37,Acker!O15*Acker!C15,0)</f>
        <v>0</v>
      </c>
      <c r="O49" s="841">
        <f>IF(Acker!P15=$L$37,Acker!Q15*Acker!C15,0)</f>
        <v>0</v>
      </c>
      <c r="P49" s="841">
        <f>IF(Acker!R15=$L$37,Acker!S15*Acker!C15,0)</f>
        <v>0</v>
      </c>
      <c r="Q49" s="1418">
        <f t="shared" si="57"/>
        <v>0</v>
      </c>
      <c r="R49" s="843">
        <f>IF(Acker!J15=$R$37,Acker!K15*Acker!C15,0)</f>
        <v>0</v>
      </c>
      <c r="S49" s="841">
        <f>IF(Acker!L15=$R$37,Acker!M15*Acker!C15,0)</f>
        <v>0</v>
      </c>
      <c r="T49" s="841">
        <f>IF(Acker!N15=$R$37,Acker!O15*Acker!C15,0)</f>
        <v>0</v>
      </c>
      <c r="U49" s="841">
        <f>IF(Acker!P15=$R$37,Acker!Q15*Acker!C15,0)</f>
        <v>0</v>
      </c>
      <c r="V49" s="841">
        <f>IF(Acker!R15=$R$37,Acker!S15*Acker!C15,0)</f>
        <v>0</v>
      </c>
      <c r="W49" s="1418">
        <f t="shared" si="58"/>
        <v>0</v>
      </c>
      <c r="X49" s="843">
        <f>IF(Acker!J15=$X$37,Acker!K15*Acker!C15,0)</f>
        <v>0</v>
      </c>
      <c r="Y49" s="841">
        <f>IF(Acker!L15=$X$37,Acker!M15*Acker!C15,0)</f>
        <v>0</v>
      </c>
      <c r="Z49" s="841">
        <f>IF(Acker!N15=$X$37,Acker!O15*Acker!C15,0)</f>
        <v>0</v>
      </c>
      <c r="AA49" s="841">
        <f>IF(Acker!P15=$X$37,Acker!Q15*Acker!C15,0)</f>
        <v>0</v>
      </c>
      <c r="AB49" s="841">
        <f>IF(Acker!R15=$X$37,Acker!S15*Acker!C15,0)</f>
        <v>0</v>
      </c>
      <c r="AC49" s="1418">
        <f t="shared" si="59"/>
        <v>0</v>
      </c>
      <c r="AD49" s="843">
        <f>IF(Acker!J15=$AD$37,Acker!K15*Acker!C15,0)</f>
        <v>0</v>
      </c>
      <c r="AE49" s="841">
        <f>IF(Acker!L15=$AD$37,Acker!M15*Acker!C15,0)</f>
        <v>0</v>
      </c>
      <c r="AF49" s="841">
        <f>IF(Acker!N15=$AD$37,Acker!O15*Acker!C15,0)</f>
        <v>0</v>
      </c>
      <c r="AG49" s="841">
        <f>IF(Acker!P15=$AD$37,Acker!Q15*Acker!C15,0)</f>
        <v>0</v>
      </c>
      <c r="AH49" s="841">
        <f>IF(Acker!R15=$AD$37,Acker!S15*Acker!C15,0)</f>
        <v>0</v>
      </c>
      <c r="AI49" s="1418">
        <f t="shared" si="60"/>
        <v>0</v>
      </c>
      <c r="AJ49" s="843">
        <f>IF(Acker!J15=$AJ$37,Acker!K15*Acker!C15,0)</f>
        <v>0</v>
      </c>
      <c r="AK49" s="841">
        <f>IF(Acker!L15=$AJ$37,Acker!M15*Acker!C15,0)</f>
        <v>0</v>
      </c>
      <c r="AL49" s="841">
        <f>IF(Acker!N15=$AJ$37,Acker!O15*Acker!C15,0)</f>
        <v>0</v>
      </c>
      <c r="AM49" s="841">
        <f>IF(Acker!P15=$AJ$37,Acker!Q15*Acker!C15,0)</f>
        <v>0</v>
      </c>
      <c r="AN49" s="841">
        <f>IF(Acker!R15=$AJ$37,Acker!S15*Acker!C15,0)</f>
        <v>0</v>
      </c>
      <c r="AO49" s="1418">
        <f t="shared" si="61"/>
        <v>0</v>
      </c>
      <c r="AP49" s="843">
        <f>IF(Acker!J15=$AP$37,Acker!K15*Acker!C15,0)</f>
        <v>0</v>
      </c>
      <c r="AQ49" s="841">
        <f>IF(Acker!L15=$AP$37,Acker!M15*Acker!C15,0)</f>
        <v>0</v>
      </c>
      <c r="AR49" s="841">
        <f>IF(Acker!N15=$AP$37,Acker!O15*Acker!C15,0)</f>
        <v>0</v>
      </c>
      <c r="AS49" s="841">
        <f>IF(Acker!P15=$AP$37,Acker!Q15*Acker!C15,0)</f>
        <v>0</v>
      </c>
      <c r="AT49" s="841">
        <f>IF(Acker!R15=$AP$37,Acker!S15*Acker!C15,0)</f>
        <v>0</v>
      </c>
      <c r="AU49" s="1418">
        <f t="shared" si="62"/>
        <v>0</v>
      </c>
      <c r="AV49" s="843">
        <f>IF(Acker!J15=$AV$37,Acker!K15*Acker!C15,0)</f>
        <v>0</v>
      </c>
      <c r="AW49" s="841">
        <f>IF(Acker!L15=$AV$37,Acker!M15*Acker!C15,0)</f>
        <v>0</v>
      </c>
      <c r="AX49" s="841">
        <f>IF(Acker!N15=$AV$37,Acker!O15*Acker!C15,0)</f>
        <v>0</v>
      </c>
      <c r="AY49" s="841">
        <f>IF(Acker!P15=$AV$37,Acker!Q15*Acker!C15,0)</f>
        <v>0</v>
      </c>
      <c r="AZ49" s="841">
        <f>IF(Acker!R15=$AV$37,Acker!S15*Acker!C15,0)</f>
        <v>0</v>
      </c>
      <c r="BA49" s="1418">
        <f t="shared" si="63"/>
        <v>0</v>
      </c>
      <c r="BB49" s="843">
        <f>IF(Acker!J15=$BB$37,Acker!K15*Acker!C15,0)</f>
        <v>0</v>
      </c>
      <c r="BC49" s="841">
        <f>IF(Acker!L15=$BB$37,Acker!M15*Acker!C15,0)</f>
        <v>0</v>
      </c>
      <c r="BD49" s="841">
        <f>IF(Acker!N15=$BB$37,Acker!O15*Acker!C15,0)</f>
        <v>0</v>
      </c>
      <c r="BE49" s="841">
        <f>IF(Acker!P15=$BB$37,Acker!Q15*Acker!C15,0)</f>
        <v>0</v>
      </c>
      <c r="BF49" s="841">
        <f>IF(Acker!R15=$BB$37,Acker!S15*Acker!C15,0)</f>
        <v>0</v>
      </c>
      <c r="BG49" s="1418">
        <f t="shared" si="64"/>
        <v>0</v>
      </c>
      <c r="BH49" s="843">
        <f>IF(Acker!J15=$BH$37,Acker!K15*Acker!C15,0)</f>
        <v>0</v>
      </c>
      <c r="BI49" s="841">
        <f>IF(Acker!L15=$BH$37,Acker!M15*Acker!C15,0)</f>
        <v>0</v>
      </c>
      <c r="BJ49" s="841">
        <f>IF(Acker!N15=$BH$37,Acker!O15*Acker!C15,0)</f>
        <v>0</v>
      </c>
      <c r="BK49" s="841">
        <f>IF(Acker!P15=$BH$37,Acker!Q15*Acker!C15,0)</f>
        <v>0</v>
      </c>
      <c r="BL49" s="847">
        <f>IF(Acker!R15=$BH$37,Acker!S15*Acker!C15,0)</f>
        <v>0</v>
      </c>
      <c r="BM49" s="1418">
        <f t="shared" si="65"/>
        <v>0</v>
      </c>
      <c r="BN49" s="842">
        <f>IF(Acker!J15=$BN$37,Acker!K15*Acker!C15,0)</f>
        <v>0</v>
      </c>
      <c r="BO49" s="841">
        <f>IF(Acker!L15=$BN$37,Acker!M15*Acker!C15,0)</f>
        <v>0</v>
      </c>
      <c r="BP49" s="841">
        <f>IF(Acker!N15=$BN$37,Acker!O15*Acker!C15,0)</f>
        <v>0</v>
      </c>
      <c r="BQ49" s="841">
        <f>IF(Acker!P15=$BN$37,Acker!Q15*Acker!C15,0)</f>
        <v>0</v>
      </c>
      <c r="BR49" s="841">
        <f>IF(Acker!R15=$BN$37,Acker!S15*Acker!C15,0)</f>
        <v>0</v>
      </c>
      <c r="BS49" s="1418">
        <f t="shared" si="66"/>
        <v>0</v>
      </c>
      <c r="BT49" s="843">
        <f>IF(Acker!J15=$BT$37,Acker!K15*Acker!C15,0)</f>
        <v>0</v>
      </c>
      <c r="BU49" s="841">
        <f>IF(Acker!L15=$BT$37,Acker!M15*Acker!C15,0)</f>
        <v>0</v>
      </c>
      <c r="BV49" s="841">
        <f>IF(Acker!N15=$BT$37,Acker!O15*Acker!C15,0)</f>
        <v>0</v>
      </c>
      <c r="BW49" s="841">
        <f>IF(Acker!P15=$BT$37,Acker!Q15*Acker!C15,0)</f>
        <v>0</v>
      </c>
      <c r="BX49" s="841">
        <f>IF(Acker!R15=$BT$37,Acker!S15*Acker!C15,0)</f>
        <v>0</v>
      </c>
      <c r="BY49" s="1418">
        <f t="shared" si="67"/>
        <v>0</v>
      </c>
      <c r="BZ49" s="881"/>
      <c r="CA49" s="881"/>
      <c r="CB49" s="881"/>
      <c r="CC49" s="881"/>
      <c r="CD49" s="881"/>
      <c r="CE49" s="881"/>
      <c r="CF49" s="881"/>
    </row>
    <row r="50" spans="2:84" ht="15.75">
      <c r="B50" s="811" t="s">
        <v>1229</v>
      </c>
      <c r="C50" s="850">
        <f>IF(Acker!J16=$C$37,Acker!K16*Acker!C16,0)</f>
        <v>0</v>
      </c>
      <c r="D50" s="894">
        <f>IF(Acker!L16=$C$37,Acker!M16*Acker!C16,0)</f>
        <v>0</v>
      </c>
      <c r="E50" s="894"/>
      <c r="F50" s="894"/>
      <c r="G50" s="894"/>
      <c r="H50" s="894">
        <f>IF(Acker!N16=$C$37,Acker!O16*Acker!C16,0)</f>
        <v>0</v>
      </c>
      <c r="I50" s="894">
        <f>IF(Acker!P16=$C$37,Acker!Q16*Acker!C16,0)</f>
        <v>0</v>
      </c>
      <c r="J50" s="895">
        <f>IF(Acker!R16=$C$37,Acker!S16*Acker!C16,0)</f>
        <v>0</v>
      </c>
      <c r="K50" s="849">
        <f t="shared" si="68"/>
        <v>0</v>
      </c>
      <c r="L50" s="1420">
        <f>IF(Acker!J16=$L$37,Acker!K16*Acker!C16,0)</f>
        <v>0</v>
      </c>
      <c r="M50" s="846">
        <f>IF(Acker!L16=$L$37,Acker!M16*Acker!C16,0)</f>
        <v>0</v>
      </c>
      <c r="N50" s="846">
        <f>IF(Acker!N16=$L$37,Acker!O16*Acker!C16,0)</f>
        <v>0</v>
      </c>
      <c r="O50" s="846">
        <f>IF(Acker!P16=$L$37,Acker!Q16*Acker!C16,0)</f>
        <v>0</v>
      </c>
      <c r="P50" s="846">
        <f>IF(Acker!R16=$L$37,Acker!S16*Acker!C16,0)</f>
        <v>0</v>
      </c>
      <c r="Q50" s="1419">
        <f t="shared" si="57"/>
        <v>0</v>
      </c>
      <c r="R50" s="845">
        <f>IF(Acker!J16=$R$37,Acker!K16*Acker!C16,0)</f>
        <v>0</v>
      </c>
      <c r="S50" s="846">
        <f>IF(Acker!L16=$R$37,Acker!M16*Acker!C16,0)</f>
        <v>0</v>
      </c>
      <c r="T50" s="846">
        <f>IF(Acker!N16=$R$37,Acker!O16*Acker!C16,0)</f>
        <v>0</v>
      </c>
      <c r="U50" s="846">
        <f>IF(Acker!P16=$R$37,Acker!Q16*Acker!C16,0)</f>
        <v>0</v>
      </c>
      <c r="V50" s="846">
        <f>IF(Acker!R16=$R$37,Acker!S16*Acker!C16,0)</f>
        <v>0</v>
      </c>
      <c r="W50" s="1419">
        <f t="shared" si="58"/>
        <v>0</v>
      </c>
      <c r="X50" s="845">
        <f>IF(Acker!J16=$X$37,Acker!K16*Acker!C16,0)</f>
        <v>0</v>
      </c>
      <c r="Y50" s="846">
        <f>IF(Acker!L16=$X$37,Acker!M16*Acker!C16,0)</f>
        <v>0</v>
      </c>
      <c r="Z50" s="846">
        <f>IF(Acker!N16=$X$37,Acker!O16*Acker!C16,0)</f>
        <v>0</v>
      </c>
      <c r="AA50" s="846">
        <f>IF(Acker!P16=$X$37,Acker!Q16*Acker!C16,0)</f>
        <v>0</v>
      </c>
      <c r="AB50" s="846">
        <f>IF(Acker!R16=$X$37,Acker!S16*Acker!C16,0)</f>
        <v>0</v>
      </c>
      <c r="AC50" s="1419">
        <f t="shared" si="59"/>
        <v>0</v>
      </c>
      <c r="AD50" s="845">
        <f>IF(Acker!J16=$AD$37,Acker!K16*Acker!C16,0)</f>
        <v>0</v>
      </c>
      <c r="AE50" s="846">
        <f>IF(Acker!L16=$AD$37,Acker!M16*Acker!C16,0)</f>
        <v>0</v>
      </c>
      <c r="AF50" s="846">
        <f>IF(Acker!N16=$AD$37,Acker!O16*Acker!C16,0)</f>
        <v>0</v>
      </c>
      <c r="AG50" s="846">
        <f>IF(Acker!P16=$AD$37,Acker!Q16*Acker!C16,0)</f>
        <v>0</v>
      </c>
      <c r="AH50" s="846">
        <f>IF(Acker!R16=$AD$37,Acker!S16*Acker!C16,0)</f>
        <v>0</v>
      </c>
      <c r="AI50" s="1419">
        <f t="shared" si="60"/>
        <v>0</v>
      </c>
      <c r="AJ50" s="845">
        <f>IF(Acker!J16=$AJ$37,Acker!K16*Acker!C16,0)</f>
        <v>0</v>
      </c>
      <c r="AK50" s="846">
        <f>IF(Acker!L16=$AJ$37,Acker!M16*Acker!C16,0)</f>
        <v>0</v>
      </c>
      <c r="AL50" s="846">
        <f>IF(Acker!N16=$AJ$37,Acker!O16*Acker!C16,0)</f>
        <v>0</v>
      </c>
      <c r="AM50" s="846">
        <f>IF(Acker!P16=$AJ$37,Acker!Q16*Acker!C16,0)</f>
        <v>0</v>
      </c>
      <c r="AN50" s="846">
        <f>IF(Acker!R16=$AJ$37,Acker!S16*Acker!C16,0)</f>
        <v>0</v>
      </c>
      <c r="AO50" s="1419">
        <f t="shared" si="61"/>
        <v>0</v>
      </c>
      <c r="AP50" s="845">
        <f>IF(Acker!J16=$AP$37,Acker!K16*Acker!C16,0)</f>
        <v>0</v>
      </c>
      <c r="AQ50" s="846">
        <f>IF(Acker!L16=$AP$37,Acker!M16*Acker!C16,0)</f>
        <v>0</v>
      </c>
      <c r="AR50" s="846">
        <f>IF(Acker!N16=$AP$37,Acker!O16*Acker!C16,0)</f>
        <v>0</v>
      </c>
      <c r="AS50" s="846">
        <f>IF(Acker!P16=$AP$37,Acker!Q16*Acker!C16,0)</f>
        <v>0</v>
      </c>
      <c r="AT50" s="846">
        <f>IF(Acker!R16=$AP$37,Acker!S16*Acker!C16,0)</f>
        <v>0</v>
      </c>
      <c r="AU50" s="1419">
        <f t="shared" si="62"/>
        <v>0</v>
      </c>
      <c r="AV50" s="845">
        <f>IF(Acker!J16=$AV$37,Acker!K16*Acker!C16,0)</f>
        <v>0</v>
      </c>
      <c r="AW50" s="846">
        <f>IF(Acker!L16=$AV$37,Acker!M16*Acker!C16,0)</f>
        <v>0</v>
      </c>
      <c r="AX50" s="846">
        <f>IF(Acker!N16=$AV$37,Acker!O16*Acker!C16,0)</f>
        <v>0</v>
      </c>
      <c r="AY50" s="846">
        <f>IF(Acker!P16=$AV$37,Acker!Q16*Acker!C16,0)</f>
        <v>0</v>
      </c>
      <c r="AZ50" s="846">
        <f>IF(Acker!R16=$AV$37,Acker!S16*Acker!C16,0)</f>
        <v>0</v>
      </c>
      <c r="BA50" s="1419">
        <f t="shared" si="63"/>
        <v>0</v>
      </c>
      <c r="BB50" s="845">
        <f>IF(Acker!J16=$BB$37,Acker!K16*Acker!C16,0)</f>
        <v>0</v>
      </c>
      <c r="BC50" s="846">
        <f>IF(Acker!L16=$BB$37,Acker!M16*Acker!C16,0)</f>
        <v>0</v>
      </c>
      <c r="BD50" s="846">
        <f>IF(Acker!N16=$BB$37,Acker!O16*Acker!C16,0)</f>
        <v>0</v>
      </c>
      <c r="BE50" s="846">
        <f>IF(Acker!P16=$BB$37,Acker!Q16*Acker!C16,0)</f>
        <v>0</v>
      </c>
      <c r="BF50" s="846">
        <f>IF(Acker!R16=$BB$37,Acker!S16*Acker!C16,0)</f>
        <v>0</v>
      </c>
      <c r="BG50" s="1419">
        <f t="shared" si="64"/>
        <v>0</v>
      </c>
      <c r="BH50" s="845">
        <f>IF(Acker!J16=$BH$37,Acker!K16*Acker!C16,0)</f>
        <v>0</v>
      </c>
      <c r="BI50" s="846">
        <f>IF(Acker!L16=$BH$37,Acker!M16*Acker!C16,0)</f>
        <v>0</v>
      </c>
      <c r="BJ50" s="846">
        <f>IF(Acker!N16=$BH$37,Acker!O16*Acker!C16,0)</f>
        <v>0</v>
      </c>
      <c r="BK50" s="846">
        <f>IF(Acker!P16=$BH$37,Acker!Q16*Acker!C16,0)</f>
        <v>0</v>
      </c>
      <c r="BL50" s="1421">
        <f>IF(Acker!R16=$BH$37,Acker!S16*Acker!C16,0)</f>
        <v>0</v>
      </c>
      <c r="BM50" s="1419">
        <f t="shared" si="65"/>
        <v>0</v>
      </c>
      <c r="BN50" s="1420">
        <f>IF(Acker!J16=$BN$37,Acker!K16*Acker!C16,0)</f>
        <v>0</v>
      </c>
      <c r="BO50" s="846">
        <f>IF(Acker!L16=$BN$37,Acker!M16*Acker!C16,0)</f>
        <v>0</v>
      </c>
      <c r="BP50" s="846">
        <f>IF(Acker!N16=$BN$37,Acker!O16*Acker!C16,0)</f>
        <v>0</v>
      </c>
      <c r="BQ50" s="846">
        <f>IF(Acker!P16=$BN$37,Acker!Q16*Acker!C16,0)</f>
        <v>0</v>
      </c>
      <c r="BR50" s="846">
        <f>IF(Acker!R16=$BN$37,Acker!S16*Acker!C16,0)</f>
        <v>0</v>
      </c>
      <c r="BS50" s="1419">
        <f t="shared" si="66"/>
        <v>0</v>
      </c>
      <c r="BT50" s="845">
        <f>IF(Acker!J16=$BT$37,Acker!K16*Acker!C16,0)</f>
        <v>0</v>
      </c>
      <c r="BU50" s="846">
        <f>IF(Acker!L16=$BT$37,Acker!M16*Acker!C16,0)</f>
        <v>0</v>
      </c>
      <c r="BV50" s="846">
        <f>IF(Acker!N16=$BT$37,Acker!O16*Acker!C16,0)</f>
        <v>0</v>
      </c>
      <c r="BW50" s="846">
        <f>IF(Acker!P16=$BT$37,Acker!Q16*Acker!C16,0)</f>
        <v>0</v>
      </c>
      <c r="BX50" s="846">
        <f>IF(Acker!R16=$BT$37,Acker!S16*Acker!C16,0)</f>
        <v>0</v>
      </c>
      <c r="BY50" s="1419">
        <f t="shared" si="67"/>
        <v>0</v>
      </c>
      <c r="BZ50" s="881"/>
      <c r="CA50" s="881"/>
      <c r="CB50" s="881"/>
      <c r="CC50" s="881"/>
      <c r="CD50" s="881"/>
      <c r="CE50" s="881"/>
      <c r="CF50" s="881"/>
    </row>
    <row r="51" spans="2:84" ht="15.75">
      <c r="B51" s="811" t="s">
        <v>1239</v>
      </c>
      <c r="C51" s="850">
        <f>IF(Acker!J17=$C$37,Acker!K17*Acker!C17,0)</f>
        <v>0</v>
      </c>
      <c r="D51" s="894">
        <f>IF(Acker!L17=$C$37,Acker!M17*Acker!C17,0)</f>
        <v>0</v>
      </c>
      <c r="E51" s="894"/>
      <c r="F51" s="894"/>
      <c r="G51" s="894"/>
      <c r="H51" s="894">
        <f>IF(Acker!N17=$C$37,Acker!O17*Acker!C17,0)</f>
        <v>0</v>
      </c>
      <c r="I51" s="894">
        <f>IF(Acker!P17=$C$37,Acker!Q17*Acker!C17,0)</f>
        <v>0</v>
      </c>
      <c r="J51" s="895">
        <f>IF(Acker!R17=$C$37,Acker!S17*Acker!C17,0)</f>
        <v>0</v>
      </c>
      <c r="K51" s="849">
        <f t="shared" ref="K51:K52" si="69">SUM(C51:J51)</f>
        <v>0</v>
      </c>
      <c r="L51" s="1420">
        <f>IF(Acker!J17=$L$37,Acker!K17*Acker!C17,0)</f>
        <v>0</v>
      </c>
      <c r="M51" s="846">
        <f>IF(Acker!L17=$L$37,Acker!M17*Acker!C17,0)</f>
        <v>0</v>
      </c>
      <c r="N51" s="846">
        <f>IF(Acker!N17=$L$37,Acker!O17*Acker!C17,0)</f>
        <v>0</v>
      </c>
      <c r="O51" s="846">
        <f>IF(Acker!P17=$L$37,Acker!Q17*Acker!C17,0)</f>
        <v>0</v>
      </c>
      <c r="P51" s="846">
        <f>IF(Acker!R17=$L$37,Acker!S17*Acker!C17,0)</f>
        <v>0</v>
      </c>
      <c r="Q51" s="1419">
        <f t="shared" ref="Q51:Q52" si="70">SUM(L51:P51)</f>
        <v>0</v>
      </c>
      <c r="R51" s="845">
        <f>IF(Acker!J17=$R$37,Acker!K17*Acker!C17,0)</f>
        <v>0</v>
      </c>
      <c r="S51" s="846">
        <f>IF(Acker!L17=$R$37,Acker!M17*Acker!C17,0)</f>
        <v>0</v>
      </c>
      <c r="T51" s="846">
        <f>IF(Acker!N17=$R$37,Acker!O17*Acker!C17,0)</f>
        <v>0</v>
      </c>
      <c r="U51" s="846">
        <f>IF(Acker!P17=$R$37,Acker!Q17*Acker!C17,0)</f>
        <v>0</v>
      </c>
      <c r="V51" s="846">
        <f>IF(Acker!R17=$R$37,Acker!S17*Acker!C17,0)</f>
        <v>0</v>
      </c>
      <c r="W51" s="1419">
        <f t="shared" ref="W51:W52" si="71">SUM(R51:V51)</f>
        <v>0</v>
      </c>
      <c r="X51" s="845">
        <f>IF(Acker!J17=$X$37,Acker!K17*Acker!C17,0)</f>
        <v>0</v>
      </c>
      <c r="Y51" s="846">
        <f>IF(Acker!L17=$X$37,Acker!M17*Acker!C17,0)</f>
        <v>0</v>
      </c>
      <c r="Z51" s="846">
        <f>IF(Acker!N17=$X$37,Acker!O17*Acker!C17,0)</f>
        <v>0</v>
      </c>
      <c r="AA51" s="846">
        <f>IF(Acker!P17=$X$37,Acker!Q17*Acker!C17,0)</f>
        <v>0</v>
      </c>
      <c r="AB51" s="846">
        <f>IF(Acker!R17=$X$37,Acker!S17*Acker!C17,0)</f>
        <v>0</v>
      </c>
      <c r="AC51" s="1419">
        <f t="shared" ref="AC51:AC52" si="72">SUM(X51:AB51)</f>
        <v>0</v>
      </c>
      <c r="AD51" s="845">
        <f>IF(Acker!J17=$AD$37,Acker!K17*Acker!C17,0)</f>
        <v>0</v>
      </c>
      <c r="AE51" s="846">
        <f>IF(Acker!L17=$AD$37,Acker!M17*Acker!C17,0)</f>
        <v>0</v>
      </c>
      <c r="AF51" s="846">
        <f>IF(Acker!N17=$AD$37,Acker!O17*Acker!C17,0)</f>
        <v>0</v>
      </c>
      <c r="AG51" s="846">
        <f>IF(Acker!P17=$AD$37,Acker!Q17*Acker!C17,0)</f>
        <v>0</v>
      </c>
      <c r="AH51" s="846">
        <f>IF(Acker!R17=$AD$37,Acker!S17*Acker!C17,0)</f>
        <v>0</v>
      </c>
      <c r="AI51" s="1419">
        <f t="shared" ref="AI51:AI52" si="73">SUM(AD51:AH51)</f>
        <v>0</v>
      </c>
      <c r="AJ51" s="845">
        <f>IF(Acker!J17=$AJ$37,Acker!K17*Acker!C17,0)</f>
        <v>0</v>
      </c>
      <c r="AK51" s="846">
        <f>IF(Acker!L17=$AJ$37,Acker!M17*Acker!C17,0)</f>
        <v>0</v>
      </c>
      <c r="AL51" s="846">
        <f>IF(Acker!N17=$AJ$37,Acker!O17*Acker!C17,0)</f>
        <v>0</v>
      </c>
      <c r="AM51" s="846">
        <f>IF(Acker!P17=$AJ$37,Acker!Q17*Acker!C17,0)</f>
        <v>0</v>
      </c>
      <c r="AN51" s="846">
        <f>IF(Acker!R17=$AJ$37,Acker!S17*Acker!C17,0)</f>
        <v>0</v>
      </c>
      <c r="AO51" s="1419">
        <f t="shared" ref="AO51:AO52" si="74">SUM(AJ51:AN51)</f>
        <v>0</v>
      </c>
      <c r="AP51" s="845">
        <f>IF(Acker!J17=$AP$37,Acker!K17*Acker!C17,0)</f>
        <v>0</v>
      </c>
      <c r="AQ51" s="846">
        <f>IF(Acker!L17=$AP$37,Acker!M17*Acker!C17,0)</f>
        <v>0</v>
      </c>
      <c r="AR51" s="846">
        <f>IF(Acker!N17=$AP$37,Acker!O17*Acker!C17,0)</f>
        <v>0</v>
      </c>
      <c r="AS51" s="846">
        <f>IF(Acker!P17=$AP$37,Acker!Q17*Acker!C17,0)</f>
        <v>0</v>
      </c>
      <c r="AT51" s="846">
        <f>IF(Acker!R17=$AP$37,Acker!S17*Acker!C17,0)</f>
        <v>0</v>
      </c>
      <c r="AU51" s="1419">
        <f t="shared" ref="AU51:AU52" si="75">SUM(AP51:AT51)</f>
        <v>0</v>
      </c>
      <c r="AV51" s="845">
        <f>IF(Acker!J17=$AV$37,Acker!K17*Acker!C17,0)</f>
        <v>0</v>
      </c>
      <c r="AW51" s="846">
        <f>IF(Acker!L17=$AV$37,Acker!M17*Acker!C17,0)</f>
        <v>0</v>
      </c>
      <c r="AX51" s="846">
        <f>IF(Acker!N17=$AV$37,Acker!O17*Acker!C17,0)</f>
        <v>0</v>
      </c>
      <c r="AY51" s="846">
        <f>IF(Acker!P17=$AV$37,Acker!Q17*Acker!C17,0)</f>
        <v>0</v>
      </c>
      <c r="AZ51" s="846">
        <f>IF(Acker!R17=$AV$37,Acker!S17*Acker!C17,0)</f>
        <v>0</v>
      </c>
      <c r="BA51" s="1419">
        <f t="shared" ref="BA51:BA52" si="76">SUM(AV51:AZ51)</f>
        <v>0</v>
      </c>
      <c r="BB51" s="845">
        <f>IF(Acker!J17=$BB$37,Acker!K17*Acker!C17,0)</f>
        <v>0</v>
      </c>
      <c r="BC51" s="846">
        <f>IF(Acker!L17=$BB$37,Acker!M17*Acker!C17,0)</f>
        <v>0</v>
      </c>
      <c r="BD51" s="846">
        <f>IF(Acker!N17=$BB$37,Acker!O17*Acker!C17,0)</f>
        <v>0</v>
      </c>
      <c r="BE51" s="846">
        <f>IF(Acker!P17=$BB$37,Acker!Q17*Acker!C17,0)</f>
        <v>0</v>
      </c>
      <c r="BF51" s="846">
        <f>IF(Acker!R17=$BB$37,Acker!S17*Acker!C17,0)</f>
        <v>0</v>
      </c>
      <c r="BG51" s="1419">
        <f t="shared" ref="BG51:BG52" si="77">SUM(BB51:BF51)</f>
        <v>0</v>
      </c>
      <c r="BH51" s="845">
        <f>IF(Acker!J17=$BH$37,Acker!K17*Acker!C17,0)</f>
        <v>0</v>
      </c>
      <c r="BI51" s="846">
        <f>IF(Acker!L17=$BH$37,Acker!M17*Acker!C17,0)</f>
        <v>0</v>
      </c>
      <c r="BJ51" s="846">
        <f>IF(Acker!N17=$BH$37,Acker!O17*Acker!C17,0)</f>
        <v>0</v>
      </c>
      <c r="BK51" s="846">
        <f>IF(Acker!P17=$BH$37,Acker!Q17*Acker!C17,0)</f>
        <v>0</v>
      </c>
      <c r="BL51" s="1421">
        <f>IF(Acker!R17=$BH$37,Acker!S17*Acker!C17,0)</f>
        <v>0</v>
      </c>
      <c r="BM51" s="1419">
        <f t="shared" ref="BM51:BM52" si="78">SUM(BH51:BL51)</f>
        <v>0</v>
      </c>
      <c r="BN51" s="1420">
        <f>IF(Acker!J17=$BN$37,Acker!K17*Acker!C17,0)</f>
        <v>0</v>
      </c>
      <c r="BO51" s="846">
        <f>IF(Acker!L17=$BN$37,Acker!M17*Acker!C17,0)</f>
        <v>0</v>
      </c>
      <c r="BP51" s="846">
        <f>IF(Acker!N17=$BN$37,Acker!O17*Acker!C17,0)</f>
        <v>0</v>
      </c>
      <c r="BQ51" s="846">
        <f>IF(Acker!P17=$BN$37,Acker!Q17*Acker!C17,0)</f>
        <v>0</v>
      </c>
      <c r="BR51" s="846">
        <f>IF(Acker!R17=$BN$37,Acker!S17*Acker!C17,0)</f>
        <v>0</v>
      </c>
      <c r="BS51" s="1419">
        <f t="shared" ref="BS51:BS52" si="79">SUM(BN51:BR51)</f>
        <v>0</v>
      </c>
      <c r="BT51" s="845">
        <f>IF(Acker!J17=$BT$37,Acker!K17*Acker!C17,0)</f>
        <v>0</v>
      </c>
      <c r="BU51" s="846">
        <f>IF(Acker!L17=$BT$37,Acker!M17*Acker!C17,0)</f>
        <v>0</v>
      </c>
      <c r="BV51" s="846">
        <f>IF(Acker!N17=$BT$37,Acker!O17*Acker!C17,0)</f>
        <v>0</v>
      </c>
      <c r="BW51" s="846">
        <f>IF(Acker!P17=$BT$37,Acker!Q17*Acker!C17,0)</f>
        <v>0</v>
      </c>
      <c r="BX51" s="846">
        <f>IF(Acker!R17=$BT$37,Acker!S17*Acker!C17,0)</f>
        <v>0</v>
      </c>
      <c r="BY51" s="1419">
        <f t="shared" ref="BY51:BY52" si="80">SUM(BT51:BX51)</f>
        <v>0</v>
      </c>
      <c r="BZ51" s="881"/>
      <c r="CA51" s="881"/>
      <c r="CB51" s="881"/>
      <c r="CC51" s="881"/>
      <c r="CD51" s="881"/>
      <c r="CE51" s="881"/>
      <c r="CF51" s="881"/>
    </row>
    <row r="52" spans="2:84" ht="16.5" thickBot="1">
      <c r="B52" s="811" t="s">
        <v>1240</v>
      </c>
      <c r="C52" s="850">
        <f>IF(Acker!J18=$C$37,Acker!K18*Acker!C18,0)</f>
        <v>0</v>
      </c>
      <c r="D52" s="894">
        <f>IF(Acker!L18=$C$37,Acker!M18*Acker!C18,0)</f>
        <v>0</v>
      </c>
      <c r="E52" s="894"/>
      <c r="F52" s="894"/>
      <c r="G52" s="894"/>
      <c r="H52" s="894">
        <f>IF(Acker!N18=$C$37,Acker!O18*Acker!C18,0)</f>
        <v>0</v>
      </c>
      <c r="I52" s="894">
        <f>IF(Acker!P18=$C$37,Acker!Q18*Acker!C18,0)</f>
        <v>0</v>
      </c>
      <c r="J52" s="895">
        <f>IF(Acker!R18=$C$37,Acker!S18*Acker!C18,0)</f>
        <v>0</v>
      </c>
      <c r="K52" s="849">
        <f t="shared" si="69"/>
        <v>0</v>
      </c>
      <c r="L52" s="1420">
        <f>IF(Acker!J18=$L$37,Acker!K18*Acker!C18,0)</f>
        <v>0</v>
      </c>
      <c r="M52" s="846">
        <f>IF(Acker!L18=$L$37,Acker!M18*Acker!C18,0)</f>
        <v>0</v>
      </c>
      <c r="N52" s="846">
        <f>IF(Acker!N18=$L$37,Acker!O18*Acker!C18,0)</f>
        <v>0</v>
      </c>
      <c r="O52" s="846">
        <f>IF(Acker!P18=$L$37,Acker!Q18*Acker!C18,0)</f>
        <v>0</v>
      </c>
      <c r="P52" s="846">
        <f>IF(Acker!R18=$L$37,Acker!S18*Acker!C18,0)</f>
        <v>0</v>
      </c>
      <c r="Q52" s="1419">
        <f t="shared" si="70"/>
        <v>0</v>
      </c>
      <c r="R52" s="845">
        <f>IF(Acker!J18=$R$37,Acker!K18*Acker!C18,0)</f>
        <v>0</v>
      </c>
      <c r="S52" s="846">
        <f>IF(Acker!L18=$R$37,Acker!M18*Acker!C18,0)</f>
        <v>0</v>
      </c>
      <c r="T52" s="846">
        <f>IF(Acker!N18=$R$37,Acker!O18*Acker!C18,0)</f>
        <v>0</v>
      </c>
      <c r="U52" s="846">
        <f>IF(Acker!P18=$R$37,Acker!Q18*Acker!C18,0)</f>
        <v>0</v>
      </c>
      <c r="V52" s="846">
        <f>IF(Acker!R18=$R$37,Acker!S18*Acker!C18,0)</f>
        <v>0</v>
      </c>
      <c r="W52" s="1419">
        <f t="shared" si="71"/>
        <v>0</v>
      </c>
      <c r="X52" s="845">
        <f>IF(Acker!J18=$X$37,Acker!K18*Acker!C18,0)</f>
        <v>0</v>
      </c>
      <c r="Y52" s="846">
        <f>IF(Acker!L18=$X$37,Acker!M18*Acker!C18,0)</f>
        <v>0</v>
      </c>
      <c r="Z52" s="846">
        <f>IF(Acker!N18=$X$37,Acker!O18*Acker!C18,0)</f>
        <v>0</v>
      </c>
      <c r="AA52" s="846">
        <f>IF(Acker!P18=$X$37,Acker!Q18*Acker!C18,0)</f>
        <v>0</v>
      </c>
      <c r="AB52" s="846">
        <f>IF(Acker!R18=$X$37,Acker!S18*Acker!C18,0)</f>
        <v>0</v>
      </c>
      <c r="AC52" s="1419">
        <f t="shared" si="72"/>
        <v>0</v>
      </c>
      <c r="AD52" s="845">
        <f>IF(Acker!J18=$AD$37,Acker!K18*Acker!C18,0)</f>
        <v>0</v>
      </c>
      <c r="AE52" s="846">
        <f>IF(Acker!L18=$AD$37,Acker!M18*Acker!C18,0)</f>
        <v>0</v>
      </c>
      <c r="AF52" s="846">
        <f>IF(Acker!N18=$AD$37,Acker!O18*Acker!C18,0)</f>
        <v>0</v>
      </c>
      <c r="AG52" s="846">
        <f>IF(Acker!P18=$AD$37,Acker!Q18*Acker!C18,0)</f>
        <v>0</v>
      </c>
      <c r="AH52" s="846">
        <f>IF(Acker!R18=$AD$37,Acker!S18*Acker!C18,0)</f>
        <v>0</v>
      </c>
      <c r="AI52" s="1419">
        <f t="shared" si="73"/>
        <v>0</v>
      </c>
      <c r="AJ52" s="845">
        <f>IF(Acker!J18=$AJ$37,Acker!K18*Acker!C18,0)</f>
        <v>0</v>
      </c>
      <c r="AK52" s="846">
        <f>IF(Acker!L18=$AJ$37,Acker!M18*Acker!C18,0)</f>
        <v>0</v>
      </c>
      <c r="AL52" s="846">
        <f>IF(Acker!N18=$AJ$37,Acker!O18*Acker!C18,0)</f>
        <v>0</v>
      </c>
      <c r="AM52" s="846">
        <f>IF(Acker!P18=$AJ$37,Acker!Q18*Acker!C18,0)</f>
        <v>0</v>
      </c>
      <c r="AN52" s="846">
        <f>IF(Acker!R18=$AJ$37,Acker!S18*Acker!C18,0)</f>
        <v>0</v>
      </c>
      <c r="AO52" s="1419">
        <f t="shared" si="74"/>
        <v>0</v>
      </c>
      <c r="AP52" s="845">
        <f>IF(Acker!J18=$AP$37,Acker!K18*Acker!C18,0)</f>
        <v>0</v>
      </c>
      <c r="AQ52" s="846">
        <f>IF(Acker!L18=$AP$37,Acker!M18*Acker!C18,0)</f>
        <v>0</v>
      </c>
      <c r="AR52" s="846">
        <f>IF(Acker!N18=$AP$37,Acker!O18*Acker!C18,0)</f>
        <v>0</v>
      </c>
      <c r="AS52" s="846">
        <f>IF(Acker!P18=$AP$37,Acker!Q18*Acker!C18,0)</f>
        <v>0</v>
      </c>
      <c r="AT52" s="846">
        <f>IF(Acker!R18=$AP$37,Acker!S18*Acker!C18,0)</f>
        <v>0</v>
      </c>
      <c r="AU52" s="1419">
        <f t="shared" si="75"/>
        <v>0</v>
      </c>
      <c r="AV52" s="845">
        <f>IF(Acker!J18=$AV$37,Acker!K18*Acker!C18,0)</f>
        <v>0</v>
      </c>
      <c r="AW52" s="846">
        <f>IF(Acker!L18=$AV$37,Acker!M18*Acker!C18,0)</f>
        <v>0</v>
      </c>
      <c r="AX52" s="846">
        <f>IF(Acker!N18=$AV$37,Acker!O18*Acker!C18,0)</f>
        <v>0</v>
      </c>
      <c r="AY52" s="846">
        <f>IF(Acker!P18=$AV$37,Acker!Q18*Acker!C18,0)</f>
        <v>0</v>
      </c>
      <c r="AZ52" s="846">
        <f>IF(Acker!R18=$AV$37,Acker!S18*Acker!C18,0)</f>
        <v>0</v>
      </c>
      <c r="BA52" s="1419">
        <f t="shared" si="76"/>
        <v>0</v>
      </c>
      <c r="BB52" s="845">
        <f>IF(Acker!J18=$BB$37,Acker!K18*Acker!C18,0)</f>
        <v>0</v>
      </c>
      <c r="BC52" s="846">
        <f>IF(Acker!L18=$BB$37,Acker!M18*Acker!C18,0)</f>
        <v>0</v>
      </c>
      <c r="BD52" s="846">
        <f>IF(Acker!N18=$BB$37,Acker!O18*Acker!C18,0)</f>
        <v>0</v>
      </c>
      <c r="BE52" s="846">
        <f>IF(Acker!P18=$BB$37,Acker!Q18*Acker!C18,0)</f>
        <v>0</v>
      </c>
      <c r="BF52" s="846">
        <f>IF(Acker!R18=$BB$37,Acker!S18*Acker!C18,0)</f>
        <v>0</v>
      </c>
      <c r="BG52" s="1419">
        <f t="shared" si="77"/>
        <v>0</v>
      </c>
      <c r="BH52" s="845">
        <f>IF(Acker!J18=$BH$37,Acker!K18*Acker!C18,0)</f>
        <v>0</v>
      </c>
      <c r="BI52" s="846">
        <f>IF(Acker!L18=$BH$37,Acker!M18*Acker!C18,0)</f>
        <v>0</v>
      </c>
      <c r="BJ52" s="846">
        <f>IF(Acker!N18=$BH$37,Acker!O18*Acker!C18,0)</f>
        <v>0</v>
      </c>
      <c r="BK52" s="846">
        <f>IF(Acker!P18=$BH$37,Acker!Q18*Acker!C18,0)</f>
        <v>0</v>
      </c>
      <c r="BL52" s="1421">
        <f>IF(Acker!R18=$BH$37,Acker!S18*Acker!C18,0)</f>
        <v>0</v>
      </c>
      <c r="BM52" s="1419">
        <f t="shared" si="78"/>
        <v>0</v>
      </c>
      <c r="BN52" s="1420">
        <f>IF(Acker!J18=$BN$37,Acker!K18*Acker!C18,0)</f>
        <v>0</v>
      </c>
      <c r="BO52" s="846">
        <f>IF(Acker!L18=$BN$37,Acker!M18*Acker!C18,0)</f>
        <v>0</v>
      </c>
      <c r="BP52" s="846">
        <f>IF(Acker!N18=$BN$37,Acker!O18*Acker!C18,0)</f>
        <v>0</v>
      </c>
      <c r="BQ52" s="846">
        <f>IF(Acker!P18=$BN$37,Acker!Q18*Acker!C18,0)</f>
        <v>0</v>
      </c>
      <c r="BR52" s="846">
        <f>IF(Acker!R18=$BN$37,Acker!S18*Acker!C18,0)</f>
        <v>0</v>
      </c>
      <c r="BS52" s="1419">
        <f t="shared" si="79"/>
        <v>0</v>
      </c>
      <c r="BT52" s="845">
        <f>IF(Acker!J18=$BT$37,Acker!K18*Acker!C18,0)</f>
        <v>0</v>
      </c>
      <c r="BU52" s="846">
        <f>IF(Acker!L18=$BT$37,Acker!M18*Acker!C18,0)</f>
        <v>0</v>
      </c>
      <c r="BV52" s="846">
        <f>IF(Acker!N18=$BT$37,Acker!O18*Acker!C18,0)</f>
        <v>0</v>
      </c>
      <c r="BW52" s="846">
        <f>IF(Acker!P18=$BT$37,Acker!Q18*Acker!C18,0)</f>
        <v>0</v>
      </c>
      <c r="BX52" s="846">
        <f>IF(Acker!R18=$BT$37,Acker!S18*Acker!C18,0)</f>
        <v>0</v>
      </c>
      <c r="BY52" s="1419">
        <f t="shared" si="80"/>
        <v>0</v>
      </c>
      <c r="BZ52" s="881"/>
      <c r="CA52" s="881"/>
      <c r="CB52" s="881"/>
      <c r="CC52" s="881"/>
      <c r="CD52" s="881"/>
      <c r="CE52" s="881"/>
      <c r="CF52" s="881"/>
    </row>
    <row r="53" spans="2:84" ht="16.5" thickBot="1">
      <c r="B53" s="811" t="s">
        <v>623</v>
      </c>
      <c r="C53" s="1422">
        <f>SUM(C39:C52)</f>
        <v>0</v>
      </c>
      <c r="D53" s="1446">
        <f t="shared" ref="D53:J53" si="81">SUM(D39:D52)</f>
        <v>0</v>
      </c>
      <c r="E53" s="1446"/>
      <c r="F53" s="1446"/>
      <c r="G53" s="1446"/>
      <c r="H53" s="1446">
        <f t="shared" si="81"/>
        <v>0</v>
      </c>
      <c r="I53" s="1446">
        <f t="shared" si="81"/>
        <v>0</v>
      </c>
      <c r="J53" s="1447">
        <f t="shared" si="81"/>
        <v>0</v>
      </c>
      <c r="K53" s="1423">
        <f t="shared" ref="K53" si="82">SUM(K39:K52)</f>
        <v>0</v>
      </c>
      <c r="L53" s="1448">
        <f t="shared" ref="L53" si="83">SUM(L39:L52)</f>
        <v>0</v>
      </c>
      <c r="M53" s="1446">
        <f t="shared" ref="M53" si="84">SUM(M39:M52)</f>
        <v>0</v>
      </c>
      <c r="N53" s="1446">
        <f t="shared" ref="N53" si="85">SUM(N39:N52)</f>
        <v>0</v>
      </c>
      <c r="O53" s="1446">
        <f t="shared" ref="O53" si="86">SUM(O39:O52)</f>
        <v>0</v>
      </c>
      <c r="P53" s="1446">
        <f t="shared" ref="P53" si="87">SUM(P39:P52)</f>
        <v>0</v>
      </c>
      <c r="Q53" s="1449">
        <f t="shared" ref="Q53" si="88">SUM(Q39:Q52)</f>
        <v>0</v>
      </c>
      <c r="R53" s="1450">
        <f t="shared" ref="R53" si="89">SUM(R39:R52)</f>
        <v>0</v>
      </c>
      <c r="S53" s="1446">
        <f t="shared" ref="S53" si="90">SUM(S39:S52)</f>
        <v>0</v>
      </c>
      <c r="T53" s="1446">
        <f t="shared" ref="T53" si="91">SUM(T39:T52)</f>
        <v>0</v>
      </c>
      <c r="U53" s="1446">
        <f t="shared" ref="U53" si="92">SUM(U39:U52)</f>
        <v>0</v>
      </c>
      <c r="V53" s="1446">
        <f t="shared" ref="V53" si="93">SUM(V39:V52)</f>
        <v>0</v>
      </c>
      <c r="W53" s="1449">
        <f t="shared" ref="W53" si="94">SUM(W39:W52)</f>
        <v>0</v>
      </c>
      <c r="X53" s="1450">
        <f t="shared" ref="X53" si="95">SUM(X39:X52)</f>
        <v>0</v>
      </c>
      <c r="Y53" s="1446">
        <f t="shared" ref="Y53" si="96">SUM(Y39:Y52)</f>
        <v>0</v>
      </c>
      <c r="Z53" s="1446">
        <f t="shared" ref="Z53" si="97">SUM(Z39:Z52)</f>
        <v>0</v>
      </c>
      <c r="AA53" s="1446">
        <f t="shared" ref="AA53" si="98">SUM(AA39:AA52)</f>
        <v>0</v>
      </c>
      <c r="AB53" s="1446">
        <f t="shared" ref="AB53" si="99">SUM(AB39:AB52)</f>
        <v>0</v>
      </c>
      <c r="AC53" s="1449">
        <f t="shared" ref="AC53" si="100">SUM(AC39:AC52)</f>
        <v>0</v>
      </c>
      <c r="AD53" s="1450">
        <f t="shared" ref="AD53" si="101">SUM(AD39:AD52)</f>
        <v>0</v>
      </c>
      <c r="AE53" s="1446">
        <f t="shared" ref="AE53" si="102">SUM(AE39:AE52)</f>
        <v>0</v>
      </c>
      <c r="AF53" s="1446">
        <f t="shared" ref="AF53" si="103">SUM(AF39:AF52)</f>
        <v>0</v>
      </c>
      <c r="AG53" s="1446">
        <f t="shared" ref="AG53" si="104">SUM(AG39:AG52)</f>
        <v>0</v>
      </c>
      <c r="AH53" s="1446">
        <f t="shared" ref="AH53" si="105">SUM(AH39:AH52)</f>
        <v>0</v>
      </c>
      <c r="AI53" s="1449">
        <f t="shared" ref="AI53" si="106">SUM(AI39:AI52)</f>
        <v>0</v>
      </c>
      <c r="AJ53" s="1450">
        <f t="shared" ref="AJ53" si="107">SUM(AJ39:AJ52)</f>
        <v>0</v>
      </c>
      <c r="AK53" s="1446">
        <f t="shared" ref="AK53" si="108">SUM(AK39:AK52)</f>
        <v>0</v>
      </c>
      <c r="AL53" s="1446">
        <f t="shared" ref="AL53" si="109">SUM(AL39:AL52)</f>
        <v>0</v>
      </c>
      <c r="AM53" s="1446">
        <f t="shared" ref="AM53" si="110">SUM(AM39:AM52)</f>
        <v>0</v>
      </c>
      <c r="AN53" s="1446">
        <f t="shared" ref="AN53" si="111">SUM(AN39:AN52)</f>
        <v>0</v>
      </c>
      <c r="AO53" s="1449">
        <f t="shared" ref="AO53" si="112">SUM(AO39:AO52)</f>
        <v>0</v>
      </c>
      <c r="AP53" s="1450">
        <f t="shared" ref="AP53" si="113">SUM(AP39:AP52)</f>
        <v>0</v>
      </c>
      <c r="AQ53" s="1446">
        <f t="shared" ref="AQ53" si="114">SUM(AQ39:AQ52)</f>
        <v>0</v>
      </c>
      <c r="AR53" s="1446">
        <f t="shared" ref="AR53" si="115">SUM(AR39:AR52)</f>
        <v>0</v>
      </c>
      <c r="AS53" s="1446">
        <f t="shared" ref="AS53" si="116">SUM(AS39:AS52)</f>
        <v>0</v>
      </c>
      <c r="AT53" s="1446">
        <f t="shared" ref="AT53" si="117">SUM(AT39:AT52)</f>
        <v>0</v>
      </c>
      <c r="AU53" s="1449">
        <f t="shared" ref="AU53" si="118">SUM(AU39:AU52)</f>
        <v>0</v>
      </c>
      <c r="AV53" s="1450">
        <f t="shared" ref="AV53" si="119">SUM(AV39:AV52)</f>
        <v>0</v>
      </c>
      <c r="AW53" s="1446">
        <f t="shared" ref="AW53" si="120">SUM(AW39:AW52)</f>
        <v>0</v>
      </c>
      <c r="AX53" s="1446">
        <f t="shared" ref="AX53" si="121">SUM(AX39:AX52)</f>
        <v>0</v>
      </c>
      <c r="AY53" s="1446">
        <f t="shared" ref="AY53" si="122">SUM(AY39:AY52)</f>
        <v>0</v>
      </c>
      <c r="AZ53" s="1446">
        <f t="shared" ref="AZ53" si="123">SUM(AZ39:AZ52)</f>
        <v>0</v>
      </c>
      <c r="BA53" s="1449">
        <f t="shared" ref="BA53" si="124">SUM(BA39:BA52)</f>
        <v>0</v>
      </c>
      <c r="BB53" s="1450">
        <f t="shared" ref="BB53" si="125">SUM(BB39:BB52)</f>
        <v>0</v>
      </c>
      <c r="BC53" s="1446">
        <f t="shared" ref="BC53" si="126">SUM(BC39:BC52)</f>
        <v>0</v>
      </c>
      <c r="BD53" s="1446">
        <f t="shared" ref="BD53" si="127">SUM(BD39:BD52)</f>
        <v>0</v>
      </c>
      <c r="BE53" s="1446">
        <f t="shared" ref="BE53" si="128">SUM(BE39:BE52)</f>
        <v>0</v>
      </c>
      <c r="BF53" s="1446">
        <f t="shared" ref="BF53" si="129">SUM(BF39:BF52)</f>
        <v>0</v>
      </c>
      <c r="BG53" s="1449">
        <f t="shared" ref="BG53" si="130">SUM(BG39:BG52)</f>
        <v>0</v>
      </c>
      <c r="BH53" s="1450">
        <f t="shared" ref="BH53" si="131">SUM(BH39:BH52)</f>
        <v>0</v>
      </c>
      <c r="BI53" s="1446">
        <f t="shared" ref="BI53" si="132">SUM(BI39:BI52)</f>
        <v>0</v>
      </c>
      <c r="BJ53" s="1446">
        <f t="shared" ref="BJ53" si="133">SUM(BJ39:BJ52)</f>
        <v>0</v>
      </c>
      <c r="BK53" s="1446">
        <f t="shared" ref="BK53" si="134">SUM(BK39:BK52)</f>
        <v>0</v>
      </c>
      <c r="BL53" s="1447">
        <f t="shared" ref="BL53" si="135">SUM(BL39:BL52)</f>
        <v>0</v>
      </c>
      <c r="BM53" s="1449">
        <f t="shared" ref="BM53" si="136">SUM(BM39:BM52)</f>
        <v>0</v>
      </c>
      <c r="BN53" s="1448">
        <f t="shared" ref="BN53" si="137">SUM(BN39:BN52)</f>
        <v>0</v>
      </c>
      <c r="BO53" s="1446">
        <f t="shared" ref="BO53" si="138">SUM(BO39:BO52)</f>
        <v>0</v>
      </c>
      <c r="BP53" s="1446">
        <f t="shared" ref="BP53" si="139">SUM(BP39:BP52)</f>
        <v>0</v>
      </c>
      <c r="BQ53" s="1446">
        <f t="shared" ref="BQ53" si="140">SUM(BQ39:BQ52)</f>
        <v>0</v>
      </c>
      <c r="BR53" s="1446">
        <f t="shared" ref="BR53" si="141">SUM(BR39:BR52)</f>
        <v>0</v>
      </c>
      <c r="BS53" s="1449">
        <f t="shared" ref="BS53" si="142">SUM(BS39:BS52)</f>
        <v>0</v>
      </c>
      <c r="BT53" s="1450">
        <f t="shared" ref="BT53" si="143">SUM(BT39:BT52)</f>
        <v>0</v>
      </c>
      <c r="BU53" s="1446">
        <f t="shared" ref="BU53" si="144">SUM(BU39:BU52)</f>
        <v>0</v>
      </c>
      <c r="BV53" s="1446">
        <f t="shared" ref="BV53" si="145">SUM(BV39:BV52)</f>
        <v>0</v>
      </c>
      <c r="BW53" s="1446">
        <f t="shared" ref="BW53" si="146">SUM(BW39:BW52)</f>
        <v>0</v>
      </c>
      <c r="BX53" s="1446">
        <f t="shared" ref="BX53" si="147">SUM(BX39:BX52)</f>
        <v>0</v>
      </c>
      <c r="BY53" s="1449">
        <f t="shared" ref="BY53" si="148">SUM(BY39:BY52)</f>
        <v>0</v>
      </c>
      <c r="BZ53" s="880"/>
      <c r="CA53" s="880"/>
      <c r="CB53" s="880"/>
      <c r="CC53" s="880"/>
      <c r="CD53" s="880"/>
      <c r="CE53" s="880"/>
      <c r="CF53" s="880"/>
    </row>
    <row r="54" spans="2:84" ht="15.75">
      <c r="B54" s="882"/>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c r="BJ54" s="882"/>
      <c r="BK54" s="882"/>
      <c r="BL54" s="882"/>
      <c r="BM54" s="882"/>
      <c r="BN54" s="882"/>
      <c r="BO54" s="882"/>
      <c r="BP54" s="882"/>
      <c r="BQ54" s="882"/>
      <c r="BR54" s="882"/>
      <c r="BS54" s="882"/>
      <c r="BT54" s="882"/>
      <c r="BU54" s="882"/>
      <c r="BV54" s="882"/>
      <c r="BW54" s="882"/>
      <c r="BX54" s="882"/>
      <c r="BY54" s="882"/>
      <c r="BZ54" s="882"/>
      <c r="CA54" s="882"/>
      <c r="CB54" s="882"/>
      <c r="CC54" s="882"/>
      <c r="CD54" s="882"/>
      <c r="CE54" s="882"/>
      <c r="CF54" s="882"/>
    </row>
  </sheetData>
  <sheetProtection selectLockedCells="1" selectUnlockedCells="1"/>
  <pageMargins left="0.39370078740157483" right="0.27559055118110237" top="0.27559055118110237" bottom="0.35433070866141736" header="0.51181102362204722" footer="0.15748031496062992"/>
  <pageSetup paperSize="9" scale="70" firstPageNumber="0" pageOrder="overThenDown" orientation="landscape" blackAndWhite="1" horizontalDpi="300" verticalDpi="300" r:id="rId1"/>
  <headerFooter alignWithMargins="0">
    <oddFooter>&amp;L&amp;11&amp;F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CA141"/>
  <sheetViews>
    <sheetView zoomScale="70" zoomScaleNormal="70" workbookViewId="0">
      <selection activeCell="BX34" sqref="BX34:BY34 BX97:BY97"/>
    </sheetView>
  </sheetViews>
  <sheetFormatPr baseColWidth="10" defaultRowHeight="12.75"/>
  <cols>
    <col min="1" max="1" width="17.28515625" style="747" customWidth="1"/>
    <col min="2" max="4" width="11.42578125" style="747"/>
    <col min="6" max="6" width="8.85546875" customWidth="1"/>
    <col min="7" max="78" width="8.28515625" customWidth="1"/>
  </cols>
  <sheetData>
    <row r="1" spans="1:79" ht="13.5" thickBot="1"/>
    <row r="2" spans="1:79">
      <c r="E2" s="163"/>
      <c r="F2" s="163"/>
      <c r="G2" s="916">
        <f>'meine Dünger'!C5</f>
        <v>0</v>
      </c>
      <c r="H2" s="906"/>
      <c r="I2" s="906" t="s">
        <v>920</v>
      </c>
      <c r="J2" s="906"/>
      <c r="K2" s="931">
        <f>SUM(G34:L34)</f>
        <v>0</v>
      </c>
      <c r="L2" s="908" t="s">
        <v>124</v>
      </c>
      <c r="M2" s="916">
        <f>'meine Dünger'!C6</f>
        <v>0</v>
      </c>
      <c r="N2" s="906"/>
      <c r="O2" s="906" t="s">
        <v>920</v>
      </c>
      <c r="P2" s="906"/>
      <c r="Q2" s="907">
        <f>SUM(M34:R34)</f>
        <v>0</v>
      </c>
      <c r="R2" s="908" t="s">
        <v>124</v>
      </c>
      <c r="S2" s="916">
        <f>'meine Dünger'!C7</f>
        <v>0</v>
      </c>
      <c r="T2" s="906"/>
      <c r="U2" s="906" t="s">
        <v>920</v>
      </c>
      <c r="V2" s="906"/>
      <c r="W2" s="907">
        <f>SUM(S34:X34)</f>
        <v>0</v>
      </c>
      <c r="X2" s="908" t="s">
        <v>124</v>
      </c>
      <c r="Y2" s="916">
        <f>'meine Dünger'!C8</f>
        <v>0</v>
      </c>
      <c r="Z2" s="906"/>
      <c r="AA2" s="906" t="s">
        <v>920</v>
      </c>
      <c r="AB2" s="906"/>
      <c r="AC2" s="907">
        <f>SUM(Y34:AD34)</f>
        <v>0</v>
      </c>
      <c r="AD2" s="908" t="s">
        <v>124</v>
      </c>
      <c r="AE2" s="916">
        <f>'meine Dünger'!C9</f>
        <v>0</v>
      </c>
      <c r="AF2" s="906"/>
      <c r="AG2" s="906" t="s">
        <v>920</v>
      </c>
      <c r="AH2" s="906"/>
      <c r="AI2" s="907">
        <f>SUM(AE34:AJ34)</f>
        <v>0</v>
      </c>
      <c r="AJ2" s="908" t="s">
        <v>124</v>
      </c>
      <c r="AK2" s="916">
        <f>'meine Dünger'!C10</f>
        <v>0</v>
      </c>
      <c r="AL2" s="906"/>
      <c r="AM2" s="906" t="s">
        <v>920</v>
      </c>
      <c r="AN2" s="906"/>
      <c r="AO2" s="907">
        <f>SUM(AK34:AP34)</f>
        <v>0</v>
      </c>
      <c r="AP2" s="908" t="s">
        <v>124</v>
      </c>
      <c r="AQ2" s="916">
        <f>'meine Dünger'!C11</f>
        <v>0</v>
      </c>
      <c r="AR2" s="906"/>
      <c r="AS2" s="906" t="s">
        <v>920</v>
      </c>
      <c r="AT2" s="906"/>
      <c r="AU2" s="907">
        <f>SUM(AQ34:AV34)</f>
        <v>0</v>
      </c>
      <c r="AV2" s="908" t="s">
        <v>124</v>
      </c>
      <c r="AW2" s="916">
        <f>'meine Dünger'!C12</f>
        <v>0</v>
      </c>
      <c r="AX2" s="906"/>
      <c r="AY2" s="906" t="s">
        <v>920</v>
      </c>
      <c r="AZ2" s="906"/>
      <c r="BA2" s="907">
        <f>SUM(AW34:BB34)</f>
        <v>0</v>
      </c>
      <c r="BB2" s="908" t="s">
        <v>124</v>
      </c>
      <c r="BC2" s="916">
        <f>'meine Dünger'!C13</f>
        <v>0</v>
      </c>
      <c r="BD2" s="906"/>
      <c r="BE2" s="906" t="s">
        <v>920</v>
      </c>
      <c r="BF2" s="906"/>
      <c r="BG2" s="907">
        <f>SUM(BC34:BH34)</f>
        <v>0</v>
      </c>
      <c r="BH2" s="908" t="s">
        <v>124</v>
      </c>
      <c r="BI2" s="916">
        <f>'meine Dünger'!C14</f>
        <v>0</v>
      </c>
      <c r="BJ2" s="906"/>
      <c r="BK2" s="906" t="s">
        <v>920</v>
      </c>
      <c r="BL2" s="906"/>
      <c r="BM2" s="907">
        <f>SUM(BI34:BN34)</f>
        <v>0</v>
      </c>
      <c r="BN2" s="908" t="s">
        <v>124</v>
      </c>
      <c r="BO2" s="916">
        <f>'meine Dünger'!C15</f>
        <v>0</v>
      </c>
      <c r="BP2" s="906"/>
      <c r="BQ2" s="906" t="s">
        <v>920</v>
      </c>
      <c r="BR2" s="906"/>
      <c r="BS2" s="907">
        <f>SUM(BO34:BT34)</f>
        <v>0</v>
      </c>
      <c r="BT2" s="908" t="s">
        <v>124</v>
      </c>
      <c r="BU2" s="916">
        <f>'meine Dünger'!C16</f>
        <v>0</v>
      </c>
      <c r="BV2" s="906"/>
      <c r="BW2" s="906" t="s">
        <v>920</v>
      </c>
      <c r="BX2" s="906"/>
      <c r="BY2" s="907">
        <f>SUM(BU34:BZ34)</f>
        <v>0</v>
      </c>
      <c r="BZ2" s="908" t="s">
        <v>124</v>
      </c>
      <c r="CA2" s="14"/>
    </row>
    <row r="3" spans="1:79" ht="14.25">
      <c r="A3" s="928" t="s">
        <v>957</v>
      </c>
      <c r="B3" s="928" t="s">
        <v>958</v>
      </c>
      <c r="E3" s="745" t="s">
        <v>921</v>
      </c>
      <c r="F3" s="935" t="s">
        <v>10</v>
      </c>
      <c r="G3" s="909" t="s">
        <v>973</v>
      </c>
      <c r="H3" s="910" t="s">
        <v>974</v>
      </c>
      <c r="I3" s="910" t="s">
        <v>975</v>
      </c>
      <c r="J3" s="910" t="s">
        <v>976</v>
      </c>
      <c r="K3" s="910" t="s">
        <v>977</v>
      </c>
      <c r="L3" s="911" t="s">
        <v>849</v>
      </c>
      <c r="M3" s="909" t="s">
        <v>973</v>
      </c>
      <c r="N3" s="910" t="s">
        <v>974</v>
      </c>
      <c r="O3" s="910" t="s">
        <v>975</v>
      </c>
      <c r="P3" s="910" t="s">
        <v>976</v>
      </c>
      <c r="Q3" s="910" t="s">
        <v>977</v>
      </c>
      <c r="R3" s="911" t="s">
        <v>849</v>
      </c>
      <c r="S3" s="909" t="s">
        <v>973</v>
      </c>
      <c r="T3" s="910" t="s">
        <v>974</v>
      </c>
      <c r="U3" s="910" t="s">
        <v>975</v>
      </c>
      <c r="V3" s="910" t="s">
        <v>976</v>
      </c>
      <c r="W3" s="910" t="s">
        <v>977</v>
      </c>
      <c r="X3" s="911" t="s">
        <v>849</v>
      </c>
      <c r="Y3" s="909" t="s">
        <v>973</v>
      </c>
      <c r="Z3" s="910" t="s">
        <v>974</v>
      </c>
      <c r="AA3" s="910" t="s">
        <v>975</v>
      </c>
      <c r="AB3" s="910" t="s">
        <v>976</v>
      </c>
      <c r="AC3" s="910" t="s">
        <v>977</v>
      </c>
      <c r="AD3" s="911" t="s">
        <v>849</v>
      </c>
      <c r="AE3" s="909" t="s">
        <v>973</v>
      </c>
      <c r="AF3" s="910" t="s">
        <v>974</v>
      </c>
      <c r="AG3" s="910" t="s">
        <v>975</v>
      </c>
      <c r="AH3" s="910" t="s">
        <v>976</v>
      </c>
      <c r="AI3" s="910" t="s">
        <v>977</v>
      </c>
      <c r="AJ3" s="911" t="s">
        <v>849</v>
      </c>
      <c r="AK3" s="909" t="s">
        <v>973</v>
      </c>
      <c r="AL3" s="910" t="s">
        <v>974</v>
      </c>
      <c r="AM3" s="910" t="s">
        <v>975</v>
      </c>
      <c r="AN3" s="910" t="s">
        <v>976</v>
      </c>
      <c r="AO3" s="910" t="s">
        <v>977</v>
      </c>
      <c r="AP3" s="911" t="s">
        <v>849</v>
      </c>
      <c r="AQ3" s="909" t="s">
        <v>973</v>
      </c>
      <c r="AR3" s="910" t="s">
        <v>974</v>
      </c>
      <c r="AS3" s="910" t="s">
        <v>975</v>
      </c>
      <c r="AT3" s="910" t="s">
        <v>976</v>
      </c>
      <c r="AU3" s="910" t="s">
        <v>977</v>
      </c>
      <c r="AV3" s="911" t="s">
        <v>849</v>
      </c>
      <c r="AW3" s="909" t="s">
        <v>973</v>
      </c>
      <c r="AX3" s="910" t="s">
        <v>974</v>
      </c>
      <c r="AY3" s="910" t="s">
        <v>975</v>
      </c>
      <c r="AZ3" s="910" t="s">
        <v>976</v>
      </c>
      <c r="BA3" s="910" t="s">
        <v>977</v>
      </c>
      <c r="BB3" s="911" t="s">
        <v>849</v>
      </c>
      <c r="BC3" s="909" t="s">
        <v>973</v>
      </c>
      <c r="BD3" s="910" t="s">
        <v>974</v>
      </c>
      <c r="BE3" s="910" t="s">
        <v>975</v>
      </c>
      <c r="BF3" s="910" t="s">
        <v>976</v>
      </c>
      <c r="BG3" s="910" t="s">
        <v>977</v>
      </c>
      <c r="BH3" s="911" t="s">
        <v>849</v>
      </c>
      <c r="BI3" s="909" t="s">
        <v>973</v>
      </c>
      <c r="BJ3" s="910" t="s">
        <v>974</v>
      </c>
      <c r="BK3" s="910" t="s">
        <v>975</v>
      </c>
      <c r="BL3" s="910" t="s">
        <v>976</v>
      </c>
      <c r="BM3" s="910" t="s">
        <v>977</v>
      </c>
      <c r="BN3" s="911" t="s">
        <v>849</v>
      </c>
      <c r="BO3" s="909" t="s">
        <v>973</v>
      </c>
      <c r="BP3" s="910" t="s">
        <v>974</v>
      </c>
      <c r="BQ3" s="910" t="s">
        <v>975</v>
      </c>
      <c r="BR3" s="910" t="s">
        <v>976</v>
      </c>
      <c r="BS3" s="910" t="s">
        <v>977</v>
      </c>
      <c r="BT3" s="911" t="s">
        <v>849</v>
      </c>
      <c r="BU3" s="909" t="s">
        <v>973</v>
      </c>
      <c r="BV3" s="910" t="s">
        <v>974</v>
      </c>
      <c r="BW3" s="910" t="s">
        <v>975</v>
      </c>
      <c r="BX3" s="910" t="s">
        <v>976</v>
      </c>
      <c r="BY3" s="910" t="s">
        <v>977</v>
      </c>
      <c r="BZ3" s="911" t="s">
        <v>849</v>
      </c>
      <c r="CA3" s="14"/>
    </row>
    <row r="4" spans="1:79" ht="15">
      <c r="A4" s="929">
        <f>'meine Dünger'!C5</f>
        <v>0</v>
      </c>
      <c r="B4" s="930">
        <f>K$36</f>
        <v>0</v>
      </c>
      <c r="C4" s="747" t="s">
        <v>959</v>
      </c>
      <c r="E4" s="912" t="s">
        <v>927</v>
      </c>
      <c r="F4" s="934">
        <f>Grünland!D5</f>
        <v>0</v>
      </c>
      <c r="G4" s="933">
        <f>IF(Grünland!$R5=$G$2,Grünland!$S5,0)</f>
        <v>0</v>
      </c>
      <c r="H4" s="851">
        <f>IF(Grünland!$T5=$G$2,Grünland!$U5,0)</f>
        <v>0</v>
      </c>
      <c r="I4" s="851">
        <f>IF(Grünland!$V5=$G$2,Grünland!$W5,0)</f>
        <v>0</v>
      </c>
      <c r="J4" s="851">
        <f>IF(Grünland!$X5=$G$2,Grünland!$Y5,0)</f>
        <v>0</v>
      </c>
      <c r="K4" s="851">
        <f>IF(Grünland!$Z5=$G$2,Grünland!$AA5,0)</f>
        <v>0</v>
      </c>
      <c r="L4" s="851">
        <f>IF(Grünland!$AB5=$G$2,Grünland!$AC5,0)</f>
        <v>0</v>
      </c>
      <c r="M4" s="851">
        <f>IF(Grünland!$R5=$M$2,Grünland!$S5,0)</f>
        <v>0</v>
      </c>
      <c r="N4" s="851">
        <f>IF(Grünland!$T5=$M$2,Grünland!$U5,0)</f>
        <v>0</v>
      </c>
      <c r="O4" s="851">
        <f>IF(Grünland!$V5=$M$2,Grünland!$W5,0)</f>
        <v>0</v>
      </c>
      <c r="P4" s="851">
        <f>IF(Grünland!$X5=$M$2,Grünland!$Y5,0)</f>
        <v>0</v>
      </c>
      <c r="Q4" s="851">
        <f>IF(Grünland!$Z5=$M$2,Grünland!$AA5,0)</f>
        <v>0</v>
      </c>
      <c r="R4" s="851">
        <f>IF(Grünland!$AB5=$M$2,Grünland!$AC5,0)</f>
        <v>0</v>
      </c>
      <c r="S4" s="851">
        <f>IF(Grünland!$R5=$S$2,Grünland!$S5,0)</f>
        <v>0</v>
      </c>
      <c r="T4" s="851">
        <f>IF(Grünland!$T5=$S$2,Grünland!$U5,0)</f>
        <v>0</v>
      </c>
      <c r="U4" s="851">
        <f>IF(Grünland!$V5=$S$2,Grünland!$W5,0)</f>
        <v>0</v>
      </c>
      <c r="V4" s="851">
        <f>IF(Grünland!$X5=$S$2,Grünland!$Y5,0)</f>
        <v>0</v>
      </c>
      <c r="W4" s="851">
        <f>IF(Grünland!$Z5=$S$2,Grünland!$AA5,0)</f>
        <v>0</v>
      </c>
      <c r="X4" s="851">
        <f>IF(Grünland!$AB5=$S$2,Grünland!$AC5,0)</f>
        <v>0</v>
      </c>
      <c r="Y4" s="851">
        <f>IF(Grünland!$R5=$Y$2,Grünland!$S5,0)</f>
        <v>0</v>
      </c>
      <c r="Z4" s="851">
        <f>IF(Grünland!$T5=$Y$2,Grünland!$U5,0)</f>
        <v>0</v>
      </c>
      <c r="AA4" s="851">
        <f>IF(Grünland!$V5=$Y$2,Grünland!$W5,0)</f>
        <v>0</v>
      </c>
      <c r="AB4" s="851">
        <f>IF(Grünland!$X5=$Y$2,Grünland!$Y5,0)</f>
        <v>0</v>
      </c>
      <c r="AC4" s="851">
        <f>IF(Grünland!$Z5=$Y$2,Grünland!$AA5,0)</f>
        <v>0</v>
      </c>
      <c r="AD4" s="851">
        <f>IF(Grünland!$AB5=$Y$2,Grünland!$AC5,0)</f>
        <v>0</v>
      </c>
      <c r="AE4" s="851">
        <f>IF(Grünland!$R5=$AE$2,Grünland!$S5,0)</f>
        <v>0</v>
      </c>
      <c r="AF4" s="851">
        <f>IF(Grünland!$T5=$AE$2,Grünland!$U5,0)</f>
        <v>0</v>
      </c>
      <c r="AG4" s="851">
        <f>IF(Grünland!$V5=$AE$2,Grünland!$W5,0)</f>
        <v>0</v>
      </c>
      <c r="AH4" s="851">
        <f>IF(Grünland!$X5=$AE$2,Grünland!$Y5,0)</f>
        <v>0</v>
      </c>
      <c r="AI4" s="851">
        <f>IF(Grünland!$Z5=$AE$2,Grünland!$AA5,0)</f>
        <v>0</v>
      </c>
      <c r="AJ4" s="851">
        <f>IF(Grünland!$AB5=$AE$2,Grünland!$AC5,0)</f>
        <v>0</v>
      </c>
      <c r="AK4" s="851">
        <f>IF(Grünland!$R5=$AK$2,Grünland!$S5,0)</f>
        <v>0</v>
      </c>
      <c r="AL4" s="851">
        <f>IF(Grünland!$T5=$AK$2,Grünland!$U5,0)</f>
        <v>0</v>
      </c>
      <c r="AM4" s="851">
        <f>IF(Grünland!$V5=$AK$2,Grünland!$W5,0)</f>
        <v>0</v>
      </c>
      <c r="AN4" s="851">
        <f>IF(Grünland!$X5=$AK$2,Grünland!$Y5,0)</f>
        <v>0</v>
      </c>
      <c r="AO4" s="851">
        <f>IF(Grünland!$Z5=$AK$2,Grünland!$AA5,0)</f>
        <v>0</v>
      </c>
      <c r="AP4" s="851">
        <f>IF(Grünland!$AB5=$AK$2,Grünland!$AC5,0)</f>
        <v>0</v>
      </c>
      <c r="AQ4" s="851">
        <f>IF(Grünland!$R5=$AQ$2,Grünland!$S5,0)</f>
        <v>0</v>
      </c>
      <c r="AR4" s="851">
        <f>IF(Grünland!$T5=$AQ$2,Grünland!$U5,0)</f>
        <v>0</v>
      </c>
      <c r="AS4" s="851">
        <f>IF(Grünland!$V5=$AQ$2,Grünland!$W5,0)</f>
        <v>0</v>
      </c>
      <c r="AT4" s="851">
        <f>IF(Grünland!$X5=$AQ$2,Grünland!$Y5,0)</f>
        <v>0</v>
      </c>
      <c r="AU4" s="851">
        <f>IF(Grünland!$Z5=$AQ$2,Grünland!$AA5,0)</f>
        <v>0</v>
      </c>
      <c r="AV4" s="851">
        <f>IF(Grünland!$AB5=$AQ$2,Grünland!$AC5,0)</f>
        <v>0</v>
      </c>
      <c r="AW4" s="851">
        <f>IF(Grünland!$R5=$AW$2,Grünland!$S5,0)</f>
        <v>0</v>
      </c>
      <c r="AX4" s="851">
        <f>IF(Grünland!$T5=$AW$2,Grünland!$U5,0)</f>
        <v>0</v>
      </c>
      <c r="AY4" s="851">
        <f>IF(Grünland!$V5=$AW$2,Grünland!$W5,0)</f>
        <v>0</v>
      </c>
      <c r="AZ4" s="851">
        <f>IF(Grünland!$X5=$AW$2,Grünland!$Y5,0)</f>
        <v>0</v>
      </c>
      <c r="BA4" s="851">
        <f>IF(Grünland!$Z5=$AW$2,Grünland!$AA5,0)</f>
        <v>0</v>
      </c>
      <c r="BB4" s="851">
        <f>IF(Grünland!$AB5=$AW$2,Grünland!$AC5,0)</f>
        <v>0</v>
      </c>
      <c r="BC4" s="851">
        <f>IF(Grünland!$R5=$BC$2,Grünland!$S5,0)</f>
        <v>0</v>
      </c>
      <c r="BD4" s="851">
        <f>IF(Grünland!$T5=$BC$2,Grünland!$U5,0)</f>
        <v>0</v>
      </c>
      <c r="BE4" s="851">
        <f>IF(Grünland!$V5=$BC$2,Grünland!$W5,0)</f>
        <v>0</v>
      </c>
      <c r="BF4" s="851">
        <f>IF(Grünland!$X5=$BC$2,Grünland!$Y5,0)</f>
        <v>0</v>
      </c>
      <c r="BG4" s="851">
        <f>IF(Grünland!$Z5=$BC$2,Grünland!$AA5,0)</f>
        <v>0</v>
      </c>
      <c r="BH4" s="851">
        <f>IF(Grünland!$AB5=$BC$2,Grünland!$AC5,0)</f>
        <v>0</v>
      </c>
      <c r="BI4" s="851">
        <f>IF(Grünland!$R5=$BI$2,Grünland!$S5,0)</f>
        <v>0</v>
      </c>
      <c r="BJ4" s="851">
        <f>IF(Grünland!$T5=$BI$2,Grünland!$U5,0)</f>
        <v>0</v>
      </c>
      <c r="BK4" s="851">
        <f>IF(Grünland!$V5=$BI$2,Grünland!$W5,0)</f>
        <v>0</v>
      </c>
      <c r="BL4" s="851">
        <f>IF(Grünland!$X5=$BI$2,Grünland!$Y5,0)</f>
        <v>0</v>
      </c>
      <c r="BM4" s="851">
        <f>IF(Grünland!$Z5=$BI$2,Grünland!$AA5,0)</f>
        <v>0</v>
      </c>
      <c r="BN4" s="851">
        <f>IF(Grünland!$AB5=$BI$2,Grünland!$AC5,0)</f>
        <v>0</v>
      </c>
      <c r="BO4" s="851">
        <f>IF(Grünland!$R5=$BO$2,Grünland!$S5,0)</f>
        <v>0</v>
      </c>
      <c r="BP4" s="851">
        <f>IF(Grünland!$T5=$BO$2,Grünland!$U5,0)</f>
        <v>0</v>
      </c>
      <c r="BQ4" s="851">
        <f>IF(Grünland!$V5=$BO$2,Grünland!$W5,0)</f>
        <v>0</v>
      </c>
      <c r="BR4" s="851">
        <f>IF(Grünland!$X5=$BO$2,Grünland!$Y5,0)</f>
        <v>0</v>
      </c>
      <c r="BS4" s="851">
        <f>IF(Grünland!$Z5=$BO$2,Grünland!$AA5,0)</f>
        <v>0</v>
      </c>
      <c r="BT4" s="851">
        <f>IF(Grünland!$AB5=$BO$2,Grünland!$AC5,0)</f>
        <v>0</v>
      </c>
      <c r="BU4" s="851">
        <f>IF(Grünland!$R5=$BU$2,Grünland!$S5,0)</f>
        <v>0</v>
      </c>
      <c r="BV4" s="851">
        <f>IF(Grünland!$T5=$BU$2,Grünland!$U5,0)</f>
        <v>0</v>
      </c>
      <c r="BW4" s="851">
        <f>IF(Grünland!$V5=$BU$2,Grünland!$W5,0)</f>
        <v>0</v>
      </c>
      <c r="BX4" s="851">
        <f>IF(Grünland!$X5=$BU$2,Grünland!$Y5,0)</f>
        <v>0</v>
      </c>
      <c r="BY4" s="851">
        <f>IF(Grünland!$Z5=$BU$2,Grünland!$AA5,0)</f>
        <v>0</v>
      </c>
      <c r="BZ4" s="851">
        <f>IF(Grünland!$AB5=$BU$2,Grünland!$AC5,0)</f>
        <v>0</v>
      </c>
      <c r="CA4" s="14"/>
    </row>
    <row r="5" spans="1:79" ht="15">
      <c r="A5" s="929">
        <f>'meine Dünger'!C6</f>
        <v>0</v>
      </c>
      <c r="B5" s="930">
        <f>Q$36</f>
        <v>0</v>
      </c>
      <c r="C5" s="747" t="s">
        <v>113</v>
      </c>
      <c r="E5" s="912" t="s">
        <v>928</v>
      </c>
      <c r="F5" s="934">
        <f>Grünland!D6</f>
        <v>0</v>
      </c>
      <c r="G5" s="933">
        <f>IF(Grünland!$R6=$G$2,Grünland!$S6,0)</f>
        <v>0</v>
      </c>
      <c r="H5" s="851">
        <f>IF(Grünland!$T6=$G$2,Grünland!$U6,0)</f>
        <v>0</v>
      </c>
      <c r="I5" s="851">
        <f>IF(Grünland!$V6=$G$2,Grünland!$W6,0)</f>
        <v>0</v>
      </c>
      <c r="J5" s="851">
        <f>IF(Grünland!$X6=$G$2,Grünland!$Y6,0)</f>
        <v>0</v>
      </c>
      <c r="K5" s="851">
        <f>IF(Grünland!$Z6=$G$2,Grünland!$AA6,0)</f>
        <v>0</v>
      </c>
      <c r="L5" s="851">
        <f>IF(Grünland!$AB6=$G$2,Grünland!$AC6,0)</f>
        <v>0</v>
      </c>
      <c r="M5" s="851">
        <f>IF(Grünland!$R6=$M$2,Grünland!$S6,0)</f>
        <v>0</v>
      </c>
      <c r="N5" s="851">
        <f>IF(Grünland!$T6=$M$2,Grünland!$U6,0)</f>
        <v>0</v>
      </c>
      <c r="O5" s="851">
        <f>IF(Grünland!$V6=$M$2,Grünland!$W6,0)</f>
        <v>0</v>
      </c>
      <c r="P5" s="851">
        <f>IF(Grünland!$X6=$M$2,Grünland!$Y6,0)</f>
        <v>0</v>
      </c>
      <c r="Q5" s="851">
        <f>IF(Grünland!$Z6=$M$2,Grünland!$AA6,0)</f>
        <v>0</v>
      </c>
      <c r="R5" s="851">
        <f>IF(Grünland!$AB6=$M$2,Grünland!$AC6,0)</f>
        <v>0</v>
      </c>
      <c r="S5" s="851">
        <f>IF(Grünland!$R6=$S$2,Grünland!$S6,0)</f>
        <v>0</v>
      </c>
      <c r="T5" s="851">
        <f>IF(Grünland!$T6=$S$2,Grünland!$U6,0)</f>
        <v>0</v>
      </c>
      <c r="U5" s="851">
        <f>IF(Grünland!$V6=$S$2,Grünland!$W6,0)</f>
        <v>0</v>
      </c>
      <c r="V5" s="851">
        <f>IF(Grünland!$X6=$S$2,Grünland!$Y6,0)</f>
        <v>0</v>
      </c>
      <c r="W5" s="851">
        <f>IF(Grünland!$Z6=$S$2,Grünland!$AA6,0)</f>
        <v>0</v>
      </c>
      <c r="X5" s="851">
        <f>IF(Grünland!$AB6=$S$2,Grünland!$AC6,0)</f>
        <v>0</v>
      </c>
      <c r="Y5" s="851">
        <f>IF(Grünland!$R6=$Y$2,Grünland!$S6,0)</f>
        <v>0</v>
      </c>
      <c r="Z5" s="851">
        <f>IF(Grünland!$T6=$Y$2,Grünland!$U6,0)</f>
        <v>0</v>
      </c>
      <c r="AA5" s="851">
        <f>IF(Grünland!$V6=$Y$2,Grünland!$W6,0)</f>
        <v>0</v>
      </c>
      <c r="AB5" s="851">
        <f>IF(Grünland!$X6=$Y$2,Grünland!$Y6,0)</f>
        <v>0</v>
      </c>
      <c r="AC5" s="851">
        <f>IF(Grünland!$Z6=$Y$2,Grünland!$AA6,0)</f>
        <v>0</v>
      </c>
      <c r="AD5" s="851">
        <f>IF(Grünland!$AB6=$Y$2,Grünland!$AC6,0)</f>
        <v>0</v>
      </c>
      <c r="AE5" s="851">
        <f>IF(Grünland!$R6=$AE$2,Grünland!$S6,0)</f>
        <v>0</v>
      </c>
      <c r="AF5" s="851">
        <f>IF(Grünland!$T6=$AE$2,Grünland!$U6,0)</f>
        <v>0</v>
      </c>
      <c r="AG5" s="851">
        <f>IF(Grünland!$V6=$AE$2,Grünland!$W6,0)</f>
        <v>0</v>
      </c>
      <c r="AH5" s="851">
        <f>IF(Grünland!$X6=$AE$2,Grünland!$Y6,0)</f>
        <v>0</v>
      </c>
      <c r="AI5" s="851">
        <f>IF(Grünland!$Z6=$AE$2,Grünland!$AA6,0)</f>
        <v>0</v>
      </c>
      <c r="AJ5" s="851">
        <f>IF(Grünland!$AB6=$AE$2,Grünland!$AC6,0)</f>
        <v>0</v>
      </c>
      <c r="AK5" s="851">
        <f>IF(Grünland!$R6=$AK$2,Grünland!$S6,0)</f>
        <v>0</v>
      </c>
      <c r="AL5" s="851">
        <f>IF(Grünland!$T6=$AK$2,Grünland!$U6,0)</f>
        <v>0</v>
      </c>
      <c r="AM5" s="851">
        <f>IF(Grünland!$V6=$AK$2,Grünland!$W6,0)</f>
        <v>0</v>
      </c>
      <c r="AN5" s="851">
        <f>IF(Grünland!$X6=$AK$2,Grünland!$Y6,0)</f>
        <v>0</v>
      </c>
      <c r="AO5" s="851">
        <f>IF(Grünland!$Z6=$AK$2,Grünland!$AA6,0)</f>
        <v>0</v>
      </c>
      <c r="AP5" s="851">
        <f>IF(Grünland!$AB6=$AK$2,Grünland!$AC6,0)</f>
        <v>0</v>
      </c>
      <c r="AQ5" s="851">
        <f>IF(Grünland!$R6=$AQ$2,Grünland!$S6,0)</f>
        <v>0</v>
      </c>
      <c r="AR5" s="851">
        <f>IF(Grünland!$T6=$AQ$2,Grünland!$U6,0)</f>
        <v>0</v>
      </c>
      <c r="AS5" s="851">
        <f>IF(Grünland!$V6=$AQ$2,Grünland!$W6,0)</f>
        <v>0</v>
      </c>
      <c r="AT5" s="851">
        <f>IF(Grünland!$X6=$AQ$2,Grünland!$Y6,0)</f>
        <v>0</v>
      </c>
      <c r="AU5" s="851">
        <f>IF(Grünland!$Z6=$AQ$2,Grünland!$AA6,0)</f>
        <v>0</v>
      </c>
      <c r="AV5" s="851">
        <f>IF(Grünland!$AB6=$AQ$2,Grünland!$AC6,0)</f>
        <v>0</v>
      </c>
      <c r="AW5" s="851">
        <f>IF(Grünland!$R6=$AW$2,Grünland!$S6,0)</f>
        <v>0</v>
      </c>
      <c r="AX5" s="851">
        <f>IF(Grünland!$T6=$AW$2,Grünland!$U6,0)</f>
        <v>0</v>
      </c>
      <c r="AY5" s="851">
        <f>IF(Grünland!$V6=$AW$2,Grünland!$W6,0)</f>
        <v>0</v>
      </c>
      <c r="AZ5" s="851">
        <f>IF(Grünland!$X6=$AW$2,Grünland!$Y6,0)</f>
        <v>0</v>
      </c>
      <c r="BA5" s="851">
        <f>IF(Grünland!$Z6=$AW$2,Grünland!$AA6,0)</f>
        <v>0</v>
      </c>
      <c r="BB5" s="851">
        <f>IF(Grünland!$AB6=$AW$2,Grünland!$AC6,0)</f>
        <v>0</v>
      </c>
      <c r="BC5" s="851">
        <f>IF(Grünland!$R6=$BC$2,Grünland!$S6,0)</f>
        <v>0</v>
      </c>
      <c r="BD5" s="851">
        <f>IF(Grünland!$T6=$BC$2,Grünland!$U6,0)</f>
        <v>0</v>
      </c>
      <c r="BE5" s="851">
        <f>IF(Grünland!$V6=$BC$2,Grünland!$W6,0)</f>
        <v>0</v>
      </c>
      <c r="BF5" s="851">
        <f>IF(Grünland!$X6=$BC$2,Grünland!$Y6,0)</f>
        <v>0</v>
      </c>
      <c r="BG5" s="851">
        <f>IF(Grünland!$Z6=$BC$2,Grünland!$AA6,0)</f>
        <v>0</v>
      </c>
      <c r="BH5" s="851">
        <f>IF(Grünland!$AB6=$BC$2,Grünland!$AC6,0)</f>
        <v>0</v>
      </c>
      <c r="BI5" s="851">
        <f>IF(Grünland!$R6=$BI$2,Grünland!$S6,0)</f>
        <v>0</v>
      </c>
      <c r="BJ5" s="851">
        <f>IF(Grünland!$T6=$BI$2,Grünland!$U6,0)</f>
        <v>0</v>
      </c>
      <c r="BK5" s="851">
        <f>IF(Grünland!$V6=$BI$2,Grünland!$W6,0)</f>
        <v>0</v>
      </c>
      <c r="BL5" s="851">
        <f>IF(Grünland!$X6=$BI$2,Grünland!$Y6,0)</f>
        <v>0</v>
      </c>
      <c r="BM5" s="851">
        <f>IF(Grünland!$Z6=$BI$2,Grünland!$AA6,0)</f>
        <v>0</v>
      </c>
      <c r="BN5" s="851">
        <f>IF(Grünland!$AB6=$BI$2,Grünland!$AC6,0)</f>
        <v>0</v>
      </c>
      <c r="BO5" s="851">
        <f>IF(Grünland!$R6=$BO$2,Grünland!$S6,0)</f>
        <v>0</v>
      </c>
      <c r="BP5" s="851">
        <f>IF(Grünland!$T6=$BO$2,Grünland!$U6,0)</f>
        <v>0</v>
      </c>
      <c r="BQ5" s="851">
        <f>IF(Grünland!$V6=$BO$2,Grünland!$W6,0)</f>
        <v>0</v>
      </c>
      <c r="BR5" s="851">
        <f>IF(Grünland!$X6=$BO$2,Grünland!$Y6,0)</f>
        <v>0</v>
      </c>
      <c r="BS5" s="851">
        <f>IF(Grünland!$Z6=$BO$2,Grünland!$AA6,0)</f>
        <v>0</v>
      </c>
      <c r="BT5" s="851">
        <f>IF(Grünland!$AB6=$BO$2,Grünland!$AC6,0)</f>
        <v>0</v>
      </c>
      <c r="BU5" s="851">
        <f>IF(Grünland!$R6=$BU$2,Grünland!$S6,0)</f>
        <v>0</v>
      </c>
      <c r="BV5" s="851">
        <f>IF(Grünland!$T6=$BU$2,Grünland!$U6,0)</f>
        <v>0</v>
      </c>
      <c r="BW5" s="851">
        <f>IF(Grünland!$V6=$BU$2,Grünland!$W6,0)</f>
        <v>0</v>
      </c>
      <c r="BX5" s="851">
        <f>IF(Grünland!$X6=$BU$2,Grünland!$Y6,0)</f>
        <v>0</v>
      </c>
      <c r="BY5" s="851">
        <f>IF(Grünland!$Z6=$BU$2,Grünland!$AA6,0)</f>
        <v>0</v>
      </c>
      <c r="BZ5" s="851">
        <f>IF(Grünland!$AB6=$BU$2,Grünland!$AC6,0)</f>
        <v>0</v>
      </c>
      <c r="CA5" s="14"/>
    </row>
    <row r="6" spans="1:79" ht="15">
      <c r="A6" s="929">
        <f>'meine Dünger'!C7</f>
        <v>0</v>
      </c>
      <c r="B6" s="930">
        <f>W$36</f>
        <v>0</v>
      </c>
      <c r="C6" s="747" t="s">
        <v>960</v>
      </c>
      <c r="E6" s="912" t="s">
        <v>929</v>
      </c>
      <c r="F6" s="934">
        <f>Grünland!D7</f>
        <v>0</v>
      </c>
      <c r="G6" s="933">
        <f>IF(Grünland!$R7=$G$2,Grünland!$S7,0)</f>
        <v>0</v>
      </c>
      <c r="H6" s="851">
        <f>IF(Grünland!$T7=$G$2,Grünland!$U7,0)</f>
        <v>0</v>
      </c>
      <c r="I6" s="851">
        <f>IF(Grünland!$V7=$G$2,Grünland!$W7,0)</f>
        <v>0</v>
      </c>
      <c r="J6" s="851">
        <f>IF(Grünland!$X7=$G$2,Grünland!$Y7,0)</f>
        <v>0</v>
      </c>
      <c r="K6" s="851">
        <f>IF(Grünland!$Z7=$G$2,Grünland!$AA7,0)</f>
        <v>0</v>
      </c>
      <c r="L6" s="851">
        <f>IF(Grünland!$AB7=$G$2,Grünland!$AC7,0)</f>
        <v>0</v>
      </c>
      <c r="M6" s="851">
        <f>IF(Grünland!$R7=$M$2,Grünland!$S7,0)</f>
        <v>0</v>
      </c>
      <c r="N6" s="851">
        <f>IF(Grünland!$T7=$M$2,Grünland!$U7,0)</f>
        <v>0</v>
      </c>
      <c r="O6" s="851">
        <f>IF(Grünland!$V7=$M$2,Grünland!$W7,0)</f>
        <v>0</v>
      </c>
      <c r="P6" s="851">
        <f>IF(Grünland!$X7=$M$2,Grünland!$Y7,0)</f>
        <v>0</v>
      </c>
      <c r="Q6" s="851">
        <f>IF(Grünland!$Z7=$M$2,Grünland!$AA7,0)</f>
        <v>0</v>
      </c>
      <c r="R6" s="851">
        <f>IF(Grünland!$AB7=$M$2,Grünland!$AC7,0)</f>
        <v>0</v>
      </c>
      <c r="S6" s="851">
        <f>IF(Grünland!$R7=$S$2,Grünland!$S7,0)</f>
        <v>0</v>
      </c>
      <c r="T6" s="851">
        <f>IF(Grünland!$T7=$S$2,Grünland!$U7,0)</f>
        <v>0</v>
      </c>
      <c r="U6" s="851">
        <f>IF(Grünland!$V7=$S$2,Grünland!$W7,0)</f>
        <v>0</v>
      </c>
      <c r="V6" s="851">
        <f>IF(Grünland!$X7=$S$2,Grünland!$Y7,0)</f>
        <v>0</v>
      </c>
      <c r="W6" s="851">
        <f>IF(Grünland!$Z7=$S$2,Grünland!$AA7,0)</f>
        <v>0</v>
      </c>
      <c r="X6" s="851">
        <f>IF(Grünland!$AB7=$S$2,Grünland!$AC7,0)</f>
        <v>0</v>
      </c>
      <c r="Y6" s="851">
        <f>IF(Grünland!$R7=$Y$2,Grünland!$S7,0)</f>
        <v>0</v>
      </c>
      <c r="Z6" s="851">
        <f>IF(Grünland!$T7=$Y$2,Grünland!$U7,0)</f>
        <v>0</v>
      </c>
      <c r="AA6" s="851">
        <f>IF(Grünland!$V7=$Y$2,Grünland!$W7,0)</f>
        <v>0</v>
      </c>
      <c r="AB6" s="851">
        <f>IF(Grünland!$X7=$Y$2,Grünland!$Y7,0)</f>
        <v>0</v>
      </c>
      <c r="AC6" s="851">
        <f>IF(Grünland!$Z7=$Y$2,Grünland!$AA7,0)</f>
        <v>0</v>
      </c>
      <c r="AD6" s="851">
        <f>IF(Grünland!$AB7=$Y$2,Grünland!$AC7,0)</f>
        <v>0</v>
      </c>
      <c r="AE6" s="851">
        <f>IF(Grünland!$R7=$AE$2,Grünland!$S7,0)</f>
        <v>0</v>
      </c>
      <c r="AF6" s="851">
        <f>IF(Grünland!$T7=$AE$2,Grünland!$U7,0)</f>
        <v>0</v>
      </c>
      <c r="AG6" s="851">
        <f>IF(Grünland!$V7=$AE$2,Grünland!$W7,0)</f>
        <v>0</v>
      </c>
      <c r="AH6" s="851">
        <f>IF(Grünland!$X7=$AE$2,Grünland!$Y7,0)</f>
        <v>0</v>
      </c>
      <c r="AI6" s="851">
        <f>IF(Grünland!$Z7=$AE$2,Grünland!$AA7,0)</f>
        <v>0</v>
      </c>
      <c r="AJ6" s="851">
        <f>IF(Grünland!$AB7=$AE$2,Grünland!$AC7,0)</f>
        <v>0</v>
      </c>
      <c r="AK6" s="851">
        <f>IF(Grünland!$R7=$AK$2,Grünland!$S7,0)</f>
        <v>0</v>
      </c>
      <c r="AL6" s="851">
        <f>IF(Grünland!$T7=$AK$2,Grünland!$U7,0)</f>
        <v>0</v>
      </c>
      <c r="AM6" s="851">
        <f>IF(Grünland!$V7=$AK$2,Grünland!$W7,0)</f>
        <v>0</v>
      </c>
      <c r="AN6" s="851">
        <f>IF(Grünland!$X7=$AK$2,Grünland!$Y7,0)</f>
        <v>0</v>
      </c>
      <c r="AO6" s="851">
        <f>IF(Grünland!$Z7=$AK$2,Grünland!$AA7,0)</f>
        <v>0</v>
      </c>
      <c r="AP6" s="851">
        <f>IF(Grünland!$AB7=$AK$2,Grünland!$AC7,0)</f>
        <v>0</v>
      </c>
      <c r="AQ6" s="851">
        <f>IF(Grünland!$R7=$AQ$2,Grünland!$S7,0)</f>
        <v>0</v>
      </c>
      <c r="AR6" s="851">
        <f>IF(Grünland!$T7=$AQ$2,Grünland!$U7,0)</f>
        <v>0</v>
      </c>
      <c r="AS6" s="851">
        <f>IF(Grünland!$V7=$AQ$2,Grünland!$W7,0)</f>
        <v>0</v>
      </c>
      <c r="AT6" s="851">
        <f>IF(Grünland!$X7=$AQ$2,Grünland!$Y7,0)</f>
        <v>0</v>
      </c>
      <c r="AU6" s="851">
        <f>IF(Grünland!$Z7=$AQ$2,Grünland!$AA7,0)</f>
        <v>0</v>
      </c>
      <c r="AV6" s="851">
        <f>IF(Grünland!$AB7=$AQ$2,Grünland!$AC7,0)</f>
        <v>0</v>
      </c>
      <c r="AW6" s="851">
        <f>IF(Grünland!$R7=$AW$2,Grünland!$S7,0)</f>
        <v>0</v>
      </c>
      <c r="AX6" s="851">
        <f>IF(Grünland!$T7=$AW$2,Grünland!$U7,0)</f>
        <v>0</v>
      </c>
      <c r="AY6" s="851">
        <f>IF(Grünland!$V7=$AW$2,Grünland!$W7,0)</f>
        <v>0</v>
      </c>
      <c r="AZ6" s="851">
        <f>IF(Grünland!$X7=$AW$2,Grünland!$Y7,0)</f>
        <v>0</v>
      </c>
      <c r="BA6" s="851">
        <f>IF(Grünland!$Z7=$AW$2,Grünland!$AA7,0)</f>
        <v>0</v>
      </c>
      <c r="BB6" s="851">
        <f>IF(Grünland!$AB7=$AW$2,Grünland!$AC7,0)</f>
        <v>0</v>
      </c>
      <c r="BC6" s="851">
        <f>IF(Grünland!$R7=$BC$2,Grünland!$S7,0)</f>
        <v>0</v>
      </c>
      <c r="BD6" s="851">
        <f>IF(Grünland!$T7=$BC$2,Grünland!$U7,0)</f>
        <v>0</v>
      </c>
      <c r="BE6" s="851">
        <f>IF(Grünland!$V7=$BC$2,Grünland!$W7,0)</f>
        <v>0</v>
      </c>
      <c r="BF6" s="851">
        <f>IF(Grünland!$X7=$BC$2,Grünland!$Y7,0)</f>
        <v>0</v>
      </c>
      <c r="BG6" s="851">
        <f>IF(Grünland!$Z7=$BC$2,Grünland!$AA7,0)</f>
        <v>0</v>
      </c>
      <c r="BH6" s="851">
        <f>IF(Grünland!$AB7=$BC$2,Grünland!$AC7,0)</f>
        <v>0</v>
      </c>
      <c r="BI6" s="851">
        <f>IF(Grünland!$R7=$BI$2,Grünland!$S7,0)</f>
        <v>0</v>
      </c>
      <c r="BJ6" s="851">
        <f>IF(Grünland!$T7=$BI$2,Grünland!$U7,0)</f>
        <v>0</v>
      </c>
      <c r="BK6" s="851">
        <f>IF(Grünland!$V7=$BI$2,Grünland!$W7,0)</f>
        <v>0</v>
      </c>
      <c r="BL6" s="851">
        <f>IF(Grünland!$X7=$BI$2,Grünland!$Y7,0)</f>
        <v>0</v>
      </c>
      <c r="BM6" s="851">
        <f>IF(Grünland!$Z7=$BI$2,Grünland!$AA7,0)</f>
        <v>0</v>
      </c>
      <c r="BN6" s="851">
        <f>IF(Grünland!$AB7=$BI$2,Grünland!$AC7,0)</f>
        <v>0</v>
      </c>
      <c r="BO6" s="851">
        <f>IF(Grünland!$R7=$BO$2,Grünland!$S7,0)</f>
        <v>0</v>
      </c>
      <c r="BP6" s="851">
        <f>IF(Grünland!$T7=$BO$2,Grünland!$U7,0)</f>
        <v>0</v>
      </c>
      <c r="BQ6" s="851">
        <f>IF(Grünland!$V7=$BO$2,Grünland!$W7,0)</f>
        <v>0</v>
      </c>
      <c r="BR6" s="851">
        <f>IF(Grünland!$X7=$BO$2,Grünland!$Y7,0)</f>
        <v>0</v>
      </c>
      <c r="BS6" s="851">
        <f>IF(Grünland!$Z7=$BO$2,Grünland!$AA7,0)</f>
        <v>0</v>
      </c>
      <c r="BT6" s="851">
        <f>IF(Grünland!$AB7=$BO$2,Grünland!$AC7,0)</f>
        <v>0</v>
      </c>
      <c r="BU6" s="851">
        <f>IF(Grünland!$R7=$BU$2,Grünland!$S7,0)</f>
        <v>0</v>
      </c>
      <c r="BV6" s="851">
        <f>IF(Grünland!$T7=$BU$2,Grünland!$U7,0)</f>
        <v>0</v>
      </c>
      <c r="BW6" s="851">
        <f>IF(Grünland!$V7=$BU$2,Grünland!$W7,0)</f>
        <v>0</v>
      </c>
      <c r="BX6" s="851">
        <f>IF(Grünland!$X7=$BU$2,Grünland!$Y7,0)</f>
        <v>0</v>
      </c>
      <c r="BY6" s="851">
        <f>IF(Grünland!$Z7=$BU$2,Grünland!$AA7,0)</f>
        <v>0</v>
      </c>
      <c r="BZ6" s="851">
        <f>IF(Grünland!$AB7=$BU$2,Grünland!$AC7,0)</f>
        <v>0</v>
      </c>
      <c r="CA6" s="14"/>
    </row>
    <row r="7" spans="1:79" ht="15">
      <c r="A7" s="929">
        <f>'meine Dünger'!C8</f>
        <v>0</v>
      </c>
      <c r="B7" s="930">
        <f>AC$36</f>
        <v>0</v>
      </c>
      <c r="C7" s="6" t="s">
        <v>961</v>
      </c>
      <c r="D7" s="6"/>
      <c r="E7" s="912" t="s">
        <v>930</v>
      </c>
      <c r="F7" s="934">
        <f>Grünland!D8</f>
        <v>0</v>
      </c>
      <c r="G7" s="933">
        <f>IF(Grünland!$R8=$G$2,Grünland!$S8,0)</f>
        <v>0</v>
      </c>
      <c r="H7" s="851">
        <f>IF(Grünland!$T8=$G$2,Grünland!$U8,0)</f>
        <v>0</v>
      </c>
      <c r="I7" s="851">
        <f>IF(Grünland!$V8=$G$2,Grünland!$W8,0)</f>
        <v>0</v>
      </c>
      <c r="J7" s="851">
        <f>IF(Grünland!$X8=$G$2,Grünland!$Y8,0)</f>
        <v>0</v>
      </c>
      <c r="K7" s="851">
        <f>IF(Grünland!$Z8=$G$2,Grünland!$AA8,0)</f>
        <v>0</v>
      </c>
      <c r="L7" s="851">
        <f>IF(Grünland!$AB8=$G$2,Grünland!$AC8,0)</f>
        <v>0</v>
      </c>
      <c r="M7" s="851">
        <f>IF(Grünland!$R8=$M$2,Grünland!$S8,0)</f>
        <v>0</v>
      </c>
      <c r="N7" s="851">
        <f>IF(Grünland!$T8=$M$2,Grünland!$U8,0)</f>
        <v>0</v>
      </c>
      <c r="O7" s="851">
        <f>IF(Grünland!$V8=$M$2,Grünland!$W8,0)</f>
        <v>0</v>
      </c>
      <c r="P7" s="851">
        <f>IF(Grünland!$X8=$M$2,Grünland!$Y8,0)</f>
        <v>0</v>
      </c>
      <c r="Q7" s="851">
        <f>IF(Grünland!$Z8=$M$2,Grünland!$AA8,0)</f>
        <v>0</v>
      </c>
      <c r="R7" s="851">
        <f>IF(Grünland!$AB8=$M$2,Grünland!$AC8,0)</f>
        <v>0</v>
      </c>
      <c r="S7" s="851">
        <f>IF(Grünland!$R8=$S$2,Grünland!$S8,0)</f>
        <v>0</v>
      </c>
      <c r="T7" s="851">
        <f>IF(Grünland!$T8=$S$2,Grünland!$U8,0)</f>
        <v>0</v>
      </c>
      <c r="U7" s="851">
        <f>IF(Grünland!$V8=$S$2,Grünland!$W8,0)</f>
        <v>0</v>
      </c>
      <c r="V7" s="851">
        <f>IF(Grünland!$X8=$S$2,Grünland!$Y8,0)</f>
        <v>0</v>
      </c>
      <c r="W7" s="851">
        <f>IF(Grünland!$Z8=$S$2,Grünland!$AA8,0)</f>
        <v>0</v>
      </c>
      <c r="X7" s="851">
        <f>IF(Grünland!$AB8=$S$2,Grünland!$AC8,0)</f>
        <v>0</v>
      </c>
      <c r="Y7" s="851">
        <f>IF(Grünland!$R8=$Y$2,Grünland!$S8,0)</f>
        <v>0</v>
      </c>
      <c r="Z7" s="851">
        <f>IF(Grünland!$T8=$Y$2,Grünland!$U8,0)</f>
        <v>0</v>
      </c>
      <c r="AA7" s="851">
        <f>IF(Grünland!$V8=$Y$2,Grünland!$W8,0)</f>
        <v>0</v>
      </c>
      <c r="AB7" s="851">
        <f>IF(Grünland!$X8=$Y$2,Grünland!$Y8,0)</f>
        <v>0</v>
      </c>
      <c r="AC7" s="851">
        <f>IF(Grünland!$Z8=$Y$2,Grünland!$AA8,0)</f>
        <v>0</v>
      </c>
      <c r="AD7" s="851">
        <f>IF(Grünland!$AB8=$Y$2,Grünland!$AC8,0)</f>
        <v>0</v>
      </c>
      <c r="AE7" s="851">
        <f>IF(Grünland!$R8=$AE$2,Grünland!$S8,0)</f>
        <v>0</v>
      </c>
      <c r="AF7" s="851">
        <f>IF(Grünland!$T8=$AE$2,Grünland!$U8,0)</f>
        <v>0</v>
      </c>
      <c r="AG7" s="851">
        <f>IF(Grünland!$V8=$AE$2,Grünland!$W8,0)</f>
        <v>0</v>
      </c>
      <c r="AH7" s="851">
        <f>IF(Grünland!$X8=$AE$2,Grünland!$Y8,0)</f>
        <v>0</v>
      </c>
      <c r="AI7" s="851">
        <f>IF(Grünland!$Z8=$AE$2,Grünland!$AA8,0)</f>
        <v>0</v>
      </c>
      <c r="AJ7" s="851">
        <f>IF(Grünland!$AB8=$AE$2,Grünland!$AC8,0)</f>
        <v>0</v>
      </c>
      <c r="AK7" s="851">
        <f>IF(Grünland!$R8=$AK$2,Grünland!$S8,0)</f>
        <v>0</v>
      </c>
      <c r="AL7" s="851">
        <f>IF(Grünland!$T8=$AK$2,Grünland!$U8,0)</f>
        <v>0</v>
      </c>
      <c r="AM7" s="851">
        <f>IF(Grünland!$V8=$AK$2,Grünland!$W8,0)</f>
        <v>0</v>
      </c>
      <c r="AN7" s="851">
        <f>IF(Grünland!$X8=$AK$2,Grünland!$Y8,0)</f>
        <v>0</v>
      </c>
      <c r="AO7" s="851">
        <f>IF(Grünland!$Z8=$AK$2,Grünland!$AA8,0)</f>
        <v>0</v>
      </c>
      <c r="AP7" s="851">
        <f>IF(Grünland!$AB8=$AK$2,Grünland!$AC8,0)</f>
        <v>0</v>
      </c>
      <c r="AQ7" s="851">
        <f>IF(Grünland!$R8=$AQ$2,Grünland!$S8,0)</f>
        <v>0</v>
      </c>
      <c r="AR7" s="851">
        <f>IF(Grünland!$T8=$AQ$2,Grünland!$U8,0)</f>
        <v>0</v>
      </c>
      <c r="AS7" s="851">
        <f>IF(Grünland!$V8=$AQ$2,Grünland!$W8,0)</f>
        <v>0</v>
      </c>
      <c r="AT7" s="851">
        <f>IF(Grünland!$X8=$AQ$2,Grünland!$Y8,0)</f>
        <v>0</v>
      </c>
      <c r="AU7" s="851">
        <f>IF(Grünland!$Z8=$AQ$2,Grünland!$AA8,0)</f>
        <v>0</v>
      </c>
      <c r="AV7" s="851">
        <f>IF(Grünland!$AB8=$AQ$2,Grünland!$AC8,0)</f>
        <v>0</v>
      </c>
      <c r="AW7" s="851">
        <f>IF(Grünland!$R8=$AW$2,Grünland!$S8,0)</f>
        <v>0</v>
      </c>
      <c r="AX7" s="851">
        <f>IF(Grünland!$T8=$AW$2,Grünland!$U8,0)</f>
        <v>0</v>
      </c>
      <c r="AY7" s="851">
        <f>IF(Grünland!$V8=$AW$2,Grünland!$W8,0)</f>
        <v>0</v>
      </c>
      <c r="AZ7" s="851">
        <f>IF(Grünland!$X8=$AW$2,Grünland!$Y8,0)</f>
        <v>0</v>
      </c>
      <c r="BA7" s="851">
        <f>IF(Grünland!$Z8=$AW$2,Grünland!$AA8,0)</f>
        <v>0</v>
      </c>
      <c r="BB7" s="851">
        <f>IF(Grünland!$AB8=$AW$2,Grünland!$AC8,0)</f>
        <v>0</v>
      </c>
      <c r="BC7" s="851">
        <f>IF(Grünland!$R8=$BC$2,Grünland!$S8,0)</f>
        <v>0</v>
      </c>
      <c r="BD7" s="851">
        <f>IF(Grünland!$T8=$BC$2,Grünland!$U8,0)</f>
        <v>0</v>
      </c>
      <c r="BE7" s="851">
        <f>IF(Grünland!$V8=$BC$2,Grünland!$W8,0)</f>
        <v>0</v>
      </c>
      <c r="BF7" s="851">
        <f>IF(Grünland!$X8=$BC$2,Grünland!$Y8,0)</f>
        <v>0</v>
      </c>
      <c r="BG7" s="851">
        <f>IF(Grünland!$Z8=$BC$2,Grünland!$AA8,0)</f>
        <v>0</v>
      </c>
      <c r="BH7" s="851">
        <f>IF(Grünland!$AB8=$BC$2,Grünland!$AC8,0)</f>
        <v>0</v>
      </c>
      <c r="BI7" s="851">
        <f>IF(Grünland!$R8=$BI$2,Grünland!$S8,0)</f>
        <v>0</v>
      </c>
      <c r="BJ7" s="851">
        <f>IF(Grünland!$T8=$BI$2,Grünland!$U8,0)</f>
        <v>0</v>
      </c>
      <c r="BK7" s="851">
        <f>IF(Grünland!$V8=$BI$2,Grünland!$W8,0)</f>
        <v>0</v>
      </c>
      <c r="BL7" s="851">
        <f>IF(Grünland!$X8=$BI$2,Grünland!$Y8,0)</f>
        <v>0</v>
      </c>
      <c r="BM7" s="851">
        <f>IF(Grünland!$Z8=$BI$2,Grünland!$AA8,0)</f>
        <v>0</v>
      </c>
      <c r="BN7" s="851">
        <f>IF(Grünland!$AB8=$BI$2,Grünland!$AC8,0)</f>
        <v>0</v>
      </c>
      <c r="BO7" s="851">
        <f>IF(Grünland!$R8=$BO$2,Grünland!$S8,0)</f>
        <v>0</v>
      </c>
      <c r="BP7" s="851">
        <f>IF(Grünland!$T8=$BO$2,Grünland!$U8,0)</f>
        <v>0</v>
      </c>
      <c r="BQ7" s="851">
        <f>IF(Grünland!$V8=$BO$2,Grünland!$W8,0)</f>
        <v>0</v>
      </c>
      <c r="BR7" s="851">
        <f>IF(Grünland!$X8=$BO$2,Grünland!$Y8,0)</f>
        <v>0</v>
      </c>
      <c r="BS7" s="851">
        <f>IF(Grünland!$Z8=$BO$2,Grünland!$AA8,0)</f>
        <v>0</v>
      </c>
      <c r="BT7" s="851">
        <f>IF(Grünland!$AB8=$BO$2,Grünland!$AC8,0)</f>
        <v>0</v>
      </c>
      <c r="BU7" s="851">
        <f>IF(Grünland!$R8=$BU$2,Grünland!$S8,0)</f>
        <v>0</v>
      </c>
      <c r="BV7" s="851">
        <f>IF(Grünland!$T8=$BU$2,Grünland!$U8,0)</f>
        <v>0</v>
      </c>
      <c r="BW7" s="851">
        <f>IF(Grünland!$V8=$BU$2,Grünland!$W8,0)</f>
        <v>0</v>
      </c>
      <c r="BX7" s="851">
        <f>IF(Grünland!$X8=$BU$2,Grünland!$Y8,0)</f>
        <v>0</v>
      </c>
      <c r="BY7" s="851">
        <f>IF(Grünland!$Z8=$BU$2,Grünland!$AA8,0)</f>
        <v>0</v>
      </c>
      <c r="BZ7" s="851">
        <f>IF(Grünland!$AB8=$BU$2,Grünland!$AC8,0)</f>
        <v>0</v>
      </c>
      <c r="CA7" s="14"/>
    </row>
    <row r="8" spans="1:79" ht="15">
      <c r="A8" s="929">
        <f>'meine Dünger'!C9</f>
        <v>0</v>
      </c>
      <c r="B8" s="930">
        <f>AI$36</f>
        <v>0</v>
      </c>
      <c r="C8" s="6" t="s">
        <v>962</v>
      </c>
      <c r="D8" s="6"/>
      <c r="E8" s="912" t="s">
        <v>931</v>
      </c>
      <c r="F8" s="934">
        <f>Grünland!D9</f>
        <v>0</v>
      </c>
      <c r="G8" s="933">
        <f>IF(Grünland!$R9=$G$2,Grünland!$S9,0)</f>
        <v>0</v>
      </c>
      <c r="H8" s="851">
        <f>IF(Grünland!$T9=$G$2,Grünland!$U9,0)</f>
        <v>0</v>
      </c>
      <c r="I8" s="851">
        <f>IF(Grünland!$V9=$G$2,Grünland!$W9,0)</f>
        <v>0</v>
      </c>
      <c r="J8" s="851">
        <f>IF(Grünland!$X9=$G$2,Grünland!$Y9,0)</f>
        <v>0</v>
      </c>
      <c r="K8" s="851">
        <f>IF(Grünland!$Z9=$G$2,Grünland!$AA9,0)</f>
        <v>0</v>
      </c>
      <c r="L8" s="851">
        <f>IF(Grünland!$AB9=$G$2,Grünland!$AC9,0)</f>
        <v>0</v>
      </c>
      <c r="M8" s="851">
        <f>IF(Grünland!$R9=$M$2,Grünland!$S9,0)</f>
        <v>0</v>
      </c>
      <c r="N8" s="851">
        <f>IF(Grünland!$T9=$M$2,Grünland!$U9,0)</f>
        <v>0</v>
      </c>
      <c r="O8" s="851">
        <f>IF(Grünland!$V9=$M$2,Grünland!$W9,0)</f>
        <v>0</v>
      </c>
      <c r="P8" s="851">
        <f>IF(Grünland!$X9=$M$2,Grünland!$Y9,0)</f>
        <v>0</v>
      </c>
      <c r="Q8" s="851">
        <f>IF(Grünland!$Z9=$M$2,Grünland!$AA9,0)</f>
        <v>0</v>
      </c>
      <c r="R8" s="851">
        <f>IF(Grünland!$AB9=$M$2,Grünland!$AC9,0)</f>
        <v>0</v>
      </c>
      <c r="S8" s="851">
        <f>IF(Grünland!$R9=$S$2,Grünland!$S9,0)</f>
        <v>0</v>
      </c>
      <c r="T8" s="851">
        <f>IF(Grünland!$T9=$S$2,Grünland!$U9,0)</f>
        <v>0</v>
      </c>
      <c r="U8" s="851">
        <f>IF(Grünland!$V9=$S$2,Grünland!$W9,0)</f>
        <v>0</v>
      </c>
      <c r="V8" s="851">
        <f>IF(Grünland!$X9=$S$2,Grünland!$Y9,0)</f>
        <v>0</v>
      </c>
      <c r="W8" s="851">
        <f>IF(Grünland!$Z9=$S$2,Grünland!$AA9,0)</f>
        <v>0</v>
      </c>
      <c r="X8" s="851">
        <f>IF(Grünland!$AB9=$S$2,Grünland!$AC9,0)</f>
        <v>0</v>
      </c>
      <c r="Y8" s="851">
        <f>IF(Grünland!$R9=$Y$2,Grünland!$S9,0)</f>
        <v>0</v>
      </c>
      <c r="Z8" s="851">
        <f>IF(Grünland!$T9=$Y$2,Grünland!$U9,0)</f>
        <v>0</v>
      </c>
      <c r="AA8" s="851">
        <f>IF(Grünland!$V9=$Y$2,Grünland!$W9,0)</f>
        <v>0</v>
      </c>
      <c r="AB8" s="851">
        <f>IF(Grünland!$X9=$Y$2,Grünland!$Y9,0)</f>
        <v>0</v>
      </c>
      <c r="AC8" s="851">
        <f>IF(Grünland!$Z9=$Y$2,Grünland!$AA9,0)</f>
        <v>0</v>
      </c>
      <c r="AD8" s="851">
        <f>IF(Grünland!$AB9=$Y$2,Grünland!$AC9,0)</f>
        <v>0</v>
      </c>
      <c r="AE8" s="851">
        <f>IF(Grünland!$R9=$AE$2,Grünland!$S9,0)</f>
        <v>0</v>
      </c>
      <c r="AF8" s="851">
        <f>IF(Grünland!$T9=$AE$2,Grünland!$U9,0)</f>
        <v>0</v>
      </c>
      <c r="AG8" s="851">
        <f>IF(Grünland!$V9=$AE$2,Grünland!$W9,0)</f>
        <v>0</v>
      </c>
      <c r="AH8" s="851">
        <f>IF(Grünland!$X9=$AE$2,Grünland!$Y9,0)</f>
        <v>0</v>
      </c>
      <c r="AI8" s="851">
        <f>IF(Grünland!$Z9=$AE$2,Grünland!$AA9,0)</f>
        <v>0</v>
      </c>
      <c r="AJ8" s="851">
        <f>IF(Grünland!$AB9=$AE$2,Grünland!$AC9,0)</f>
        <v>0</v>
      </c>
      <c r="AK8" s="851">
        <f>IF(Grünland!$R9=$AK$2,Grünland!$S9,0)</f>
        <v>0</v>
      </c>
      <c r="AL8" s="851">
        <f>IF(Grünland!$T9=$AK$2,Grünland!$U9,0)</f>
        <v>0</v>
      </c>
      <c r="AM8" s="851">
        <f>IF(Grünland!$V9=$AK$2,Grünland!$W9,0)</f>
        <v>0</v>
      </c>
      <c r="AN8" s="851">
        <f>IF(Grünland!$X9=$AK$2,Grünland!$Y9,0)</f>
        <v>0</v>
      </c>
      <c r="AO8" s="851">
        <f>IF(Grünland!$Z9=$AK$2,Grünland!$AA9,0)</f>
        <v>0</v>
      </c>
      <c r="AP8" s="851">
        <f>IF(Grünland!$AB9=$AK$2,Grünland!$AC9,0)</f>
        <v>0</v>
      </c>
      <c r="AQ8" s="851">
        <f>IF(Grünland!$R9=$AQ$2,Grünland!$S9,0)</f>
        <v>0</v>
      </c>
      <c r="AR8" s="851">
        <f>IF(Grünland!$T9=$AQ$2,Grünland!$U9,0)</f>
        <v>0</v>
      </c>
      <c r="AS8" s="851">
        <f>IF(Grünland!$V9=$AQ$2,Grünland!$W9,0)</f>
        <v>0</v>
      </c>
      <c r="AT8" s="851">
        <f>IF(Grünland!$X9=$AQ$2,Grünland!$Y9,0)</f>
        <v>0</v>
      </c>
      <c r="AU8" s="851">
        <f>IF(Grünland!$Z9=$AQ$2,Grünland!$AA9,0)</f>
        <v>0</v>
      </c>
      <c r="AV8" s="851">
        <f>IF(Grünland!$AB9=$AQ$2,Grünland!$AC9,0)</f>
        <v>0</v>
      </c>
      <c r="AW8" s="851">
        <f>IF(Grünland!$R9=$AW$2,Grünland!$S9,0)</f>
        <v>0</v>
      </c>
      <c r="AX8" s="851">
        <f>IF(Grünland!$T9=$AW$2,Grünland!$U9,0)</f>
        <v>0</v>
      </c>
      <c r="AY8" s="851">
        <f>IF(Grünland!$V9=$AW$2,Grünland!$W9,0)</f>
        <v>0</v>
      </c>
      <c r="AZ8" s="851">
        <f>IF(Grünland!$X9=$AW$2,Grünland!$Y9,0)</f>
        <v>0</v>
      </c>
      <c r="BA8" s="851">
        <f>IF(Grünland!$Z9=$AW$2,Grünland!$AA9,0)</f>
        <v>0</v>
      </c>
      <c r="BB8" s="851">
        <f>IF(Grünland!$AB9=$AW$2,Grünland!$AC9,0)</f>
        <v>0</v>
      </c>
      <c r="BC8" s="851">
        <f>IF(Grünland!$R9=$BC$2,Grünland!$S9,0)</f>
        <v>0</v>
      </c>
      <c r="BD8" s="851">
        <f>IF(Grünland!$T9=$BC$2,Grünland!$U9,0)</f>
        <v>0</v>
      </c>
      <c r="BE8" s="851">
        <f>IF(Grünland!$V9=$BC$2,Grünland!$W9,0)</f>
        <v>0</v>
      </c>
      <c r="BF8" s="851">
        <f>IF(Grünland!$X9=$BC$2,Grünland!$Y9,0)</f>
        <v>0</v>
      </c>
      <c r="BG8" s="851">
        <f>IF(Grünland!$Z9=$BC$2,Grünland!$AA9,0)</f>
        <v>0</v>
      </c>
      <c r="BH8" s="851">
        <f>IF(Grünland!$AB9=$BC$2,Grünland!$AC9,0)</f>
        <v>0</v>
      </c>
      <c r="BI8" s="851">
        <f>IF(Grünland!$R9=$BI$2,Grünland!$S9,0)</f>
        <v>0</v>
      </c>
      <c r="BJ8" s="851">
        <f>IF(Grünland!$T9=$BI$2,Grünland!$U9,0)</f>
        <v>0</v>
      </c>
      <c r="BK8" s="851">
        <f>IF(Grünland!$V9=$BI$2,Grünland!$W9,0)</f>
        <v>0</v>
      </c>
      <c r="BL8" s="851">
        <f>IF(Grünland!$X9=$BI$2,Grünland!$Y9,0)</f>
        <v>0</v>
      </c>
      <c r="BM8" s="851">
        <f>IF(Grünland!$Z9=$BI$2,Grünland!$AA9,0)</f>
        <v>0</v>
      </c>
      <c r="BN8" s="851">
        <f>IF(Grünland!$AB9=$BI$2,Grünland!$AC9,0)</f>
        <v>0</v>
      </c>
      <c r="BO8" s="851">
        <f>IF(Grünland!$R9=$BO$2,Grünland!$S9,0)</f>
        <v>0</v>
      </c>
      <c r="BP8" s="851">
        <f>IF(Grünland!$T9=$BO$2,Grünland!$U9,0)</f>
        <v>0</v>
      </c>
      <c r="BQ8" s="851">
        <f>IF(Grünland!$V9=$BO$2,Grünland!$W9,0)</f>
        <v>0</v>
      </c>
      <c r="BR8" s="851">
        <f>IF(Grünland!$X9=$BO$2,Grünland!$Y9,0)</f>
        <v>0</v>
      </c>
      <c r="BS8" s="851">
        <f>IF(Grünland!$Z9=$BO$2,Grünland!$AA9,0)</f>
        <v>0</v>
      </c>
      <c r="BT8" s="851">
        <f>IF(Grünland!$AB9=$BO$2,Grünland!$AC9,0)</f>
        <v>0</v>
      </c>
      <c r="BU8" s="851">
        <f>IF(Grünland!$R9=$BU$2,Grünland!$S9,0)</f>
        <v>0</v>
      </c>
      <c r="BV8" s="851">
        <f>IF(Grünland!$T9=$BU$2,Grünland!$U9,0)</f>
        <v>0</v>
      </c>
      <c r="BW8" s="851">
        <f>IF(Grünland!$V9=$BU$2,Grünland!$W9,0)</f>
        <v>0</v>
      </c>
      <c r="BX8" s="851">
        <f>IF(Grünland!$X9=$BU$2,Grünland!$Y9,0)</f>
        <v>0</v>
      </c>
      <c r="BY8" s="851">
        <f>IF(Grünland!$Z9=$BU$2,Grünland!$AA9,0)</f>
        <v>0</v>
      </c>
      <c r="BZ8" s="851">
        <f>IF(Grünland!$AB9=$BU$2,Grünland!$AC9,0)</f>
        <v>0</v>
      </c>
      <c r="CA8" s="14"/>
    </row>
    <row r="9" spans="1:79" ht="15">
      <c r="A9" s="929">
        <f>'meine Dünger'!C10</f>
        <v>0</v>
      </c>
      <c r="B9" s="930">
        <f>AO$36</f>
        <v>0</v>
      </c>
      <c r="C9" s="6" t="s">
        <v>963</v>
      </c>
      <c r="D9" s="6"/>
      <c r="E9" s="912" t="s">
        <v>932</v>
      </c>
      <c r="F9" s="934">
        <f>Grünland!D10</f>
        <v>0</v>
      </c>
      <c r="G9" s="933">
        <f>IF(Grünland!$R10=$G$2,Grünland!$S10,0)</f>
        <v>0</v>
      </c>
      <c r="H9" s="851">
        <f>IF(Grünland!$T10=$G$2,Grünland!$U10,0)</f>
        <v>0</v>
      </c>
      <c r="I9" s="851">
        <f>IF(Grünland!$V10=$G$2,Grünland!$W10,0)</f>
        <v>0</v>
      </c>
      <c r="J9" s="851">
        <f>IF(Grünland!$X10=$G$2,Grünland!$Y10,0)</f>
        <v>0</v>
      </c>
      <c r="K9" s="851">
        <f>IF(Grünland!$Z10=$G$2,Grünland!$AA10,0)</f>
        <v>0</v>
      </c>
      <c r="L9" s="851">
        <f>IF(Grünland!$AB10=$G$2,Grünland!$AC10,0)</f>
        <v>0</v>
      </c>
      <c r="M9" s="851">
        <f>IF(Grünland!$R10=$M$2,Grünland!$S10,0)</f>
        <v>0</v>
      </c>
      <c r="N9" s="851">
        <f>IF(Grünland!$T10=$M$2,Grünland!$U10,0)</f>
        <v>0</v>
      </c>
      <c r="O9" s="851">
        <f>IF(Grünland!$V10=$M$2,Grünland!$W10,0)</f>
        <v>0</v>
      </c>
      <c r="P9" s="851">
        <f>IF(Grünland!$X10=$M$2,Grünland!$Y10,0)</f>
        <v>0</v>
      </c>
      <c r="Q9" s="851">
        <f>IF(Grünland!$Z10=$M$2,Grünland!$AA10,0)</f>
        <v>0</v>
      </c>
      <c r="R9" s="851">
        <f>IF(Grünland!$AB10=$M$2,Grünland!$AC10,0)</f>
        <v>0</v>
      </c>
      <c r="S9" s="851">
        <f>IF(Grünland!$R10=$S$2,Grünland!$S10,0)</f>
        <v>0</v>
      </c>
      <c r="T9" s="851">
        <f>IF(Grünland!$T10=$S$2,Grünland!$U10,0)</f>
        <v>0</v>
      </c>
      <c r="U9" s="851">
        <f>IF(Grünland!$V10=$S$2,Grünland!$W10,0)</f>
        <v>0</v>
      </c>
      <c r="V9" s="851">
        <f>IF(Grünland!$X10=$S$2,Grünland!$Y10,0)</f>
        <v>0</v>
      </c>
      <c r="W9" s="851">
        <f>IF(Grünland!$Z10=$S$2,Grünland!$AA10,0)</f>
        <v>0</v>
      </c>
      <c r="X9" s="851">
        <f>IF(Grünland!$AB10=$S$2,Grünland!$AC10,0)</f>
        <v>0</v>
      </c>
      <c r="Y9" s="851">
        <f>IF(Grünland!$R10=$Y$2,Grünland!$S10,0)</f>
        <v>0</v>
      </c>
      <c r="Z9" s="851">
        <f>IF(Grünland!$T10=$Y$2,Grünland!$U10,0)</f>
        <v>0</v>
      </c>
      <c r="AA9" s="851">
        <f>IF(Grünland!$V10=$Y$2,Grünland!$W10,0)</f>
        <v>0</v>
      </c>
      <c r="AB9" s="851">
        <f>IF(Grünland!$X10=$Y$2,Grünland!$Y10,0)</f>
        <v>0</v>
      </c>
      <c r="AC9" s="851">
        <f>IF(Grünland!$Z10=$Y$2,Grünland!$AA10,0)</f>
        <v>0</v>
      </c>
      <c r="AD9" s="851">
        <f>IF(Grünland!$AB10=$Y$2,Grünland!$AC10,0)</f>
        <v>0</v>
      </c>
      <c r="AE9" s="851">
        <f>IF(Grünland!$R10=$AE$2,Grünland!$S10,0)</f>
        <v>0</v>
      </c>
      <c r="AF9" s="851">
        <f>IF(Grünland!$T10=$AE$2,Grünland!$U10,0)</f>
        <v>0</v>
      </c>
      <c r="AG9" s="851">
        <f>IF(Grünland!$V10=$AE$2,Grünland!$W10,0)</f>
        <v>0</v>
      </c>
      <c r="AH9" s="851">
        <f>IF(Grünland!$X10=$AE$2,Grünland!$Y10,0)</f>
        <v>0</v>
      </c>
      <c r="AI9" s="851">
        <f>IF(Grünland!$Z10=$AE$2,Grünland!$AA10,0)</f>
        <v>0</v>
      </c>
      <c r="AJ9" s="851">
        <f>IF(Grünland!$AB10=$AE$2,Grünland!$AC10,0)</f>
        <v>0</v>
      </c>
      <c r="AK9" s="851">
        <f>IF(Grünland!$R10=$AK$2,Grünland!$S10,0)</f>
        <v>0</v>
      </c>
      <c r="AL9" s="851">
        <f>IF(Grünland!$T10=$AK$2,Grünland!$U10,0)</f>
        <v>0</v>
      </c>
      <c r="AM9" s="851">
        <f>IF(Grünland!$V10=$AK$2,Grünland!$W10,0)</f>
        <v>0</v>
      </c>
      <c r="AN9" s="851">
        <f>IF(Grünland!$X10=$AK$2,Grünland!$Y10,0)</f>
        <v>0</v>
      </c>
      <c r="AO9" s="851">
        <f>IF(Grünland!$Z10=$AK$2,Grünland!$AA10,0)</f>
        <v>0</v>
      </c>
      <c r="AP9" s="851">
        <f>IF(Grünland!$AB10=$AK$2,Grünland!$AC10,0)</f>
        <v>0</v>
      </c>
      <c r="AQ9" s="851">
        <f>IF(Grünland!$R10=$AQ$2,Grünland!$S10,0)</f>
        <v>0</v>
      </c>
      <c r="AR9" s="851">
        <f>IF(Grünland!$T10=$AQ$2,Grünland!$U10,0)</f>
        <v>0</v>
      </c>
      <c r="AS9" s="851">
        <f>IF(Grünland!$V10=$AQ$2,Grünland!$W10,0)</f>
        <v>0</v>
      </c>
      <c r="AT9" s="851">
        <f>IF(Grünland!$X10=$AQ$2,Grünland!$Y10,0)</f>
        <v>0</v>
      </c>
      <c r="AU9" s="851">
        <f>IF(Grünland!$Z10=$AQ$2,Grünland!$AA10,0)</f>
        <v>0</v>
      </c>
      <c r="AV9" s="851">
        <f>IF(Grünland!$AB10=$AQ$2,Grünland!$AC10,0)</f>
        <v>0</v>
      </c>
      <c r="AW9" s="851">
        <f>IF(Grünland!$R10=$AW$2,Grünland!$S10,0)</f>
        <v>0</v>
      </c>
      <c r="AX9" s="851">
        <f>IF(Grünland!$T10=$AW$2,Grünland!$U10,0)</f>
        <v>0</v>
      </c>
      <c r="AY9" s="851">
        <f>IF(Grünland!$V10=$AW$2,Grünland!$W10,0)</f>
        <v>0</v>
      </c>
      <c r="AZ9" s="851">
        <f>IF(Grünland!$X10=$AW$2,Grünland!$Y10,0)</f>
        <v>0</v>
      </c>
      <c r="BA9" s="851">
        <f>IF(Grünland!$Z10=$AW$2,Grünland!$AA10,0)</f>
        <v>0</v>
      </c>
      <c r="BB9" s="851">
        <f>IF(Grünland!$AB10=$AW$2,Grünland!$AC10,0)</f>
        <v>0</v>
      </c>
      <c r="BC9" s="851">
        <f>IF(Grünland!$R10=$BC$2,Grünland!$S10,0)</f>
        <v>0</v>
      </c>
      <c r="BD9" s="851">
        <f>IF(Grünland!$T10=$BC$2,Grünland!$U10,0)</f>
        <v>0</v>
      </c>
      <c r="BE9" s="851">
        <f>IF(Grünland!$V10=$BC$2,Grünland!$W10,0)</f>
        <v>0</v>
      </c>
      <c r="BF9" s="851">
        <f>IF(Grünland!$X10=$BC$2,Grünland!$Y10,0)</f>
        <v>0</v>
      </c>
      <c r="BG9" s="851">
        <f>IF(Grünland!$Z10=$BC$2,Grünland!$AA10,0)</f>
        <v>0</v>
      </c>
      <c r="BH9" s="851">
        <f>IF(Grünland!$AB10=$BC$2,Grünland!$AC10,0)</f>
        <v>0</v>
      </c>
      <c r="BI9" s="851">
        <f>IF(Grünland!$R10=$BI$2,Grünland!$S10,0)</f>
        <v>0</v>
      </c>
      <c r="BJ9" s="851">
        <f>IF(Grünland!$T10=$BI$2,Grünland!$U10,0)</f>
        <v>0</v>
      </c>
      <c r="BK9" s="851">
        <f>IF(Grünland!$V10=$BI$2,Grünland!$W10,0)</f>
        <v>0</v>
      </c>
      <c r="BL9" s="851">
        <f>IF(Grünland!$X10=$BI$2,Grünland!$Y10,0)</f>
        <v>0</v>
      </c>
      <c r="BM9" s="851">
        <f>IF(Grünland!$Z10=$BI$2,Grünland!$AA10,0)</f>
        <v>0</v>
      </c>
      <c r="BN9" s="851">
        <f>IF(Grünland!$AB10=$BI$2,Grünland!$AC10,0)</f>
        <v>0</v>
      </c>
      <c r="BO9" s="851">
        <f>IF(Grünland!$R10=$BO$2,Grünland!$S10,0)</f>
        <v>0</v>
      </c>
      <c r="BP9" s="851">
        <f>IF(Grünland!$T10=$BO$2,Grünland!$U10,0)</f>
        <v>0</v>
      </c>
      <c r="BQ9" s="851">
        <f>IF(Grünland!$V10=$BO$2,Grünland!$W10,0)</f>
        <v>0</v>
      </c>
      <c r="BR9" s="851">
        <f>IF(Grünland!$X10=$BO$2,Grünland!$Y10,0)</f>
        <v>0</v>
      </c>
      <c r="BS9" s="851">
        <f>IF(Grünland!$Z10=$BO$2,Grünland!$AA10,0)</f>
        <v>0</v>
      </c>
      <c r="BT9" s="851">
        <f>IF(Grünland!$AB10=$BO$2,Grünland!$AC10,0)</f>
        <v>0</v>
      </c>
      <c r="BU9" s="851">
        <f>IF(Grünland!$R10=$BU$2,Grünland!$S10,0)</f>
        <v>0</v>
      </c>
      <c r="BV9" s="851">
        <f>IF(Grünland!$T10=$BU$2,Grünland!$U10,0)</f>
        <v>0</v>
      </c>
      <c r="BW9" s="851">
        <f>IF(Grünland!$V10=$BU$2,Grünland!$W10,0)</f>
        <v>0</v>
      </c>
      <c r="BX9" s="851">
        <f>IF(Grünland!$X10=$BU$2,Grünland!$Y10,0)</f>
        <v>0</v>
      </c>
      <c r="BY9" s="851">
        <f>IF(Grünland!$Z10=$BU$2,Grünland!$AA10,0)</f>
        <v>0</v>
      </c>
      <c r="BZ9" s="851">
        <f>IF(Grünland!$AB10=$BU$2,Grünland!$AC10,0)</f>
        <v>0</v>
      </c>
      <c r="CA9" s="14"/>
    </row>
    <row r="10" spans="1:79" ht="15">
      <c r="A10" s="929">
        <f>'meine Dünger'!C11</f>
        <v>0</v>
      </c>
      <c r="B10" s="930">
        <f>AU$36</f>
        <v>0</v>
      </c>
      <c r="C10" s="6" t="s">
        <v>964</v>
      </c>
      <c r="D10" s="6"/>
      <c r="E10" s="912" t="s">
        <v>933</v>
      </c>
      <c r="F10" s="934">
        <f>Grünland!D11</f>
        <v>0</v>
      </c>
      <c r="G10" s="933">
        <f>IF(Grünland!$R11=$G$2,Grünland!$S11,0)</f>
        <v>0</v>
      </c>
      <c r="H10" s="851">
        <f>IF(Grünland!$T11=$G$2,Grünland!$U11,0)</f>
        <v>0</v>
      </c>
      <c r="I10" s="851">
        <f>IF(Grünland!$V11=$G$2,Grünland!$W11,0)</f>
        <v>0</v>
      </c>
      <c r="J10" s="851">
        <f>IF(Grünland!$X11=$G$2,Grünland!$Y11,0)</f>
        <v>0</v>
      </c>
      <c r="K10" s="851">
        <f>IF(Grünland!$Z11=$G$2,Grünland!$AA11,0)</f>
        <v>0</v>
      </c>
      <c r="L10" s="851">
        <f>IF(Grünland!$AB11=$G$2,Grünland!$AC11,0)</f>
        <v>0</v>
      </c>
      <c r="M10" s="851">
        <f>IF(Grünland!$R11=$M$2,Grünland!$S11,0)</f>
        <v>0</v>
      </c>
      <c r="N10" s="851">
        <f>IF(Grünland!$T11=$M$2,Grünland!$U11,0)</f>
        <v>0</v>
      </c>
      <c r="O10" s="851">
        <f>IF(Grünland!$V11=$M$2,Grünland!$W11,0)</f>
        <v>0</v>
      </c>
      <c r="P10" s="851">
        <f>IF(Grünland!$X11=$M$2,Grünland!$Y11,0)</f>
        <v>0</v>
      </c>
      <c r="Q10" s="851">
        <f>IF(Grünland!$Z11=$M$2,Grünland!$AA11,0)</f>
        <v>0</v>
      </c>
      <c r="R10" s="851">
        <f>IF(Grünland!$AB11=$M$2,Grünland!$AC11,0)</f>
        <v>0</v>
      </c>
      <c r="S10" s="851">
        <f>IF(Grünland!$R11=$S$2,Grünland!$S11,0)</f>
        <v>0</v>
      </c>
      <c r="T10" s="851">
        <f>IF(Grünland!$T11=$S$2,Grünland!$U11,0)</f>
        <v>0</v>
      </c>
      <c r="U10" s="851">
        <f>IF(Grünland!$V11=$S$2,Grünland!$W11,0)</f>
        <v>0</v>
      </c>
      <c r="V10" s="851">
        <f>IF(Grünland!$X11=$S$2,Grünland!$Y11,0)</f>
        <v>0</v>
      </c>
      <c r="W10" s="851">
        <f>IF(Grünland!$Z11=$S$2,Grünland!$AA11,0)</f>
        <v>0</v>
      </c>
      <c r="X10" s="851">
        <f>IF(Grünland!$AB11=$S$2,Grünland!$AC11,0)</f>
        <v>0</v>
      </c>
      <c r="Y10" s="851">
        <f>IF(Grünland!$R11=$Y$2,Grünland!$S11,0)</f>
        <v>0</v>
      </c>
      <c r="Z10" s="851">
        <f>IF(Grünland!$T11=$Y$2,Grünland!$U11,0)</f>
        <v>0</v>
      </c>
      <c r="AA10" s="851">
        <f>IF(Grünland!$V11=$Y$2,Grünland!$W11,0)</f>
        <v>0</v>
      </c>
      <c r="AB10" s="851">
        <f>IF(Grünland!$X11=$Y$2,Grünland!$Y11,0)</f>
        <v>0</v>
      </c>
      <c r="AC10" s="851">
        <f>IF(Grünland!$Z11=$Y$2,Grünland!$AA11,0)</f>
        <v>0</v>
      </c>
      <c r="AD10" s="851">
        <f>IF(Grünland!$AB11=$Y$2,Grünland!$AC11,0)</f>
        <v>0</v>
      </c>
      <c r="AE10" s="851">
        <f>IF(Grünland!$R11=$AE$2,Grünland!$S11,0)</f>
        <v>0</v>
      </c>
      <c r="AF10" s="851">
        <f>IF(Grünland!$T11=$AE$2,Grünland!$U11,0)</f>
        <v>0</v>
      </c>
      <c r="AG10" s="851">
        <f>IF(Grünland!$V11=$AE$2,Grünland!$W11,0)</f>
        <v>0</v>
      </c>
      <c r="AH10" s="851">
        <f>IF(Grünland!$X11=$AE$2,Grünland!$Y11,0)</f>
        <v>0</v>
      </c>
      <c r="AI10" s="851">
        <f>IF(Grünland!$Z11=$AE$2,Grünland!$AA11,0)</f>
        <v>0</v>
      </c>
      <c r="AJ10" s="851">
        <f>IF(Grünland!$AB11=$AE$2,Grünland!$AC11,0)</f>
        <v>0</v>
      </c>
      <c r="AK10" s="851">
        <f>IF(Grünland!$R11=$AK$2,Grünland!$S11,0)</f>
        <v>0</v>
      </c>
      <c r="AL10" s="851">
        <f>IF(Grünland!$T11=$AK$2,Grünland!$U11,0)</f>
        <v>0</v>
      </c>
      <c r="AM10" s="851">
        <f>IF(Grünland!$V11=$AK$2,Grünland!$W11,0)</f>
        <v>0</v>
      </c>
      <c r="AN10" s="851">
        <f>IF(Grünland!$X11=$AK$2,Grünland!$Y11,0)</f>
        <v>0</v>
      </c>
      <c r="AO10" s="851">
        <f>IF(Grünland!$Z11=$AK$2,Grünland!$AA11,0)</f>
        <v>0</v>
      </c>
      <c r="AP10" s="851">
        <f>IF(Grünland!$AB11=$AK$2,Grünland!$AC11,0)</f>
        <v>0</v>
      </c>
      <c r="AQ10" s="851">
        <f>IF(Grünland!$R11=$AQ$2,Grünland!$S11,0)</f>
        <v>0</v>
      </c>
      <c r="AR10" s="851">
        <f>IF(Grünland!$T11=$AQ$2,Grünland!$U11,0)</f>
        <v>0</v>
      </c>
      <c r="AS10" s="851">
        <f>IF(Grünland!$V11=$AQ$2,Grünland!$W11,0)</f>
        <v>0</v>
      </c>
      <c r="AT10" s="851">
        <f>IF(Grünland!$X11=$AQ$2,Grünland!$Y11,0)</f>
        <v>0</v>
      </c>
      <c r="AU10" s="851">
        <f>IF(Grünland!$Z11=$AQ$2,Grünland!$AA11,0)</f>
        <v>0</v>
      </c>
      <c r="AV10" s="851">
        <f>IF(Grünland!$AB11=$AQ$2,Grünland!$AC11,0)</f>
        <v>0</v>
      </c>
      <c r="AW10" s="851">
        <f>IF(Grünland!$R11=$AW$2,Grünland!$S11,0)</f>
        <v>0</v>
      </c>
      <c r="AX10" s="851">
        <f>IF(Grünland!$T11=$AW$2,Grünland!$U11,0)</f>
        <v>0</v>
      </c>
      <c r="AY10" s="851">
        <f>IF(Grünland!$V11=$AW$2,Grünland!$W11,0)</f>
        <v>0</v>
      </c>
      <c r="AZ10" s="851">
        <f>IF(Grünland!$X11=$AW$2,Grünland!$Y11,0)</f>
        <v>0</v>
      </c>
      <c r="BA10" s="851">
        <f>IF(Grünland!$Z11=$AW$2,Grünland!$AA11,0)</f>
        <v>0</v>
      </c>
      <c r="BB10" s="851">
        <f>IF(Grünland!$AB11=$AW$2,Grünland!$AC11,0)</f>
        <v>0</v>
      </c>
      <c r="BC10" s="851">
        <f>IF(Grünland!$R11=$BC$2,Grünland!$S11,0)</f>
        <v>0</v>
      </c>
      <c r="BD10" s="851">
        <f>IF(Grünland!$T11=$BC$2,Grünland!$U11,0)</f>
        <v>0</v>
      </c>
      <c r="BE10" s="851">
        <f>IF(Grünland!$V11=$BC$2,Grünland!$W11,0)</f>
        <v>0</v>
      </c>
      <c r="BF10" s="851">
        <f>IF(Grünland!$X11=$BC$2,Grünland!$Y11,0)</f>
        <v>0</v>
      </c>
      <c r="BG10" s="851">
        <f>IF(Grünland!$Z11=$BC$2,Grünland!$AA11,0)</f>
        <v>0</v>
      </c>
      <c r="BH10" s="851">
        <f>IF(Grünland!$AB11=$BC$2,Grünland!$AC11,0)</f>
        <v>0</v>
      </c>
      <c r="BI10" s="851">
        <f>IF(Grünland!$R11=$BI$2,Grünland!$S11,0)</f>
        <v>0</v>
      </c>
      <c r="BJ10" s="851">
        <f>IF(Grünland!$T11=$BI$2,Grünland!$U11,0)</f>
        <v>0</v>
      </c>
      <c r="BK10" s="851">
        <f>IF(Grünland!$V11=$BI$2,Grünland!$W11,0)</f>
        <v>0</v>
      </c>
      <c r="BL10" s="851">
        <f>IF(Grünland!$X11=$BI$2,Grünland!$Y11,0)</f>
        <v>0</v>
      </c>
      <c r="BM10" s="851">
        <f>IF(Grünland!$Z11=$BI$2,Grünland!$AA11,0)</f>
        <v>0</v>
      </c>
      <c r="BN10" s="851">
        <f>IF(Grünland!$AB11=$BI$2,Grünland!$AC11,0)</f>
        <v>0</v>
      </c>
      <c r="BO10" s="851">
        <f>IF(Grünland!$R11=$BO$2,Grünland!$S11,0)</f>
        <v>0</v>
      </c>
      <c r="BP10" s="851">
        <f>IF(Grünland!$T11=$BO$2,Grünland!$U11,0)</f>
        <v>0</v>
      </c>
      <c r="BQ10" s="851">
        <f>IF(Grünland!$V11=$BO$2,Grünland!$W11,0)</f>
        <v>0</v>
      </c>
      <c r="BR10" s="851">
        <f>IF(Grünland!$X11=$BO$2,Grünland!$Y11,0)</f>
        <v>0</v>
      </c>
      <c r="BS10" s="851">
        <f>IF(Grünland!$Z11=$BO$2,Grünland!$AA11,0)</f>
        <v>0</v>
      </c>
      <c r="BT10" s="851">
        <f>IF(Grünland!$AB11=$BO$2,Grünland!$AC11,0)</f>
        <v>0</v>
      </c>
      <c r="BU10" s="851">
        <f>IF(Grünland!$R11=$BU$2,Grünland!$S11,0)</f>
        <v>0</v>
      </c>
      <c r="BV10" s="851">
        <f>IF(Grünland!$T11=$BU$2,Grünland!$U11,0)</f>
        <v>0</v>
      </c>
      <c r="BW10" s="851">
        <f>IF(Grünland!$V11=$BU$2,Grünland!$W11,0)</f>
        <v>0</v>
      </c>
      <c r="BX10" s="851">
        <f>IF(Grünland!$X11=$BU$2,Grünland!$Y11,0)</f>
        <v>0</v>
      </c>
      <c r="BY10" s="851">
        <f>IF(Grünland!$Z11=$BU$2,Grünland!$AA11,0)</f>
        <v>0</v>
      </c>
      <c r="BZ10" s="851">
        <f>IF(Grünland!$AB11=$BU$2,Grünland!$AC11,0)</f>
        <v>0</v>
      </c>
      <c r="CA10" s="14"/>
    </row>
    <row r="11" spans="1:79" ht="15">
      <c r="A11" s="929">
        <f>'meine Dünger'!C12</f>
        <v>0</v>
      </c>
      <c r="B11" s="930">
        <f>BA$36</f>
        <v>0</v>
      </c>
      <c r="C11" s="6" t="s">
        <v>965</v>
      </c>
      <c r="D11" s="6"/>
      <c r="E11" s="912" t="s">
        <v>934</v>
      </c>
      <c r="F11" s="934">
        <f>Grünland!D12</f>
        <v>0</v>
      </c>
      <c r="G11" s="933">
        <f>IF(Grünland!$R12=$G$2,Grünland!$S12,0)</f>
        <v>0</v>
      </c>
      <c r="H11" s="851">
        <f>IF(Grünland!$T12=$G$2,Grünland!$U12,0)</f>
        <v>0</v>
      </c>
      <c r="I11" s="851">
        <f>IF(Grünland!$V12=$G$2,Grünland!$W12,0)</f>
        <v>0</v>
      </c>
      <c r="J11" s="851">
        <f>IF(Grünland!$X12=$G$2,Grünland!$Y12,0)</f>
        <v>0</v>
      </c>
      <c r="K11" s="851">
        <f>IF(Grünland!$Z12=$G$2,Grünland!$AA12,0)</f>
        <v>0</v>
      </c>
      <c r="L11" s="851">
        <f>IF(Grünland!$AB12=$G$2,Grünland!$AC12,0)</f>
        <v>0</v>
      </c>
      <c r="M11" s="851">
        <f>IF(Grünland!$R12=$M$2,Grünland!$S12,0)</f>
        <v>0</v>
      </c>
      <c r="N11" s="851">
        <f>IF(Grünland!$T12=$M$2,Grünland!$U12,0)</f>
        <v>0</v>
      </c>
      <c r="O11" s="851">
        <f>IF(Grünland!$V12=$M$2,Grünland!$W12,0)</f>
        <v>0</v>
      </c>
      <c r="P11" s="851">
        <f>IF(Grünland!$X12=$M$2,Grünland!$Y12,0)</f>
        <v>0</v>
      </c>
      <c r="Q11" s="851">
        <f>IF(Grünland!$Z12=$M$2,Grünland!$AA12,0)</f>
        <v>0</v>
      </c>
      <c r="R11" s="851">
        <f>IF(Grünland!$AB12=$M$2,Grünland!$AC12,0)</f>
        <v>0</v>
      </c>
      <c r="S11" s="851">
        <f>IF(Grünland!$R12=$S$2,Grünland!$S12,0)</f>
        <v>0</v>
      </c>
      <c r="T11" s="851">
        <f>IF(Grünland!$T12=$S$2,Grünland!$U12,0)</f>
        <v>0</v>
      </c>
      <c r="U11" s="851">
        <f>IF(Grünland!$V12=$S$2,Grünland!$W12,0)</f>
        <v>0</v>
      </c>
      <c r="V11" s="851">
        <f>IF(Grünland!$X12=$S$2,Grünland!$Y12,0)</f>
        <v>0</v>
      </c>
      <c r="W11" s="851">
        <f>IF(Grünland!$Z12=$S$2,Grünland!$AA12,0)</f>
        <v>0</v>
      </c>
      <c r="X11" s="851">
        <f>IF(Grünland!$AB12=$S$2,Grünland!$AC12,0)</f>
        <v>0</v>
      </c>
      <c r="Y11" s="851">
        <f>IF(Grünland!$R12=$Y$2,Grünland!$S12,0)</f>
        <v>0</v>
      </c>
      <c r="Z11" s="851">
        <f>IF(Grünland!$T12=$Y$2,Grünland!$U12,0)</f>
        <v>0</v>
      </c>
      <c r="AA11" s="851">
        <f>IF(Grünland!$V12=$Y$2,Grünland!$W12,0)</f>
        <v>0</v>
      </c>
      <c r="AB11" s="851">
        <f>IF(Grünland!$X12=$Y$2,Grünland!$Y12,0)</f>
        <v>0</v>
      </c>
      <c r="AC11" s="851">
        <f>IF(Grünland!$Z12=$Y$2,Grünland!$AA12,0)</f>
        <v>0</v>
      </c>
      <c r="AD11" s="851">
        <f>IF(Grünland!$AB12=$Y$2,Grünland!$AC12,0)</f>
        <v>0</v>
      </c>
      <c r="AE11" s="851">
        <f>IF(Grünland!$R12=$AE$2,Grünland!$S12,0)</f>
        <v>0</v>
      </c>
      <c r="AF11" s="851">
        <f>IF(Grünland!$T12=$AE$2,Grünland!$U12,0)</f>
        <v>0</v>
      </c>
      <c r="AG11" s="851">
        <f>IF(Grünland!$V12=$AE$2,Grünland!$W12,0)</f>
        <v>0</v>
      </c>
      <c r="AH11" s="851">
        <f>IF(Grünland!$X12=$AE$2,Grünland!$Y12,0)</f>
        <v>0</v>
      </c>
      <c r="AI11" s="851">
        <f>IF(Grünland!$Z12=$AE$2,Grünland!$AA12,0)</f>
        <v>0</v>
      </c>
      <c r="AJ11" s="851">
        <f>IF(Grünland!$AB12=$AE$2,Grünland!$AC12,0)</f>
        <v>0</v>
      </c>
      <c r="AK11" s="851">
        <f>IF(Grünland!$R12=$AK$2,Grünland!$S12,0)</f>
        <v>0</v>
      </c>
      <c r="AL11" s="851">
        <f>IF(Grünland!$T12=$AK$2,Grünland!$U12,0)</f>
        <v>0</v>
      </c>
      <c r="AM11" s="851">
        <f>IF(Grünland!$V12=$AK$2,Grünland!$W12,0)</f>
        <v>0</v>
      </c>
      <c r="AN11" s="851">
        <f>IF(Grünland!$X12=$AK$2,Grünland!$Y12,0)</f>
        <v>0</v>
      </c>
      <c r="AO11" s="851">
        <f>IF(Grünland!$Z12=$AK$2,Grünland!$AA12,0)</f>
        <v>0</v>
      </c>
      <c r="AP11" s="851">
        <f>IF(Grünland!$AB12=$AK$2,Grünland!$AC12,0)</f>
        <v>0</v>
      </c>
      <c r="AQ11" s="851">
        <f>IF(Grünland!$R12=$AQ$2,Grünland!$S12,0)</f>
        <v>0</v>
      </c>
      <c r="AR11" s="851">
        <f>IF(Grünland!$T12=$AQ$2,Grünland!$U12,0)</f>
        <v>0</v>
      </c>
      <c r="AS11" s="851">
        <f>IF(Grünland!$V12=$AQ$2,Grünland!$W12,0)</f>
        <v>0</v>
      </c>
      <c r="AT11" s="851">
        <f>IF(Grünland!$X12=$AQ$2,Grünland!$Y12,0)</f>
        <v>0</v>
      </c>
      <c r="AU11" s="851">
        <f>IF(Grünland!$Z12=$AQ$2,Grünland!$AA12,0)</f>
        <v>0</v>
      </c>
      <c r="AV11" s="851">
        <f>IF(Grünland!$AB12=$AQ$2,Grünland!$AC12,0)</f>
        <v>0</v>
      </c>
      <c r="AW11" s="851">
        <f>IF(Grünland!$R12=$AW$2,Grünland!$S12,0)</f>
        <v>0</v>
      </c>
      <c r="AX11" s="851">
        <f>IF(Grünland!$T12=$AW$2,Grünland!$U12,0)</f>
        <v>0</v>
      </c>
      <c r="AY11" s="851">
        <f>IF(Grünland!$V12=$AW$2,Grünland!$W12,0)</f>
        <v>0</v>
      </c>
      <c r="AZ11" s="851">
        <f>IF(Grünland!$X12=$AW$2,Grünland!$Y12,0)</f>
        <v>0</v>
      </c>
      <c r="BA11" s="851">
        <f>IF(Grünland!$Z12=$AW$2,Grünland!$AA12,0)</f>
        <v>0</v>
      </c>
      <c r="BB11" s="851">
        <f>IF(Grünland!$AB12=$AW$2,Grünland!$AC12,0)</f>
        <v>0</v>
      </c>
      <c r="BC11" s="851">
        <f>IF(Grünland!$R12=$BC$2,Grünland!$S12,0)</f>
        <v>0</v>
      </c>
      <c r="BD11" s="851">
        <f>IF(Grünland!$T12=$BC$2,Grünland!$U12,0)</f>
        <v>0</v>
      </c>
      <c r="BE11" s="851">
        <f>IF(Grünland!$V12=$BC$2,Grünland!$W12,0)</f>
        <v>0</v>
      </c>
      <c r="BF11" s="851">
        <f>IF(Grünland!$X12=$BC$2,Grünland!$Y12,0)</f>
        <v>0</v>
      </c>
      <c r="BG11" s="851">
        <f>IF(Grünland!$Z12=$BC$2,Grünland!$AA12,0)</f>
        <v>0</v>
      </c>
      <c r="BH11" s="851">
        <f>IF(Grünland!$AB12=$BC$2,Grünland!$AC12,0)</f>
        <v>0</v>
      </c>
      <c r="BI11" s="851">
        <f>IF(Grünland!$R12=$BI$2,Grünland!$S12,0)</f>
        <v>0</v>
      </c>
      <c r="BJ11" s="851">
        <f>IF(Grünland!$T12=$BI$2,Grünland!$U12,0)</f>
        <v>0</v>
      </c>
      <c r="BK11" s="851">
        <f>IF(Grünland!$V12=$BI$2,Grünland!$W12,0)</f>
        <v>0</v>
      </c>
      <c r="BL11" s="851">
        <f>IF(Grünland!$X12=$BI$2,Grünland!$Y12,0)</f>
        <v>0</v>
      </c>
      <c r="BM11" s="851">
        <f>IF(Grünland!$Z12=$BI$2,Grünland!$AA12,0)</f>
        <v>0</v>
      </c>
      <c r="BN11" s="851">
        <f>IF(Grünland!$AB12=$BI$2,Grünland!$AC12,0)</f>
        <v>0</v>
      </c>
      <c r="BO11" s="851">
        <f>IF(Grünland!$R12=$BO$2,Grünland!$S12,0)</f>
        <v>0</v>
      </c>
      <c r="BP11" s="851">
        <f>IF(Grünland!$T12=$BO$2,Grünland!$U12,0)</f>
        <v>0</v>
      </c>
      <c r="BQ11" s="851">
        <f>IF(Grünland!$V12=$BO$2,Grünland!$W12,0)</f>
        <v>0</v>
      </c>
      <c r="BR11" s="851">
        <f>IF(Grünland!$X12=$BO$2,Grünland!$Y12,0)</f>
        <v>0</v>
      </c>
      <c r="BS11" s="851">
        <f>IF(Grünland!$Z12=$BO$2,Grünland!$AA12,0)</f>
        <v>0</v>
      </c>
      <c r="BT11" s="851">
        <f>IF(Grünland!$AB12=$BO$2,Grünland!$AC12,0)</f>
        <v>0</v>
      </c>
      <c r="BU11" s="851">
        <f>IF(Grünland!$R12=$BU$2,Grünland!$S12,0)</f>
        <v>0</v>
      </c>
      <c r="BV11" s="851">
        <f>IF(Grünland!$T12=$BU$2,Grünland!$U12,0)</f>
        <v>0</v>
      </c>
      <c r="BW11" s="851">
        <f>IF(Grünland!$V12=$BU$2,Grünland!$W12,0)</f>
        <v>0</v>
      </c>
      <c r="BX11" s="851">
        <f>IF(Grünland!$X12=$BU$2,Grünland!$Y12,0)</f>
        <v>0</v>
      </c>
      <c r="BY11" s="851">
        <f>IF(Grünland!$Z12=$BU$2,Grünland!$AA12,0)</f>
        <v>0</v>
      </c>
      <c r="BZ11" s="851">
        <f>IF(Grünland!$AB12=$BU$2,Grünland!$AC12,0)</f>
        <v>0</v>
      </c>
      <c r="CA11" s="14"/>
    </row>
    <row r="12" spans="1:79" ht="15">
      <c r="A12" s="929">
        <f>'meine Dünger'!C13</f>
        <v>0</v>
      </c>
      <c r="B12" s="930">
        <f>BG$36</f>
        <v>0</v>
      </c>
      <c r="C12" s="6" t="s">
        <v>966</v>
      </c>
      <c r="D12" s="6"/>
      <c r="E12" s="912" t="s">
        <v>935</v>
      </c>
      <c r="F12" s="934">
        <f>Grünland!D13</f>
        <v>0</v>
      </c>
      <c r="G12" s="933">
        <f>IF(Grünland!$R13=$G$2,Grünland!$S13,0)</f>
        <v>0</v>
      </c>
      <c r="H12" s="851">
        <f>IF(Grünland!$T13=$G$2,Grünland!$U13,0)</f>
        <v>0</v>
      </c>
      <c r="I12" s="851">
        <f>IF(Grünland!$V13=$G$2,Grünland!$W13,0)</f>
        <v>0</v>
      </c>
      <c r="J12" s="851">
        <f>IF(Grünland!$X13=$G$2,Grünland!$Y13,0)</f>
        <v>0</v>
      </c>
      <c r="K12" s="851">
        <f>IF(Grünland!$Z13=$G$2,Grünland!$AA13,0)</f>
        <v>0</v>
      </c>
      <c r="L12" s="851">
        <f>IF(Grünland!$AB13=$G$2,Grünland!$AC13,0)</f>
        <v>0</v>
      </c>
      <c r="M12" s="851">
        <f>IF(Grünland!$R13=$M$2,Grünland!$S13,0)</f>
        <v>0</v>
      </c>
      <c r="N12" s="851">
        <f>IF(Grünland!$T13=$M$2,Grünland!$U13,0)</f>
        <v>0</v>
      </c>
      <c r="O12" s="851">
        <f>IF(Grünland!$V13=$M$2,Grünland!$W13,0)</f>
        <v>0</v>
      </c>
      <c r="P12" s="851">
        <f>IF(Grünland!$X13=$M$2,Grünland!$Y13,0)</f>
        <v>0</v>
      </c>
      <c r="Q12" s="851">
        <f>IF(Grünland!$Z13=$M$2,Grünland!$AA13,0)</f>
        <v>0</v>
      </c>
      <c r="R12" s="851">
        <f>IF(Grünland!$AB13=$M$2,Grünland!$AC13,0)</f>
        <v>0</v>
      </c>
      <c r="S12" s="851">
        <f>IF(Grünland!$R13=$S$2,Grünland!$S13,0)</f>
        <v>0</v>
      </c>
      <c r="T12" s="851">
        <f>IF(Grünland!$T13=$S$2,Grünland!$U13,0)</f>
        <v>0</v>
      </c>
      <c r="U12" s="851">
        <f>IF(Grünland!$V13=$S$2,Grünland!$W13,0)</f>
        <v>0</v>
      </c>
      <c r="V12" s="851">
        <f>IF(Grünland!$X13=$S$2,Grünland!$Y13,0)</f>
        <v>0</v>
      </c>
      <c r="W12" s="851">
        <f>IF(Grünland!$Z13=$S$2,Grünland!$AA13,0)</f>
        <v>0</v>
      </c>
      <c r="X12" s="851">
        <f>IF(Grünland!$AB13=$S$2,Grünland!$AC13,0)</f>
        <v>0</v>
      </c>
      <c r="Y12" s="851">
        <f>IF(Grünland!$R13=$Y$2,Grünland!$S13,0)</f>
        <v>0</v>
      </c>
      <c r="Z12" s="851">
        <f>IF(Grünland!$T13=$Y$2,Grünland!$U13,0)</f>
        <v>0</v>
      </c>
      <c r="AA12" s="851">
        <f>IF(Grünland!$V13=$Y$2,Grünland!$W13,0)</f>
        <v>0</v>
      </c>
      <c r="AB12" s="851">
        <f>IF(Grünland!$X13=$Y$2,Grünland!$Y13,0)</f>
        <v>0</v>
      </c>
      <c r="AC12" s="851">
        <f>IF(Grünland!$Z13=$Y$2,Grünland!$AA13,0)</f>
        <v>0</v>
      </c>
      <c r="AD12" s="851">
        <f>IF(Grünland!$AB13=$Y$2,Grünland!$AC13,0)</f>
        <v>0</v>
      </c>
      <c r="AE12" s="851">
        <f>IF(Grünland!$R13=$AE$2,Grünland!$S13,0)</f>
        <v>0</v>
      </c>
      <c r="AF12" s="851">
        <f>IF(Grünland!$T13=$AE$2,Grünland!$U13,0)</f>
        <v>0</v>
      </c>
      <c r="AG12" s="851">
        <f>IF(Grünland!$V13=$AE$2,Grünland!$W13,0)</f>
        <v>0</v>
      </c>
      <c r="AH12" s="851">
        <f>IF(Grünland!$X13=$AE$2,Grünland!$Y13,0)</f>
        <v>0</v>
      </c>
      <c r="AI12" s="851">
        <f>IF(Grünland!$Z13=$AE$2,Grünland!$AA13,0)</f>
        <v>0</v>
      </c>
      <c r="AJ12" s="851">
        <f>IF(Grünland!$AB13=$AE$2,Grünland!$AC13,0)</f>
        <v>0</v>
      </c>
      <c r="AK12" s="851">
        <f>IF(Grünland!$R13=$AK$2,Grünland!$S13,0)</f>
        <v>0</v>
      </c>
      <c r="AL12" s="851">
        <f>IF(Grünland!$T13=$AK$2,Grünland!$U13,0)</f>
        <v>0</v>
      </c>
      <c r="AM12" s="851">
        <f>IF(Grünland!$V13=$AK$2,Grünland!$W13,0)</f>
        <v>0</v>
      </c>
      <c r="AN12" s="851">
        <f>IF(Grünland!$X13=$AK$2,Grünland!$Y13,0)</f>
        <v>0</v>
      </c>
      <c r="AO12" s="851">
        <f>IF(Grünland!$Z13=$AK$2,Grünland!$AA13,0)</f>
        <v>0</v>
      </c>
      <c r="AP12" s="851">
        <f>IF(Grünland!$AB13=$AK$2,Grünland!$AC13,0)</f>
        <v>0</v>
      </c>
      <c r="AQ12" s="851">
        <f>IF(Grünland!$R13=$AQ$2,Grünland!$S13,0)</f>
        <v>0</v>
      </c>
      <c r="AR12" s="851">
        <f>IF(Grünland!$T13=$AQ$2,Grünland!$U13,0)</f>
        <v>0</v>
      </c>
      <c r="AS12" s="851">
        <f>IF(Grünland!$V13=$AQ$2,Grünland!$W13,0)</f>
        <v>0</v>
      </c>
      <c r="AT12" s="851">
        <f>IF(Grünland!$X13=$AQ$2,Grünland!$Y13,0)</f>
        <v>0</v>
      </c>
      <c r="AU12" s="851">
        <f>IF(Grünland!$Z13=$AQ$2,Grünland!$AA13,0)</f>
        <v>0</v>
      </c>
      <c r="AV12" s="851">
        <f>IF(Grünland!$AB13=$AQ$2,Grünland!$AC13,0)</f>
        <v>0</v>
      </c>
      <c r="AW12" s="851">
        <f>IF(Grünland!$R13=$AW$2,Grünland!$S13,0)</f>
        <v>0</v>
      </c>
      <c r="AX12" s="851">
        <f>IF(Grünland!$T13=$AW$2,Grünland!$U13,0)</f>
        <v>0</v>
      </c>
      <c r="AY12" s="851">
        <f>IF(Grünland!$V13=$AW$2,Grünland!$W13,0)</f>
        <v>0</v>
      </c>
      <c r="AZ12" s="851">
        <f>IF(Grünland!$X13=$AW$2,Grünland!$Y13,0)</f>
        <v>0</v>
      </c>
      <c r="BA12" s="851">
        <f>IF(Grünland!$Z13=$AW$2,Grünland!$AA13,0)</f>
        <v>0</v>
      </c>
      <c r="BB12" s="851">
        <f>IF(Grünland!$AB13=$AW$2,Grünland!$AC13,0)</f>
        <v>0</v>
      </c>
      <c r="BC12" s="851">
        <f>IF(Grünland!$R13=$BC$2,Grünland!$S13,0)</f>
        <v>0</v>
      </c>
      <c r="BD12" s="851">
        <f>IF(Grünland!$T13=$BC$2,Grünland!$U13,0)</f>
        <v>0</v>
      </c>
      <c r="BE12" s="851">
        <f>IF(Grünland!$V13=$BC$2,Grünland!$W13,0)</f>
        <v>0</v>
      </c>
      <c r="BF12" s="851">
        <f>IF(Grünland!$X13=$BC$2,Grünland!$Y13,0)</f>
        <v>0</v>
      </c>
      <c r="BG12" s="851">
        <f>IF(Grünland!$Z13=$BC$2,Grünland!$AA13,0)</f>
        <v>0</v>
      </c>
      <c r="BH12" s="851">
        <f>IF(Grünland!$AB13=$BC$2,Grünland!$AC13,0)</f>
        <v>0</v>
      </c>
      <c r="BI12" s="851">
        <f>IF(Grünland!$R13=$BI$2,Grünland!$S13,0)</f>
        <v>0</v>
      </c>
      <c r="BJ12" s="851">
        <f>IF(Grünland!$T13=$BI$2,Grünland!$U13,0)</f>
        <v>0</v>
      </c>
      <c r="BK12" s="851">
        <f>IF(Grünland!$V13=$BI$2,Grünland!$W13,0)</f>
        <v>0</v>
      </c>
      <c r="BL12" s="851">
        <f>IF(Grünland!$X13=$BI$2,Grünland!$Y13,0)</f>
        <v>0</v>
      </c>
      <c r="BM12" s="851">
        <f>IF(Grünland!$Z13=$BI$2,Grünland!$AA13,0)</f>
        <v>0</v>
      </c>
      <c r="BN12" s="851">
        <f>IF(Grünland!$AB13=$BI$2,Grünland!$AC13,0)</f>
        <v>0</v>
      </c>
      <c r="BO12" s="851">
        <f>IF(Grünland!$R13=$BO$2,Grünland!$S13,0)</f>
        <v>0</v>
      </c>
      <c r="BP12" s="851">
        <f>IF(Grünland!$T13=$BO$2,Grünland!$U13,0)</f>
        <v>0</v>
      </c>
      <c r="BQ12" s="851">
        <f>IF(Grünland!$V13=$BO$2,Grünland!$W13,0)</f>
        <v>0</v>
      </c>
      <c r="BR12" s="851">
        <f>IF(Grünland!$X13=$BO$2,Grünland!$Y13,0)</f>
        <v>0</v>
      </c>
      <c r="BS12" s="851">
        <f>IF(Grünland!$Z13=$BO$2,Grünland!$AA13,0)</f>
        <v>0</v>
      </c>
      <c r="BT12" s="851">
        <f>IF(Grünland!$AB13=$BO$2,Grünland!$AC13,0)</f>
        <v>0</v>
      </c>
      <c r="BU12" s="851">
        <f>IF(Grünland!$R13=$BU$2,Grünland!$S13,0)</f>
        <v>0</v>
      </c>
      <c r="BV12" s="851">
        <f>IF(Grünland!$T13=$BU$2,Grünland!$U13,0)</f>
        <v>0</v>
      </c>
      <c r="BW12" s="851">
        <f>IF(Grünland!$V13=$BU$2,Grünland!$W13,0)</f>
        <v>0</v>
      </c>
      <c r="BX12" s="851">
        <f>IF(Grünland!$X13=$BU$2,Grünland!$Y13,0)</f>
        <v>0</v>
      </c>
      <c r="BY12" s="851">
        <f>IF(Grünland!$Z13=$BU$2,Grünland!$AA13,0)</f>
        <v>0</v>
      </c>
      <c r="BZ12" s="851">
        <f>IF(Grünland!$AB13=$BU$2,Grünland!$AC13,0)</f>
        <v>0</v>
      </c>
      <c r="CA12" s="14"/>
    </row>
    <row r="13" spans="1:79" ht="15">
      <c r="A13" s="929">
        <f>'meine Dünger'!C14</f>
        <v>0</v>
      </c>
      <c r="B13" s="930">
        <f>BM$36</f>
        <v>0</v>
      </c>
      <c r="C13" s="6" t="s">
        <v>967</v>
      </c>
      <c r="D13" s="6"/>
      <c r="E13" s="912" t="s">
        <v>936</v>
      </c>
      <c r="F13" s="934">
        <f>Grünland!D14</f>
        <v>0</v>
      </c>
      <c r="G13" s="933">
        <f>IF(Grünland!$R14=$G$2,Grünland!$S14,0)</f>
        <v>0</v>
      </c>
      <c r="H13" s="851">
        <f>IF(Grünland!$T14=$G$2,Grünland!$U14,0)</f>
        <v>0</v>
      </c>
      <c r="I13" s="851">
        <f>IF(Grünland!$V14=$G$2,Grünland!$W14,0)</f>
        <v>0</v>
      </c>
      <c r="J13" s="851">
        <f>IF(Grünland!$X14=$G$2,Grünland!$Y14,0)</f>
        <v>0</v>
      </c>
      <c r="K13" s="851">
        <f>IF(Grünland!$Z14=$G$2,Grünland!$AA14,0)</f>
        <v>0</v>
      </c>
      <c r="L13" s="851">
        <f>IF(Grünland!$AB14=$G$2,Grünland!$AC14,0)</f>
        <v>0</v>
      </c>
      <c r="M13" s="851">
        <f>IF(Grünland!$R14=$M$2,Grünland!$S14,0)</f>
        <v>0</v>
      </c>
      <c r="N13" s="851">
        <f>IF(Grünland!$T14=$M$2,Grünland!$U14,0)</f>
        <v>0</v>
      </c>
      <c r="O13" s="851">
        <f>IF(Grünland!$V14=$M$2,Grünland!$W14,0)</f>
        <v>0</v>
      </c>
      <c r="P13" s="851">
        <f>IF(Grünland!$X14=$M$2,Grünland!$Y14,0)</f>
        <v>0</v>
      </c>
      <c r="Q13" s="851">
        <f>IF(Grünland!$Z14=$M$2,Grünland!$AA14,0)</f>
        <v>0</v>
      </c>
      <c r="R13" s="851">
        <f>IF(Grünland!$AB14=$M$2,Grünland!$AC14,0)</f>
        <v>0</v>
      </c>
      <c r="S13" s="851">
        <f>IF(Grünland!$R14=$S$2,Grünland!$S14,0)</f>
        <v>0</v>
      </c>
      <c r="T13" s="851">
        <f>IF(Grünland!$T14=$S$2,Grünland!$U14,0)</f>
        <v>0</v>
      </c>
      <c r="U13" s="851">
        <f>IF(Grünland!$V14=$S$2,Grünland!$W14,0)</f>
        <v>0</v>
      </c>
      <c r="V13" s="851">
        <f>IF(Grünland!$X14=$S$2,Grünland!$Y14,0)</f>
        <v>0</v>
      </c>
      <c r="W13" s="851">
        <f>IF(Grünland!$Z14=$S$2,Grünland!$AA14,0)</f>
        <v>0</v>
      </c>
      <c r="X13" s="851">
        <f>IF(Grünland!$AB14=$S$2,Grünland!$AC14,0)</f>
        <v>0</v>
      </c>
      <c r="Y13" s="851">
        <f>IF(Grünland!$R14=$Y$2,Grünland!$S14,0)</f>
        <v>0</v>
      </c>
      <c r="Z13" s="851">
        <f>IF(Grünland!$T14=$Y$2,Grünland!$U14,0)</f>
        <v>0</v>
      </c>
      <c r="AA13" s="851">
        <f>IF(Grünland!$V14=$Y$2,Grünland!$W14,0)</f>
        <v>0</v>
      </c>
      <c r="AB13" s="851">
        <f>IF(Grünland!$X14=$Y$2,Grünland!$Y14,0)</f>
        <v>0</v>
      </c>
      <c r="AC13" s="851">
        <f>IF(Grünland!$Z14=$Y$2,Grünland!$AA14,0)</f>
        <v>0</v>
      </c>
      <c r="AD13" s="851">
        <f>IF(Grünland!$AB14=$Y$2,Grünland!$AC14,0)</f>
        <v>0</v>
      </c>
      <c r="AE13" s="851">
        <f>IF(Grünland!$R14=$AE$2,Grünland!$S14,0)</f>
        <v>0</v>
      </c>
      <c r="AF13" s="851">
        <f>IF(Grünland!$T14=$AE$2,Grünland!$U14,0)</f>
        <v>0</v>
      </c>
      <c r="AG13" s="851">
        <f>IF(Grünland!$V14=$AE$2,Grünland!$W14,0)</f>
        <v>0</v>
      </c>
      <c r="AH13" s="851">
        <f>IF(Grünland!$X14=$AE$2,Grünland!$Y14,0)</f>
        <v>0</v>
      </c>
      <c r="AI13" s="851">
        <f>IF(Grünland!$Z14=$AE$2,Grünland!$AA14,0)</f>
        <v>0</v>
      </c>
      <c r="AJ13" s="851">
        <f>IF(Grünland!$AB14=$AE$2,Grünland!$AC14,0)</f>
        <v>0</v>
      </c>
      <c r="AK13" s="851">
        <f>IF(Grünland!$R14=$AK$2,Grünland!$S14,0)</f>
        <v>0</v>
      </c>
      <c r="AL13" s="851">
        <f>IF(Grünland!$T14=$AK$2,Grünland!$U14,0)</f>
        <v>0</v>
      </c>
      <c r="AM13" s="851">
        <f>IF(Grünland!$V14=$AK$2,Grünland!$W14,0)</f>
        <v>0</v>
      </c>
      <c r="AN13" s="851">
        <f>IF(Grünland!$X14=$AK$2,Grünland!$Y14,0)</f>
        <v>0</v>
      </c>
      <c r="AO13" s="851">
        <f>IF(Grünland!$Z14=$AK$2,Grünland!$AA14,0)</f>
        <v>0</v>
      </c>
      <c r="AP13" s="851">
        <f>IF(Grünland!$AB14=$AK$2,Grünland!$AC14,0)</f>
        <v>0</v>
      </c>
      <c r="AQ13" s="851">
        <f>IF(Grünland!$R14=$AQ$2,Grünland!$S14,0)</f>
        <v>0</v>
      </c>
      <c r="AR13" s="851">
        <f>IF(Grünland!$T14=$AQ$2,Grünland!$U14,0)</f>
        <v>0</v>
      </c>
      <c r="AS13" s="851">
        <f>IF(Grünland!$V14=$AQ$2,Grünland!$W14,0)</f>
        <v>0</v>
      </c>
      <c r="AT13" s="851">
        <f>IF(Grünland!$X14=$AQ$2,Grünland!$Y14,0)</f>
        <v>0</v>
      </c>
      <c r="AU13" s="851">
        <f>IF(Grünland!$Z14=$AQ$2,Grünland!$AA14,0)</f>
        <v>0</v>
      </c>
      <c r="AV13" s="851">
        <f>IF(Grünland!$AB14=$AQ$2,Grünland!$AC14,0)</f>
        <v>0</v>
      </c>
      <c r="AW13" s="851">
        <f>IF(Grünland!$R14=$AW$2,Grünland!$S14,0)</f>
        <v>0</v>
      </c>
      <c r="AX13" s="851">
        <f>IF(Grünland!$T14=$AW$2,Grünland!$U14,0)</f>
        <v>0</v>
      </c>
      <c r="AY13" s="851">
        <f>IF(Grünland!$V14=$AW$2,Grünland!$W14,0)</f>
        <v>0</v>
      </c>
      <c r="AZ13" s="851">
        <f>IF(Grünland!$X14=$AW$2,Grünland!$Y14,0)</f>
        <v>0</v>
      </c>
      <c r="BA13" s="851">
        <f>IF(Grünland!$Z14=$AW$2,Grünland!$AA14,0)</f>
        <v>0</v>
      </c>
      <c r="BB13" s="851">
        <f>IF(Grünland!$AB14=$AW$2,Grünland!$AC14,0)</f>
        <v>0</v>
      </c>
      <c r="BC13" s="851">
        <f>IF(Grünland!$R14=$BC$2,Grünland!$S14,0)</f>
        <v>0</v>
      </c>
      <c r="BD13" s="851">
        <f>IF(Grünland!$T14=$BC$2,Grünland!$U14,0)</f>
        <v>0</v>
      </c>
      <c r="BE13" s="851">
        <f>IF(Grünland!$V14=$BC$2,Grünland!$W14,0)</f>
        <v>0</v>
      </c>
      <c r="BF13" s="851">
        <f>IF(Grünland!$X14=$BC$2,Grünland!$Y14,0)</f>
        <v>0</v>
      </c>
      <c r="BG13" s="851">
        <f>IF(Grünland!$Z14=$BC$2,Grünland!$AA14,0)</f>
        <v>0</v>
      </c>
      <c r="BH13" s="851">
        <f>IF(Grünland!$AB14=$BC$2,Grünland!$AC14,0)</f>
        <v>0</v>
      </c>
      <c r="BI13" s="851">
        <f>IF(Grünland!$R14=$BI$2,Grünland!$S14,0)</f>
        <v>0</v>
      </c>
      <c r="BJ13" s="851">
        <f>IF(Grünland!$T14=$BI$2,Grünland!$U14,0)</f>
        <v>0</v>
      </c>
      <c r="BK13" s="851">
        <f>IF(Grünland!$V14=$BI$2,Grünland!$W14,0)</f>
        <v>0</v>
      </c>
      <c r="BL13" s="851">
        <f>IF(Grünland!$X14=$BI$2,Grünland!$Y14,0)</f>
        <v>0</v>
      </c>
      <c r="BM13" s="851">
        <f>IF(Grünland!$Z14=$BI$2,Grünland!$AA14,0)</f>
        <v>0</v>
      </c>
      <c r="BN13" s="851">
        <f>IF(Grünland!$AB14=$BI$2,Grünland!$AC14,0)</f>
        <v>0</v>
      </c>
      <c r="BO13" s="851">
        <f>IF(Grünland!$R14=$BO$2,Grünland!$S14,0)</f>
        <v>0</v>
      </c>
      <c r="BP13" s="851">
        <f>IF(Grünland!$T14=$BO$2,Grünland!$U14,0)</f>
        <v>0</v>
      </c>
      <c r="BQ13" s="851">
        <f>IF(Grünland!$V14=$BO$2,Grünland!$W14,0)</f>
        <v>0</v>
      </c>
      <c r="BR13" s="851">
        <f>IF(Grünland!$X14=$BO$2,Grünland!$Y14,0)</f>
        <v>0</v>
      </c>
      <c r="BS13" s="851">
        <f>IF(Grünland!$Z14=$BO$2,Grünland!$AA14,0)</f>
        <v>0</v>
      </c>
      <c r="BT13" s="851">
        <f>IF(Grünland!$AB14=$BO$2,Grünland!$AC14,0)</f>
        <v>0</v>
      </c>
      <c r="BU13" s="851">
        <f>IF(Grünland!$R14=$BU$2,Grünland!$S14,0)</f>
        <v>0</v>
      </c>
      <c r="BV13" s="851">
        <f>IF(Grünland!$T14=$BU$2,Grünland!$U14,0)</f>
        <v>0</v>
      </c>
      <c r="BW13" s="851">
        <f>IF(Grünland!$V14=$BU$2,Grünland!$W14,0)</f>
        <v>0</v>
      </c>
      <c r="BX13" s="851">
        <f>IF(Grünland!$X14=$BU$2,Grünland!$Y14,0)</f>
        <v>0</v>
      </c>
      <c r="BY13" s="851">
        <f>IF(Grünland!$Z14=$BU$2,Grünland!$AA14,0)</f>
        <v>0</v>
      </c>
      <c r="BZ13" s="851">
        <f>IF(Grünland!$AB14=$BU$2,Grünland!$AC14,0)</f>
        <v>0</v>
      </c>
      <c r="CA13" s="14"/>
    </row>
    <row r="14" spans="1:79" ht="15">
      <c r="A14" s="929">
        <f>'meine Dünger'!C15</f>
        <v>0</v>
      </c>
      <c r="B14" s="930">
        <f>BS$36</f>
        <v>0</v>
      </c>
      <c r="C14" s="6" t="s">
        <v>968</v>
      </c>
      <c r="D14" s="6"/>
      <c r="E14" s="912" t="s">
        <v>937</v>
      </c>
      <c r="F14" s="934">
        <f>Grünland!D15</f>
        <v>0</v>
      </c>
      <c r="G14" s="933">
        <f>IF(Grünland!$R15=$G$2,Grünland!$S15,0)</f>
        <v>0</v>
      </c>
      <c r="H14" s="851">
        <f>IF(Grünland!$T15=$G$2,Grünland!$U15,0)</f>
        <v>0</v>
      </c>
      <c r="I14" s="851">
        <f>IF(Grünland!$V15=$G$2,Grünland!$W15,0)</f>
        <v>0</v>
      </c>
      <c r="J14" s="851">
        <f>IF(Grünland!$X15=$G$2,Grünland!$Y15,0)</f>
        <v>0</v>
      </c>
      <c r="K14" s="851">
        <f>IF(Grünland!$Z15=$G$2,Grünland!$AA15,0)</f>
        <v>0</v>
      </c>
      <c r="L14" s="851">
        <f>IF(Grünland!$AB15=$G$2,Grünland!$AC15,0)</f>
        <v>0</v>
      </c>
      <c r="M14" s="851">
        <f>IF(Grünland!$R15=$M$2,Grünland!$S15,0)</f>
        <v>0</v>
      </c>
      <c r="N14" s="851">
        <f>IF(Grünland!$T15=$M$2,Grünland!$U15,0)</f>
        <v>0</v>
      </c>
      <c r="O14" s="851">
        <f>IF(Grünland!$V15=$M$2,Grünland!$W15,0)</f>
        <v>0</v>
      </c>
      <c r="P14" s="851">
        <f>IF(Grünland!$X15=$M$2,Grünland!$Y15,0)</f>
        <v>0</v>
      </c>
      <c r="Q14" s="851">
        <f>IF(Grünland!$Z15=$M$2,Grünland!$AA15,0)</f>
        <v>0</v>
      </c>
      <c r="R14" s="851">
        <f>IF(Grünland!$AB15=$M$2,Grünland!$AC15,0)</f>
        <v>0</v>
      </c>
      <c r="S14" s="851">
        <f>IF(Grünland!$R15=$S$2,Grünland!$S15,0)</f>
        <v>0</v>
      </c>
      <c r="T14" s="851">
        <f>IF(Grünland!$T15=$S$2,Grünland!$U15,0)</f>
        <v>0</v>
      </c>
      <c r="U14" s="851">
        <f>IF(Grünland!$V15=$S$2,Grünland!$W15,0)</f>
        <v>0</v>
      </c>
      <c r="V14" s="851">
        <f>IF(Grünland!$X15=$S$2,Grünland!$Y15,0)</f>
        <v>0</v>
      </c>
      <c r="W14" s="851">
        <f>IF(Grünland!$Z15=$S$2,Grünland!$AA15,0)</f>
        <v>0</v>
      </c>
      <c r="X14" s="851">
        <f>IF(Grünland!$AB15=$S$2,Grünland!$AC15,0)</f>
        <v>0</v>
      </c>
      <c r="Y14" s="851">
        <f>IF(Grünland!$R15=$Y$2,Grünland!$S15,0)</f>
        <v>0</v>
      </c>
      <c r="Z14" s="851">
        <f>IF(Grünland!$T15=$Y$2,Grünland!$U15,0)</f>
        <v>0</v>
      </c>
      <c r="AA14" s="851">
        <f>IF(Grünland!$V15=$Y$2,Grünland!$W15,0)</f>
        <v>0</v>
      </c>
      <c r="AB14" s="851">
        <f>IF(Grünland!$X15=$Y$2,Grünland!$Y15,0)</f>
        <v>0</v>
      </c>
      <c r="AC14" s="851">
        <f>IF(Grünland!$Z15=$Y$2,Grünland!$AA15,0)</f>
        <v>0</v>
      </c>
      <c r="AD14" s="851">
        <f>IF(Grünland!$AB15=$Y$2,Grünland!$AC15,0)</f>
        <v>0</v>
      </c>
      <c r="AE14" s="851">
        <f>IF(Grünland!$R15=$AE$2,Grünland!$S15,0)</f>
        <v>0</v>
      </c>
      <c r="AF14" s="851">
        <f>IF(Grünland!$T15=$AE$2,Grünland!$U15,0)</f>
        <v>0</v>
      </c>
      <c r="AG14" s="851">
        <f>IF(Grünland!$V15=$AE$2,Grünland!$W15,0)</f>
        <v>0</v>
      </c>
      <c r="AH14" s="851">
        <f>IF(Grünland!$X15=$AE$2,Grünland!$Y15,0)</f>
        <v>0</v>
      </c>
      <c r="AI14" s="851">
        <f>IF(Grünland!$Z15=$AE$2,Grünland!$AA15,0)</f>
        <v>0</v>
      </c>
      <c r="AJ14" s="851">
        <f>IF(Grünland!$AB15=$AE$2,Grünland!$AC15,0)</f>
        <v>0</v>
      </c>
      <c r="AK14" s="851">
        <f>IF(Grünland!$R15=$AK$2,Grünland!$S15,0)</f>
        <v>0</v>
      </c>
      <c r="AL14" s="851">
        <f>IF(Grünland!$T15=$AK$2,Grünland!$U15,0)</f>
        <v>0</v>
      </c>
      <c r="AM14" s="851">
        <f>IF(Grünland!$V15=$AK$2,Grünland!$W15,0)</f>
        <v>0</v>
      </c>
      <c r="AN14" s="851">
        <f>IF(Grünland!$X15=$AK$2,Grünland!$Y15,0)</f>
        <v>0</v>
      </c>
      <c r="AO14" s="851">
        <f>IF(Grünland!$Z15=$AK$2,Grünland!$AA15,0)</f>
        <v>0</v>
      </c>
      <c r="AP14" s="851">
        <f>IF(Grünland!$AB15=$AK$2,Grünland!$AC15,0)</f>
        <v>0</v>
      </c>
      <c r="AQ14" s="851">
        <f>IF(Grünland!$R15=$AQ$2,Grünland!$S15,0)</f>
        <v>0</v>
      </c>
      <c r="AR14" s="851">
        <f>IF(Grünland!$T15=$AQ$2,Grünland!$U15,0)</f>
        <v>0</v>
      </c>
      <c r="AS14" s="851">
        <f>IF(Grünland!$V15=$AQ$2,Grünland!$W15,0)</f>
        <v>0</v>
      </c>
      <c r="AT14" s="851">
        <f>IF(Grünland!$X15=$AQ$2,Grünland!$Y15,0)</f>
        <v>0</v>
      </c>
      <c r="AU14" s="851">
        <f>IF(Grünland!$Z15=$AQ$2,Grünland!$AA15,0)</f>
        <v>0</v>
      </c>
      <c r="AV14" s="851">
        <f>IF(Grünland!$AB15=$AQ$2,Grünland!$AC15,0)</f>
        <v>0</v>
      </c>
      <c r="AW14" s="851">
        <f>IF(Grünland!$R15=$AW$2,Grünland!$S15,0)</f>
        <v>0</v>
      </c>
      <c r="AX14" s="851">
        <f>IF(Grünland!$T15=$AW$2,Grünland!$U15,0)</f>
        <v>0</v>
      </c>
      <c r="AY14" s="851">
        <f>IF(Grünland!$V15=$AW$2,Grünland!$W15,0)</f>
        <v>0</v>
      </c>
      <c r="AZ14" s="851">
        <f>IF(Grünland!$X15=$AW$2,Grünland!$Y15,0)</f>
        <v>0</v>
      </c>
      <c r="BA14" s="851">
        <f>IF(Grünland!$Z15=$AW$2,Grünland!$AA15,0)</f>
        <v>0</v>
      </c>
      <c r="BB14" s="851">
        <f>IF(Grünland!$AB15=$AW$2,Grünland!$AC15,0)</f>
        <v>0</v>
      </c>
      <c r="BC14" s="851">
        <f>IF(Grünland!$R15=$BC$2,Grünland!$S15,0)</f>
        <v>0</v>
      </c>
      <c r="BD14" s="851">
        <f>IF(Grünland!$T15=$BC$2,Grünland!$U15,0)</f>
        <v>0</v>
      </c>
      <c r="BE14" s="851">
        <f>IF(Grünland!$V15=$BC$2,Grünland!$W15,0)</f>
        <v>0</v>
      </c>
      <c r="BF14" s="851">
        <f>IF(Grünland!$X15=$BC$2,Grünland!$Y15,0)</f>
        <v>0</v>
      </c>
      <c r="BG14" s="851">
        <f>IF(Grünland!$Z15=$BC$2,Grünland!$AA15,0)</f>
        <v>0</v>
      </c>
      <c r="BH14" s="851">
        <f>IF(Grünland!$AB15=$BC$2,Grünland!$AC15,0)</f>
        <v>0</v>
      </c>
      <c r="BI14" s="851">
        <f>IF(Grünland!$R15=$BI$2,Grünland!$S15,0)</f>
        <v>0</v>
      </c>
      <c r="BJ14" s="851">
        <f>IF(Grünland!$T15=$BI$2,Grünland!$U15,0)</f>
        <v>0</v>
      </c>
      <c r="BK14" s="851">
        <f>IF(Grünland!$V15=$BI$2,Grünland!$W15,0)</f>
        <v>0</v>
      </c>
      <c r="BL14" s="851">
        <f>IF(Grünland!$X15=$BI$2,Grünland!$Y15,0)</f>
        <v>0</v>
      </c>
      <c r="BM14" s="851">
        <f>IF(Grünland!$Z15=$BI$2,Grünland!$AA15,0)</f>
        <v>0</v>
      </c>
      <c r="BN14" s="851">
        <f>IF(Grünland!$AB15=$BI$2,Grünland!$AC15,0)</f>
        <v>0</v>
      </c>
      <c r="BO14" s="851">
        <f>IF(Grünland!$R15=$BO$2,Grünland!$S15,0)</f>
        <v>0</v>
      </c>
      <c r="BP14" s="851">
        <f>IF(Grünland!$T15=$BO$2,Grünland!$U15,0)</f>
        <v>0</v>
      </c>
      <c r="BQ14" s="851">
        <f>IF(Grünland!$V15=$BO$2,Grünland!$W15,0)</f>
        <v>0</v>
      </c>
      <c r="BR14" s="851">
        <f>IF(Grünland!$X15=$BO$2,Grünland!$Y15,0)</f>
        <v>0</v>
      </c>
      <c r="BS14" s="851">
        <f>IF(Grünland!$Z15=$BO$2,Grünland!$AA15,0)</f>
        <v>0</v>
      </c>
      <c r="BT14" s="851">
        <f>IF(Grünland!$AB15=$BO$2,Grünland!$AC15,0)</f>
        <v>0</v>
      </c>
      <c r="BU14" s="851">
        <f>IF(Grünland!$R15=$BU$2,Grünland!$S15,0)</f>
        <v>0</v>
      </c>
      <c r="BV14" s="851">
        <f>IF(Grünland!$T15=$BU$2,Grünland!$U15,0)</f>
        <v>0</v>
      </c>
      <c r="BW14" s="851">
        <f>IF(Grünland!$V15=$BU$2,Grünland!$W15,0)</f>
        <v>0</v>
      </c>
      <c r="BX14" s="851">
        <f>IF(Grünland!$X15=$BU$2,Grünland!$Y15,0)</f>
        <v>0</v>
      </c>
      <c r="BY14" s="851">
        <f>IF(Grünland!$Z15=$BU$2,Grünland!$AA15,0)</f>
        <v>0</v>
      </c>
      <c r="BZ14" s="851">
        <f>IF(Grünland!$AB15=$BU$2,Grünland!$AC15,0)</f>
        <v>0</v>
      </c>
      <c r="CA14" s="14"/>
    </row>
    <row r="15" spans="1:79" ht="15">
      <c r="A15" s="929">
        <f>'meine Dünger'!C16</f>
        <v>0</v>
      </c>
      <c r="B15" s="930">
        <f>BY$36</f>
        <v>0</v>
      </c>
      <c r="C15" s="6" t="s">
        <v>969</v>
      </c>
      <c r="D15" s="6"/>
      <c r="E15" s="912" t="s">
        <v>938</v>
      </c>
      <c r="F15" s="934">
        <f>Grünland!D16</f>
        <v>0</v>
      </c>
      <c r="G15" s="933">
        <f>IF(Grünland!$R16=$G$2,Grünland!$S16,0)</f>
        <v>0</v>
      </c>
      <c r="H15" s="851">
        <f>IF(Grünland!$T16=$G$2,Grünland!$U16,0)</f>
        <v>0</v>
      </c>
      <c r="I15" s="851">
        <f>IF(Grünland!$V16=$G$2,Grünland!$W16,0)</f>
        <v>0</v>
      </c>
      <c r="J15" s="851">
        <f>IF(Grünland!$X16=$G$2,Grünland!$Y16,0)</f>
        <v>0</v>
      </c>
      <c r="K15" s="851">
        <f>IF(Grünland!$Z16=$G$2,Grünland!$AA16,0)</f>
        <v>0</v>
      </c>
      <c r="L15" s="851">
        <f>IF(Grünland!$AB16=$G$2,Grünland!$AC16,0)</f>
        <v>0</v>
      </c>
      <c r="M15" s="851">
        <f>IF(Grünland!$R16=$M$2,Grünland!$S16,0)</f>
        <v>0</v>
      </c>
      <c r="N15" s="851">
        <f>IF(Grünland!$T16=$M$2,Grünland!$U16,0)</f>
        <v>0</v>
      </c>
      <c r="O15" s="851">
        <f>IF(Grünland!$V16=$M$2,Grünland!$W16,0)</f>
        <v>0</v>
      </c>
      <c r="P15" s="851">
        <f>IF(Grünland!$X16=$M$2,Grünland!$Y16,0)</f>
        <v>0</v>
      </c>
      <c r="Q15" s="851">
        <f>IF(Grünland!$Z16=$M$2,Grünland!$AA16,0)</f>
        <v>0</v>
      </c>
      <c r="R15" s="851">
        <f>IF(Grünland!$AB16=$M$2,Grünland!$AC16,0)</f>
        <v>0</v>
      </c>
      <c r="S15" s="851">
        <f>IF(Grünland!$R16=$S$2,Grünland!$S16,0)</f>
        <v>0</v>
      </c>
      <c r="T15" s="851">
        <f>IF(Grünland!$T16=$S$2,Grünland!$U16,0)</f>
        <v>0</v>
      </c>
      <c r="U15" s="851">
        <f>IF(Grünland!$V16=$S$2,Grünland!$W16,0)</f>
        <v>0</v>
      </c>
      <c r="V15" s="851">
        <f>IF(Grünland!$X16=$S$2,Grünland!$Y16,0)</f>
        <v>0</v>
      </c>
      <c r="W15" s="851">
        <f>IF(Grünland!$Z16=$S$2,Grünland!$AA16,0)</f>
        <v>0</v>
      </c>
      <c r="X15" s="851">
        <f>IF(Grünland!$AB16=$S$2,Grünland!$AC16,0)</f>
        <v>0</v>
      </c>
      <c r="Y15" s="851">
        <f>IF(Grünland!$R16=$Y$2,Grünland!$S16,0)</f>
        <v>0</v>
      </c>
      <c r="Z15" s="851">
        <f>IF(Grünland!$T16=$Y$2,Grünland!$U16,0)</f>
        <v>0</v>
      </c>
      <c r="AA15" s="851">
        <f>IF(Grünland!$V16=$Y$2,Grünland!$W16,0)</f>
        <v>0</v>
      </c>
      <c r="AB15" s="851">
        <f>IF(Grünland!$X16=$Y$2,Grünland!$Y16,0)</f>
        <v>0</v>
      </c>
      <c r="AC15" s="851">
        <f>IF(Grünland!$Z16=$Y$2,Grünland!$AA16,0)</f>
        <v>0</v>
      </c>
      <c r="AD15" s="851">
        <f>IF(Grünland!$AB16=$Y$2,Grünland!$AC16,0)</f>
        <v>0</v>
      </c>
      <c r="AE15" s="851">
        <f>IF(Grünland!$R16=$AE$2,Grünland!$S16,0)</f>
        <v>0</v>
      </c>
      <c r="AF15" s="851">
        <f>IF(Grünland!$T16=$AE$2,Grünland!$U16,0)</f>
        <v>0</v>
      </c>
      <c r="AG15" s="851">
        <f>IF(Grünland!$V16=$AE$2,Grünland!$W16,0)</f>
        <v>0</v>
      </c>
      <c r="AH15" s="851">
        <f>IF(Grünland!$X16=$AE$2,Grünland!$Y16,0)</f>
        <v>0</v>
      </c>
      <c r="AI15" s="851">
        <f>IF(Grünland!$Z16=$AE$2,Grünland!$AA16,0)</f>
        <v>0</v>
      </c>
      <c r="AJ15" s="851">
        <f>IF(Grünland!$AB16=$AE$2,Grünland!$AC16,0)</f>
        <v>0</v>
      </c>
      <c r="AK15" s="851">
        <f>IF(Grünland!$R16=$AK$2,Grünland!$S16,0)</f>
        <v>0</v>
      </c>
      <c r="AL15" s="851">
        <f>IF(Grünland!$T16=$AK$2,Grünland!$U16,0)</f>
        <v>0</v>
      </c>
      <c r="AM15" s="851">
        <f>IF(Grünland!$V16=$AK$2,Grünland!$W16,0)</f>
        <v>0</v>
      </c>
      <c r="AN15" s="851">
        <f>IF(Grünland!$X16=$AK$2,Grünland!$Y16,0)</f>
        <v>0</v>
      </c>
      <c r="AO15" s="851">
        <f>IF(Grünland!$Z16=$AK$2,Grünland!$AA16,0)</f>
        <v>0</v>
      </c>
      <c r="AP15" s="851">
        <f>IF(Grünland!$AB16=$AK$2,Grünland!$AC16,0)</f>
        <v>0</v>
      </c>
      <c r="AQ15" s="851">
        <f>IF(Grünland!$R16=$AQ$2,Grünland!$S16,0)</f>
        <v>0</v>
      </c>
      <c r="AR15" s="851">
        <f>IF(Grünland!$T16=$AQ$2,Grünland!$U16,0)</f>
        <v>0</v>
      </c>
      <c r="AS15" s="851">
        <f>IF(Grünland!$V16=$AQ$2,Grünland!$W16,0)</f>
        <v>0</v>
      </c>
      <c r="AT15" s="851">
        <f>IF(Grünland!$X16=$AQ$2,Grünland!$Y16,0)</f>
        <v>0</v>
      </c>
      <c r="AU15" s="851">
        <f>IF(Grünland!$Z16=$AQ$2,Grünland!$AA16,0)</f>
        <v>0</v>
      </c>
      <c r="AV15" s="851">
        <f>IF(Grünland!$AB16=$AQ$2,Grünland!$AC16,0)</f>
        <v>0</v>
      </c>
      <c r="AW15" s="851">
        <f>IF(Grünland!$R16=$AW$2,Grünland!$S16,0)</f>
        <v>0</v>
      </c>
      <c r="AX15" s="851">
        <f>IF(Grünland!$T16=$AW$2,Grünland!$U16,0)</f>
        <v>0</v>
      </c>
      <c r="AY15" s="851">
        <f>IF(Grünland!$V16=$AW$2,Grünland!$W16,0)</f>
        <v>0</v>
      </c>
      <c r="AZ15" s="851">
        <f>IF(Grünland!$X16=$AW$2,Grünland!$Y16,0)</f>
        <v>0</v>
      </c>
      <c r="BA15" s="851">
        <f>IF(Grünland!$Z16=$AW$2,Grünland!$AA16,0)</f>
        <v>0</v>
      </c>
      <c r="BB15" s="851">
        <f>IF(Grünland!$AB16=$AW$2,Grünland!$AC16,0)</f>
        <v>0</v>
      </c>
      <c r="BC15" s="851">
        <f>IF(Grünland!$R16=$BC$2,Grünland!$S16,0)</f>
        <v>0</v>
      </c>
      <c r="BD15" s="851">
        <f>IF(Grünland!$T16=$BC$2,Grünland!$U16,0)</f>
        <v>0</v>
      </c>
      <c r="BE15" s="851">
        <f>IF(Grünland!$V16=$BC$2,Grünland!$W16,0)</f>
        <v>0</v>
      </c>
      <c r="BF15" s="851">
        <f>IF(Grünland!$X16=$BC$2,Grünland!$Y16,0)</f>
        <v>0</v>
      </c>
      <c r="BG15" s="851">
        <f>IF(Grünland!$Z16=$BC$2,Grünland!$AA16,0)</f>
        <v>0</v>
      </c>
      <c r="BH15" s="851">
        <f>IF(Grünland!$AB16=$BC$2,Grünland!$AC16,0)</f>
        <v>0</v>
      </c>
      <c r="BI15" s="851">
        <f>IF(Grünland!$R16=$BI$2,Grünland!$S16,0)</f>
        <v>0</v>
      </c>
      <c r="BJ15" s="851">
        <f>IF(Grünland!$T16=$BI$2,Grünland!$U16,0)</f>
        <v>0</v>
      </c>
      <c r="BK15" s="851">
        <f>IF(Grünland!$V16=$BI$2,Grünland!$W16,0)</f>
        <v>0</v>
      </c>
      <c r="BL15" s="851">
        <f>IF(Grünland!$X16=$BI$2,Grünland!$Y16,0)</f>
        <v>0</v>
      </c>
      <c r="BM15" s="851">
        <f>IF(Grünland!$Z16=$BI$2,Grünland!$AA16,0)</f>
        <v>0</v>
      </c>
      <c r="BN15" s="851">
        <f>IF(Grünland!$AB16=$BI$2,Grünland!$AC16,0)</f>
        <v>0</v>
      </c>
      <c r="BO15" s="851">
        <f>IF(Grünland!$R16=$BO$2,Grünland!$S16,0)</f>
        <v>0</v>
      </c>
      <c r="BP15" s="851">
        <f>IF(Grünland!$T16=$BO$2,Grünland!$U16,0)</f>
        <v>0</v>
      </c>
      <c r="BQ15" s="851">
        <f>IF(Grünland!$V16=$BO$2,Grünland!$W16,0)</f>
        <v>0</v>
      </c>
      <c r="BR15" s="851">
        <f>IF(Grünland!$X16=$BO$2,Grünland!$Y16,0)</f>
        <v>0</v>
      </c>
      <c r="BS15" s="851">
        <f>IF(Grünland!$Z16=$BO$2,Grünland!$AA16,0)</f>
        <v>0</v>
      </c>
      <c r="BT15" s="851">
        <f>IF(Grünland!$AB16=$BO$2,Grünland!$AC16,0)</f>
        <v>0</v>
      </c>
      <c r="BU15" s="851">
        <f>IF(Grünland!$R16=$BU$2,Grünland!$S16,0)</f>
        <v>0</v>
      </c>
      <c r="BV15" s="851">
        <f>IF(Grünland!$T16=$BU$2,Grünland!$U16,0)</f>
        <v>0</v>
      </c>
      <c r="BW15" s="851">
        <f>IF(Grünland!$V16=$BU$2,Grünland!$W16,0)</f>
        <v>0</v>
      </c>
      <c r="BX15" s="851">
        <f>IF(Grünland!$X16=$BU$2,Grünland!$Y16,0)</f>
        <v>0</v>
      </c>
      <c r="BY15" s="851">
        <f>IF(Grünland!$Z16=$BU$2,Grünland!$AA16,0)</f>
        <v>0</v>
      </c>
      <c r="BZ15" s="851">
        <f>IF(Grünland!$AB16=$BU$2,Grünland!$AC16,0)</f>
        <v>0</v>
      </c>
      <c r="CA15" s="14"/>
    </row>
    <row r="16" spans="1:79" ht="15">
      <c r="A16" s="1387"/>
      <c r="B16" s="1388"/>
      <c r="C16" s="6" t="s">
        <v>970</v>
      </c>
      <c r="D16" s="6"/>
      <c r="E16" s="912" t="s">
        <v>939</v>
      </c>
      <c r="F16" s="934">
        <f>Grünland!D17</f>
        <v>0</v>
      </c>
      <c r="G16" s="933">
        <f>IF(Grünland!$R17=$G$2,Grünland!$S17,0)</f>
        <v>0</v>
      </c>
      <c r="H16" s="851">
        <f>IF(Grünland!$T17=$G$2,Grünland!$U17,0)</f>
        <v>0</v>
      </c>
      <c r="I16" s="851">
        <f>IF(Grünland!$V17=$G$2,Grünland!$W17,0)</f>
        <v>0</v>
      </c>
      <c r="J16" s="851">
        <f>IF(Grünland!$X17=$G$2,Grünland!$Y17,0)</f>
        <v>0</v>
      </c>
      <c r="K16" s="851">
        <f>IF(Grünland!$Z17=$G$2,Grünland!$AA17,0)</f>
        <v>0</v>
      </c>
      <c r="L16" s="851">
        <f>IF(Grünland!$AB17=$G$2,Grünland!$AC17,0)</f>
        <v>0</v>
      </c>
      <c r="M16" s="851">
        <f>IF(Grünland!$R17=$M$2,Grünland!$S17,0)</f>
        <v>0</v>
      </c>
      <c r="N16" s="851">
        <f>IF(Grünland!$T17=$M$2,Grünland!$U17,0)</f>
        <v>0</v>
      </c>
      <c r="O16" s="851">
        <f>IF(Grünland!$V17=$M$2,Grünland!$W17,0)</f>
        <v>0</v>
      </c>
      <c r="P16" s="851">
        <f>IF(Grünland!$X17=$M$2,Grünland!$Y17,0)</f>
        <v>0</v>
      </c>
      <c r="Q16" s="851">
        <f>IF(Grünland!$Z17=$M$2,Grünland!$AA17,0)</f>
        <v>0</v>
      </c>
      <c r="R16" s="851">
        <f>IF(Grünland!$AB17=$M$2,Grünland!$AC17,0)</f>
        <v>0</v>
      </c>
      <c r="S16" s="851">
        <f>IF(Grünland!$R17=$S$2,Grünland!$S17,0)</f>
        <v>0</v>
      </c>
      <c r="T16" s="851">
        <f>IF(Grünland!$T17=$S$2,Grünland!$U17,0)</f>
        <v>0</v>
      </c>
      <c r="U16" s="851">
        <f>IF(Grünland!$V17=$S$2,Grünland!$W17,0)</f>
        <v>0</v>
      </c>
      <c r="V16" s="851">
        <f>IF(Grünland!$X17=$S$2,Grünland!$Y17,0)</f>
        <v>0</v>
      </c>
      <c r="W16" s="851">
        <f>IF(Grünland!$Z17=$S$2,Grünland!$AA17,0)</f>
        <v>0</v>
      </c>
      <c r="X16" s="851">
        <f>IF(Grünland!$AB17=$S$2,Grünland!$AC17,0)</f>
        <v>0</v>
      </c>
      <c r="Y16" s="851">
        <f>IF(Grünland!$R17=$Y$2,Grünland!$S17,0)</f>
        <v>0</v>
      </c>
      <c r="Z16" s="851">
        <f>IF(Grünland!$T17=$Y$2,Grünland!$U17,0)</f>
        <v>0</v>
      </c>
      <c r="AA16" s="851">
        <f>IF(Grünland!$V17=$Y$2,Grünland!$W17,0)</f>
        <v>0</v>
      </c>
      <c r="AB16" s="851">
        <f>IF(Grünland!$X17=$Y$2,Grünland!$Y17,0)</f>
        <v>0</v>
      </c>
      <c r="AC16" s="851">
        <f>IF(Grünland!$Z17=$Y$2,Grünland!$AA17,0)</f>
        <v>0</v>
      </c>
      <c r="AD16" s="851">
        <f>IF(Grünland!$AB17=$Y$2,Grünland!$AC17,0)</f>
        <v>0</v>
      </c>
      <c r="AE16" s="851">
        <f>IF(Grünland!$R17=$AE$2,Grünland!$S17,0)</f>
        <v>0</v>
      </c>
      <c r="AF16" s="851">
        <f>IF(Grünland!$T17=$AE$2,Grünland!$U17,0)</f>
        <v>0</v>
      </c>
      <c r="AG16" s="851">
        <f>IF(Grünland!$V17=$AE$2,Grünland!$W17,0)</f>
        <v>0</v>
      </c>
      <c r="AH16" s="851">
        <f>IF(Grünland!$X17=$AE$2,Grünland!$Y17,0)</f>
        <v>0</v>
      </c>
      <c r="AI16" s="851">
        <f>IF(Grünland!$Z17=$AE$2,Grünland!$AA17,0)</f>
        <v>0</v>
      </c>
      <c r="AJ16" s="851">
        <f>IF(Grünland!$AB17=$AE$2,Grünland!$AC17,0)</f>
        <v>0</v>
      </c>
      <c r="AK16" s="851">
        <f>IF(Grünland!$R17=$AK$2,Grünland!$S17,0)</f>
        <v>0</v>
      </c>
      <c r="AL16" s="851">
        <f>IF(Grünland!$T17=$AK$2,Grünland!$U17,0)</f>
        <v>0</v>
      </c>
      <c r="AM16" s="851">
        <f>IF(Grünland!$V17=$AK$2,Grünland!$W17,0)</f>
        <v>0</v>
      </c>
      <c r="AN16" s="851">
        <f>IF(Grünland!$X17=$AK$2,Grünland!$Y17,0)</f>
        <v>0</v>
      </c>
      <c r="AO16" s="851">
        <f>IF(Grünland!$Z17=$AK$2,Grünland!$AA17,0)</f>
        <v>0</v>
      </c>
      <c r="AP16" s="851">
        <f>IF(Grünland!$AB17=$AK$2,Grünland!$AC17,0)</f>
        <v>0</v>
      </c>
      <c r="AQ16" s="851">
        <f>IF(Grünland!$R17=$AQ$2,Grünland!$S17,0)</f>
        <v>0</v>
      </c>
      <c r="AR16" s="851">
        <f>IF(Grünland!$T17=$AQ$2,Grünland!$U17,0)</f>
        <v>0</v>
      </c>
      <c r="AS16" s="851">
        <f>IF(Grünland!$V17=$AQ$2,Grünland!$W17,0)</f>
        <v>0</v>
      </c>
      <c r="AT16" s="851">
        <f>IF(Grünland!$X17=$AQ$2,Grünland!$Y17,0)</f>
        <v>0</v>
      </c>
      <c r="AU16" s="851">
        <f>IF(Grünland!$Z17=$AQ$2,Grünland!$AA17,0)</f>
        <v>0</v>
      </c>
      <c r="AV16" s="851">
        <f>IF(Grünland!$AB17=$AQ$2,Grünland!$AC17,0)</f>
        <v>0</v>
      </c>
      <c r="AW16" s="851">
        <f>IF(Grünland!$R17=$AW$2,Grünland!$S17,0)</f>
        <v>0</v>
      </c>
      <c r="AX16" s="851">
        <f>IF(Grünland!$T17=$AW$2,Grünland!$U17,0)</f>
        <v>0</v>
      </c>
      <c r="AY16" s="851">
        <f>IF(Grünland!$V17=$AW$2,Grünland!$W17,0)</f>
        <v>0</v>
      </c>
      <c r="AZ16" s="851">
        <f>IF(Grünland!$X17=$AW$2,Grünland!$Y17,0)</f>
        <v>0</v>
      </c>
      <c r="BA16" s="851">
        <f>IF(Grünland!$Z17=$AW$2,Grünland!$AA17,0)</f>
        <v>0</v>
      </c>
      <c r="BB16" s="851">
        <f>IF(Grünland!$AB17=$AW$2,Grünland!$AC17,0)</f>
        <v>0</v>
      </c>
      <c r="BC16" s="851">
        <f>IF(Grünland!$R17=$BC$2,Grünland!$S17,0)</f>
        <v>0</v>
      </c>
      <c r="BD16" s="851">
        <f>IF(Grünland!$T17=$BC$2,Grünland!$U17,0)</f>
        <v>0</v>
      </c>
      <c r="BE16" s="851">
        <f>IF(Grünland!$V17=$BC$2,Grünland!$W17,0)</f>
        <v>0</v>
      </c>
      <c r="BF16" s="851">
        <f>IF(Grünland!$X17=$BC$2,Grünland!$Y17,0)</f>
        <v>0</v>
      </c>
      <c r="BG16" s="851">
        <f>IF(Grünland!$Z17=$BC$2,Grünland!$AA17,0)</f>
        <v>0</v>
      </c>
      <c r="BH16" s="851">
        <f>IF(Grünland!$AB17=$BC$2,Grünland!$AC17,0)</f>
        <v>0</v>
      </c>
      <c r="BI16" s="851">
        <f>IF(Grünland!$R17=$BI$2,Grünland!$S17,0)</f>
        <v>0</v>
      </c>
      <c r="BJ16" s="851">
        <f>IF(Grünland!$T17=$BI$2,Grünland!$U17,0)</f>
        <v>0</v>
      </c>
      <c r="BK16" s="851">
        <f>IF(Grünland!$V17=$BI$2,Grünland!$W17,0)</f>
        <v>0</v>
      </c>
      <c r="BL16" s="851">
        <f>IF(Grünland!$X17=$BI$2,Grünland!$Y17,0)</f>
        <v>0</v>
      </c>
      <c r="BM16" s="851">
        <f>IF(Grünland!$Z17=$BI$2,Grünland!$AA17,0)</f>
        <v>0</v>
      </c>
      <c r="BN16" s="851">
        <f>IF(Grünland!$AB17=$BI$2,Grünland!$AC17,0)</f>
        <v>0</v>
      </c>
      <c r="BO16" s="851">
        <f>IF(Grünland!$R17=$BO$2,Grünland!$S17,0)</f>
        <v>0</v>
      </c>
      <c r="BP16" s="851">
        <f>IF(Grünland!$T17=$BO$2,Grünland!$U17,0)</f>
        <v>0</v>
      </c>
      <c r="BQ16" s="851">
        <f>IF(Grünland!$V17=$BO$2,Grünland!$W17,0)</f>
        <v>0</v>
      </c>
      <c r="BR16" s="851">
        <f>IF(Grünland!$X17=$BO$2,Grünland!$Y17,0)</f>
        <v>0</v>
      </c>
      <c r="BS16" s="851">
        <f>IF(Grünland!$Z17=$BO$2,Grünland!$AA17,0)</f>
        <v>0</v>
      </c>
      <c r="BT16" s="851">
        <f>IF(Grünland!$AB17=$BO$2,Grünland!$AC17,0)</f>
        <v>0</v>
      </c>
      <c r="BU16" s="851">
        <f>IF(Grünland!$R17=$BU$2,Grünland!$S17,0)</f>
        <v>0</v>
      </c>
      <c r="BV16" s="851">
        <f>IF(Grünland!$T17=$BU$2,Grünland!$U17,0)</f>
        <v>0</v>
      </c>
      <c r="BW16" s="851">
        <f>IF(Grünland!$V17=$BU$2,Grünland!$W17,0)</f>
        <v>0</v>
      </c>
      <c r="BX16" s="851">
        <f>IF(Grünland!$X17=$BU$2,Grünland!$Y17,0)</f>
        <v>0</v>
      </c>
      <c r="BY16" s="851">
        <f>IF(Grünland!$Z17=$BU$2,Grünland!$AA17,0)</f>
        <v>0</v>
      </c>
      <c r="BZ16" s="851">
        <f>IF(Grünland!$AB17=$BU$2,Grünland!$AC17,0)</f>
        <v>0</v>
      </c>
      <c r="CA16" s="14"/>
    </row>
    <row r="17" spans="3:79" ht="15">
      <c r="C17" s="6"/>
      <c r="D17" s="6"/>
      <c r="E17" s="912" t="s">
        <v>940</v>
      </c>
      <c r="F17" s="934">
        <f>Grünland!D18</f>
        <v>0</v>
      </c>
      <c r="G17" s="933">
        <f>IF(Grünland!$R18=$G$2,Grünland!$S18,0)</f>
        <v>0</v>
      </c>
      <c r="H17" s="851">
        <f>IF(Grünland!$T18=$G$2,Grünland!$U18,0)</f>
        <v>0</v>
      </c>
      <c r="I17" s="851">
        <f>IF(Grünland!$V18=$G$2,Grünland!$W18,0)</f>
        <v>0</v>
      </c>
      <c r="J17" s="851">
        <f>IF(Grünland!$X18=$G$2,Grünland!$Y18,0)</f>
        <v>0</v>
      </c>
      <c r="K17" s="851">
        <f>IF(Grünland!$Z18=$G$2,Grünland!$AA18,0)</f>
        <v>0</v>
      </c>
      <c r="L17" s="851">
        <f>IF(Grünland!$AB18=$G$2,Grünland!$AC18,0)</f>
        <v>0</v>
      </c>
      <c r="M17" s="851">
        <f>IF(Grünland!$R18=$M$2,Grünland!$S18,0)</f>
        <v>0</v>
      </c>
      <c r="N17" s="851">
        <f>IF(Grünland!$T18=$M$2,Grünland!$U18,0)</f>
        <v>0</v>
      </c>
      <c r="O17" s="851">
        <f>IF(Grünland!$V18=$M$2,Grünland!$W18,0)</f>
        <v>0</v>
      </c>
      <c r="P17" s="851">
        <f>IF(Grünland!$X18=$M$2,Grünland!$Y18,0)</f>
        <v>0</v>
      </c>
      <c r="Q17" s="851">
        <f>IF(Grünland!$Z18=$M$2,Grünland!$AA18,0)</f>
        <v>0</v>
      </c>
      <c r="R17" s="851">
        <f>IF(Grünland!$AB18=$M$2,Grünland!$AC18,0)</f>
        <v>0</v>
      </c>
      <c r="S17" s="851">
        <f>IF(Grünland!$R18=$S$2,Grünland!$S18,0)</f>
        <v>0</v>
      </c>
      <c r="T17" s="851">
        <f>IF(Grünland!$T18=$S$2,Grünland!$U18,0)</f>
        <v>0</v>
      </c>
      <c r="U17" s="851">
        <f>IF(Grünland!$V18=$S$2,Grünland!$W18,0)</f>
        <v>0</v>
      </c>
      <c r="V17" s="851">
        <f>IF(Grünland!$X18=$S$2,Grünland!$Y18,0)</f>
        <v>0</v>
      </c>
      <c r="W17" s="851">
        <f>IF(Grünland!$Z18=$S$2,Grünland!$AA18,0)</f>
        <v>0</v>
      </c>
      <c r="X17" s="851">
        <f>IF(Grünland!$AB18=$S$2,Grünland!$AC18,0)</f>
        <v>0</v>
      </c>
      <c r="Y17" s="851">
        <f>IF(Grünland!$R18=$Y$2,Grünland!$S18,0)</f>
        <v>0</v>
      </c>
      <c r="Z17" s="851">
        <f>IF(Grünland!$T18=$Y$2,Grünland!$U18,0)</f>
        <v>0</v>
      </c>
      <c r="AA17" s="851">
        <f>IF(Grünland!$V18=$Y$2,Grünland!$W18,0)</f>
        <v>0</v>
      </c>
      <c r="AB17" s="851">
        <f>IF(Grünland!$X18=$Y$2,Grünland!$Y18,0)</f>
        <v>0</v>
      </c>
      <c r="AC17" s="851">
        <f>IF(Grünland!$Z18=$Y$2,Grünland!$AA18,0)</f>
        <v>0</v>
      </c>
      <c r="AD17" s="851">
        <f>IF(Grünland!$AB18=$Y$2,Grünland!$AC18,0)</f>
        <v>0</v>
      </c>
      <c r="AE17" s="851">
        <f>IF(Grünland!$R18=$AE$2,Grünland!$S18,0)</f>
        <v>0</v>
      </c>
      <c r="AF17" s="851">
        <f>IF(Grünland!$T18=$AE$2,Grünland!$U18,0)</f>
        <v>0</v>
      </c>
      <c r="AG17" s="851">
        <f>IF(Grünland!$V18=$AE$2,Grünland!$W18,0)</f>
        <v>0</v>
      </c>
      <c r="AH17" s="851">
        <f>IF(Grünland!$X18=$AE$2,Grünland!$Y18,0)</f>
        <v>0</v>
      </c>
      <c r="AI17" s="851">
        <f>IF(Grünland!$Z18=$AE$2,Grünland!$AA18,0)</f>
        <v>0</v>
      </c>
      <c r="AJ17" s="851">
        <f>IF(Grünland!$AB18=$AE$2,Grünland!$AC18,0)</f>
        <v>0</v>
      </c>
      <c r="AK17" s="851">
        <f>IF(Grünland!$R18=$AK$2,Grünland!$S18,0)</f>
        <v>0</v>
      </c>
      <c r="AL17" s="851">
        <f>IF(Grünland!$T18=$AK$2,Grünland!$U18,0)</f>
        <v>0</v>
      </c>
      <c r="AM17" s="851">
        <f>IF(Grünland!$V18=$AK$2,Grünland!$W18,0)</f>
        <v>0</v>
      </c>
      <c r="AN17" s="851">
        <f>IF(Grünland!$X18=$AK$2,Grünland!$Y18,0)</f>
        <v>0</v>
      </c>
      <c r="AO17" s="851">
        <f>IF(Grünland!$Z18=$AK$2,Grünland!$AA18,0)</f>
        <v>0</v>
      </c>
      <c r="AP17" s="851">
        <f>IF(Grünland!$AB18=$AK$2,Grünland!$AC18,0)</f>
        <v>0</v>
      </c>
      <c r="AQ17" s="851">
        <f>IF(Grünland!$R18=$AQ$2,Grünland!$S18,0)</f>
        <v>0</v>
      </c>
      <c r="AR17" s="851">
        <f>IF(Grünland!$T18=$AQ$2,Grünland!$U18,0)</f>
        <v>0</v>
      </c>
      <c r="AS17" s="851">
        <f>IF(Grünland!$V18=$AQ$2,Grünland!$W18,0)</f>
        <v>0</v>
      </c>
      <c r="AT17" s="851">
        <f>IF(Grünland!$X18=$AQ$2,Grünland!$Y18,0)</f>
        <v>0</v>
      </c>
      <c r="AU17" s="851">
        <f>IF(Grünland!$Z18=$AQ$2,Grünland!$AA18,0)</f>
        <v>0</v>
      </c>
      <c r="AV17" s="851">
        <f>IF(Grünland!$AB18=$AQ$2,Grünland!$AC18,0)</f>
        <v>0</v>
      </c>
      <c r="AW17" s="851">
        <f>IF(Grünland!$R18=$AW$2,Grünland!$S18,0)</f>
        <v>0</v>
      </c>
      <c r="AX17" s="851">
        <f>IF(Grünland!$T18=$AW$2,Grünland!$U18,0)</f>
        <v>0</v>
      </c>
      <c r="AY17" s="851">
        <f>IF(Grünland!$V18=$AW$2,Grünland!$W18,0)</f>
        <v>0</v>
      </c>
      <c r="AZ17" s="851">
        <f>IF(Grünland!$X18=$AW$2,Grünland!$Y18,0)</f>
        <v>0</v>
      </c>
      <c r="BA17" s="851">
        <f>IF(Grünland!$Z18=$AW$2,Grünland!$AA18,0)</f>
        <v>0</v>
      </c>
      <c r="BB17" s="851">
        <f>IF(Grünland!$AB18=$AW$2,Grünland!$AC18,0)</f>
        <v>0</v>
      </c>
      <c r="BC17" s="851">
        <f>IF(Grünland!$R18=$BC$2,Grünland!$S18,0)</f>
        <v>0</v>
      </c>
      <c r="BD17" s="851">
        <f>IF(Grünland!$T18=$BC$2,Grünland!$U18,0)</f>
        <v>0</v>
      </c>
      <c r="BE17" s="851">
        <f>IF(Grünland!$V18=$BC$2,Grünland!$W18,0)</f>
        <v>0</v>
      </c>
      <c r="BF17" s="851">
        <f>IF(Grünland!$X18=$BC$2,Grünland!$Y18,0)</f>
        <v>0</v>
      </c>
      <c r="BG17" s="851">
        <f>IF(Grünland!$Z18=$BC$2,Grünland!$AA18,0)</f>
        <v>0</v>
      </c>
      <c r="BH17" s="851">
        <f>IF(Grünland!$AB18=$BC$2,Grünland!$AC18,0)</f>
        <v>0</v>
      </c>
      <c r="BI17" s="851">
        <f>IF(Grünland!$R18=$BI$2,Grünland!$S18,0)</f>
        <v>0</v>
      </c>
      <c r="BJ17" s="851">
        <f>IF(Grünland!$T18=$BI$2,Grünland!$U18,0)</f>
        <v>0</v>
      </c>
      <c r="BK17" s="851">
        <f>IF(Grünland!$V18=$BI$2,Grünland!$W18,0)</f>
        <v>0</v>
      </c>
      <c r="BL17" s="851">
        <f>IF(Grünland!$X18=$BI$2,Grünland!$Y18,0)</f>
        <v>0</v>
      </c>
      <c r="BM17" s="851">
        <f>IF(Grünland!$Z18=$BI$2,Grünland!$AA18,0)</f>
        <v>0</v>
      </c>
      <c r="BN17" s="851">
        <f>IF(Grünland!$AB18=$BI$2,Grünland!$AC18,0)</f>
        <v>0</v>
      </c>
      <c r="BO17" s="851">
        <f>IF(Grünland!$R18=$BO$2,Grünland!$S18,0)</f>
        <v>0</v>
      </c>
      <c r="BP17" s="851">
        <f>IF(Grünland!$T18=$BO$2,Grünland!$U18,0)</f>
        <v>0</v>
      </c>
      <c r="BQ17" s="851">
        <f>IF(Grünland!$V18=$BO$2,Grünland!$W18,0)</f>
        <v>0</v>
      </c>
      <c r="BR17" s="851">
        <f>IF(Grünland!$X18=$BO$2,Grünland!$Y18,0)</f>
        <v>0</v>
      </c>
      <c r="BS17" s="851">
        <f>IF(Grünland!$Z18=$BO$2,Grünland!$AA18,0)</f>
        <v>0</v>
      </c>
      <c r="BT17" s="851">
        <f>IF(Grünland!$AB18=$BO$2,Grünland!$AC18,0)</f>
        <v>0</v>
      </c>
      <c r="BU17" s="851">
        <f>IF(Grünland!$R18=$BU$2,Grünland!$S18,0)</f>
        <v>0</v>
      </c>
      <c r="BV17" s="851">
        <f>IF(Grünland!$T18=$BU$2,Grünland!$U18,0)</f>
        <v>0</v>
      </c>
      <c r="BW17" s="851">
        <f>IF(Grünland!$V18=$BU$2,Grünland!$W18,0)</f>
        <v>0</v>
      </c>
      <c r="BX17" s="851">
        <f>IF(Grünland!$X18=$BU$2,Grünland!$Y18,0)</f>
        <v>0</v>
      </c>
      <c r="BY17" s="851">
        <f>IF(Grünland!$Z18=$BU$2,Grünland!$AA18,0)</f>
        <v>0</v>
      </c>
      <c r="BZ17" s="851">
        <f>IF(Grünland!$AB18=$BU$2,Grünland!$AC18,0)</f>
        <v>0</v>
      </c>
      <c r="CA17" s="14"/>
    </row>
    <row r="18" spans="3:79" ht="15">
      <c r="C18" s="6"/>
      <c r="D18" s="6"/>
      <c r="E18" s="912" t="s">
        <v>941</v>
      </c>
      <c r="F18" s="934">
        <f>Grünland!D19</f>
        <v>0</v>
      </c>
      <c r="G18" s="933">
        <f>IF(Grünland!$R19=$G$2,Grünland!$S19,0)</f>
        <v>0</v>
      </c>
      <c r="H18" s="851">
        <f>IF(Grünland!$T19=$G$2,Grünland!$U19,0)</f>
        <v>0</v>
      </c>
      <c r="I18" s="851">
        <f>IF(Grünland!$V19=$G$2,Grünland!$W19,0)</f>
        <v>0</v>
      </c>
      <c r="J18" s="851">
        <f>IF(Grünland!$X19=$G$2,Grünland!$Y19,0)</f>
        <v>0</v>
      </c>
      <c r="K18" s="851">
        <f>IF(Grünland!$Z19=$G$2,Grünland!$AA19,0)</f>
        <v>0</v>
      </c>
      <c r="L18" s="851">
        <f>IF(Grünland!$AB19=$G$2,Grünland!$AC19,0)</f>
        <v>0</v>
      </c>
      <c r="M18" s="851">
        <f>IF(Grünland!$R19=$M$2,Grünland!$S19,0)</f>
        <v>0</v>
      </c>
      <c r="N18" s="851">
        <f>IF(Grünland!$T19=$M$2,Grünland!$U19,0)</f>
        <v>0</v>
      </c>
      <c r="O18" s="851">
        <f>IF(Grünland!$V19=$M$2,Grünland!$W19,0)</f>
        <v>0</v>
      </c>
      <c r="P18" s="851">
        <f>IF(Grünland!$X19=$M$2,Grünland!$Y19,0)</f>
        <v>0</v>
      </c>
      <c r="Q18" s="851">
        <f>IF(Grünland!$Z19=$M$2,Grünland!$AA19,0)</f>
        <v>0</v>
      </c>
      <c r="R18" s="851">
        <f>IF(Grünland!$AB19=$M$2,Grünland!$AC19,0)</f>
        <v>0</v>
      </c>
      <c r="S18" s="851">
        <f>IF(Grünland!$R19=$S$2,Grünland!$S19,0)</f>
        <v>0</v>
      </c>
      <c r="T18" s="851">
        <f>IF(Grünland!$T19=$S$2,Grünland!$U19,0)</f>
        <v>0</v>
      </c>
      <c r="U18" s="851">
        <f>IF(Grünland!$V19=$S$2,Grünland!$W19,0)</f>
        <v>0</v>
      </c>
      <c r="V18" s="851">
        <f>IF(Grünland!$X19=$S$2,Grünland!$Y19,0)</f>
        <v>0</v>
      </c>
      <c r="W18" s="851">
        <f>IF(Grünland!$Z19=$S$2,Grünland!$AA19,0)</f>
        <v>0</v>
      </c>
      <c r="X18" s="851">
        <f>IF(Grünland!$AB19=$S$2,Grünland!$AC19,0)</f>
        <v>0</v>
      </c>
      <c r="Y18" s="851">
        <f>IF(Grünland!$R19=$Y$2,Grünland!$S19,0)</f>
        <v>0</v>
      </c>
      <c r="Z18" s="851">
        <f>IF(Grünland!$T19=$Y$2,Grünland!$U19,0)</f>
        <v>0</v>
      </c>
      <c r="AA18" s="851">
        <f>IF(Grünland!$V19=$Y$2,Grünland!$W19,0)</f>
        <v>0</v>
      </c>
      <c r="AB18" s="851">
        <f>IF(Grünland!$X19=$Y$2,Grünland!$Y19,0)</f>
        <v>0</v>
      </c>
      <c r="AC18" s="851">
        <f>IF(Grünland!$Z19=$Y$2,Grünland!$AA19,0)</f>
        <v>0</v>
      </c>
      <c r="AD18" s="851">
        <f>IF(Grünland!$AB19=$Y$2,Grünland!$AC19,0)</f>
        <v>0</v>
      </c>
      <c r="AE18" s="851">
        <f>IF(Grünland!$R19=$AE$2,Grünland!$S19,0)</f>
        <v>0</v>
      </c>
      <c r="AF18" s="851">
        <f>IF(Grünland!$T19=$AE$2,Grünland!$U19,0)</f>
        <v>0</v>
      </c>
      <c r="AG18" s="851">
        <f>IF(Grünland!$V19=$AE$2,Grünland!$W19,0)</f>
        <v>0</v>
      </c>
      <c r="AH18" s="851">
        <f>IF(Grünland!$X19=$AE$2,Grünland!$Y19,0)</f>
        <v>0</v>
      </c>
      <c r="AI18" s="851">
        <f>IF(Grünland!$Z19=$AE$2,Grünland!$AA19,0)</f>
        <v>0</v>
      </c>
      <c r="AJ18" s="851">
        <f>IF(Grünland!$AB19=$AE$2,Grünland!$AC19,0)</f>
        <v>0</v>
      </c>
      <c r="AK18" s="851">
        <f>IF(Grünland!$R19=$AK$2,Grünland!$S19,0)</f>
        <v>0</v>
      </c>
      <c r="AL18" s="851">
        <f>IF(Grünland!$T19=$AK$2,Grünland!$U19,0)</f>
        <v>0</v>
      </c>
      <c r="AM18" s="851">
        <f>IF(Grünland!$V19=$AK$2,Grünland!$W19,0)</f>
        <v>0</v>
      </c>
      <c r="AN18" s="851">
        <f>IF(Grünland!$X19=$AK$2,Grünland!$Y19,0)</f>
        <v>0</v>
      </c>
      <c r="AO18" s="851">
        <f>IF(Grünland!$Z19=$AK$2,Grünland!$AA19,0)</f>
        <v>0</v>
      </c>
      <c r="AP18" s="851">
        <f>IF(Grünland!$AB19=$AK$2,Grünland!$AC19,0)</f>
        <v>0</v>
      </c>
      <c r="AQ18" s="851">
        <f>IF(Grünland!$R19=$AQ$2,Grünland!$S19,0)</f>
        <v>0</v>
      </c>
      <c r="AR18" s="851">
        <f>IF(Grünland!$T19=$AQ$2,Grünland!$U19,0)</f>
        <v>0</v>
      </c>
      <c r="AS18" s="851">
        <f>IF(Grünland!$V19=$AQ$2,Grünland!$W19,0)</f>
        <v>0</v>
      </c>
      <c r="AT18" s="851">
        <f>IF(Grünland!$X19=$AQ$2,Grünland!$Y19,0)</f>
        <v>0</v>
      </c>
      <c r="AU18" s="851">
        <f>IF(Grünland!$Z19=$AQ$2,Grünland!$AA19,0)</f>
        <v>0</v>
      </c>
      <c r="AV18" s="851">
        <f>IF(Grünland!$AB19=$AQ$2,Grünland!$AC19,0)</f>
        <v>0</v>
      </c>
      <c r="AW18" s="851">
        <f>IF(Grünland!$R19=$AW$2,Grünland!$S19,0)</f>
        <v>0</v>
      </c>
      <c r="AX18" s="851">
        <f>IF(Grünland!$T19=$AW$2,Grünland!$U19,0)</f>
        <v>0</v>
      </c>
      <c r="AY18" s="851">
        <f>IF(Grünland!$V19=$AW$2,Grünland!$W19,0)</f>
        <v>0</v>
      </c>
      <c r="AZ18" s="851">
        <f>IF(Grünland!$X19=$AW$2,Grünland!$Y19,0)</f>
        <v>0</v>
      </c>
      <c r="BA18" s="851">
        <f>IF(Grünland!$Z19=$AW$2,Grünland!$AA19,0)</f>
        <v>0</v>
      </c>
      <c r="BB18" s="851">
        <f>IF(Grünland!$AB19=$AW$2,Grünland!$AC19,0)</f>
        <v>0</v>
      </c>
      <c r="BC18" s="851">
        <f>IF(Grünland!$R19=$BC$2,Grünland!$S19,0)</f>
        <v>0</v>
      </c>
      <c r="BD18" s="851">
        <f>IF(Grünland!$T19=$BC$2,Grünland!$U19,0)</f>
        <v>0</v>
      </c>
      <c r="BE18" s="851">
        <f>IF(Grünland!$V19=$BC$2,Grünland!$W19,0)</f>
        <v>0</v>
      </c>
      <c r="BF18" s="851">
        <f>IF(Grünland!$X19=$BC$2,Grünland!$Y19,0)</f>
        <v>0</v>
      </c>
      <c r="BG18" s="851">
        <f>IF(Grünland!$Z19=$BC$2,Grünland!$AA19,0)</f>
        <v>0</v>
      </c>
      <c r="BH18" s="851">
        <f>IF(Grünland!$AB19=$BC$2,Grünland!$AC19,0)</f>
        <v>0</v>
      </c>
      <c r="BI18" s="851">
        <f>IF(Grünland!$R19=$BI$2,Grünland!$S19,0)</f>
        <v>0</v>
      </c>
      <c r="BJ18" s="851">
        <f>IF(Grünland!$T19=$BI$2,Grünland!$U19,0)</f>
        <v>0</v>
      </c>
      <c r="BK18" s="851">
        <f>IF(Grünland!$V19=$BI$2,Grünland!$W19,0)</f>
        <v>0</v>
      </c>
      <c r="BL18" s="851">
        <f>IF(Grünland!$X19=$BI$2,Grünland!$Y19,0)</f>
        <v>0</v>
      </c>
      <c r="BM18" s="851">
        <f>IF(Grünland!$Z19=$BI$2,Grünland!$AA19,0)</f>
        <v>0</v>
      </c>
      <c r="BN18" s="851">
        <f>IF(Grünland!$AB19=$BI$2,Grünland!$AC19,0)</f>
        <v>0</v>
      </c>
      <c r="BO18" s="851">
        <f>IF(Grünland!$R19=$BO$2,Grünland!$S19,0)</f>
        <v>0</v>
      </c>
      <c r="BP18" s="851">
        <f>IF(Grünland!$T19=$BO$2,Grünland!$U19,0)</f>
        <v>0</v>
      </c>
      <c r="BQ18" s="851">
        <f>IF(Grünland!$V19=$BO$2,Grünland!$W19,0)</f>
        <v>0</v>
      </c>
      <c r="BR18" s="851">
        <f>IF(Grünland!$X19=$BO$2,Grünland!$Y19,0)</f>
        <v>0</v>
      </c>
      <c r="BS18" s="851">
        <f>IF(Grünland!$Z19=$BO$2,Grünland!$AA19,0)</f>
        <v>0</v>
      </c>
      <c r="BT18" s="851">
        <f>IF(Grünland!$AB19=$BO$2,Grünland!$AC19,0)</f>
        <v>0</v>
      </c>
      <c r="BU18" s="851">
        <f>IF(Grünland!$R19=$BU$2,Grünland!$S19,0)</f>
        <v>0</v>
      </c>
      <c r="BV18" s="851">
        <f>IF(Grünland!$T19=$BU$2,Grünland!$U19,0)</f>
        <v>0</v>
      </c>
      <c r="BW18" s="851">
        <f>IF(Grünland!$V19=$BU$2,Grünland!$W19,0)</f>
        <v>0</v>
      </c>
      <c r="BX18" s="851">
        <f>IF(Grünland!$X19=$BU$2,Grünland!$Y19,0)</f>
        <v>0</v>
      </c>
      <c r="BY18" s="851">
        <f>IF(Grünland!$Z19=$BU$2,Grünland!$AA19,0)</f>
        <v>0</v>
      </c>
      <c r="BZ18" s="851">
        <f>IF(Grünland!$AB19=$BU$2,Grünland!$AC19,0)</f>
        <v>0</v>
      </c>
      <c r="CA18" s="14"/>
    </row>
    <row r="19" spans="3:79" ht="15">
      <c r="C19" s="6"/>
      <c r="D19" s="6"/>
      <c r="E19" s="912" t="s">
        <v>942</v>
      </c>
      <c r="F19" s="934">
        <f>Grünland!D20</f>
        <v>0</v>
      </c>
      <c r="G19" s="933">
        <f>IF(Grünland!$R20=$G$2,Grünland!$S20,0)</f>
        <v>0</v>
      </c>
      <c r="H19" s="851">
        <f>IF(Grünland!$T20=$G$2,Grünland!$U20,0)</f>
        <v>0</v>
      </c>
      <c r="I19" s="851">
        <f>IF(Grünland!$V20=$G$2,Grünland!$W20,0)</f>
        <v>0</v>
      </c>
      <c r="J19" s="851">
        <f>IF(Grünland!$X20=$G$2,Grünland!$Y20,0)</f>
        <v>0</v>
      </c>
      <c r="K19" s="851">
        <f>IF(Grünland!$Z20=$G$2,Grünland!$AA20,0)</f>
        <v>0</v>
      </c>
      <c r="L19" s="851">
        <f>IF(Grünland!$AB20=$G$2,Grünland!$AC20,0)</f>
        <v>0</v>
      </c>
      <c r="M19" s="851">
        <f>IF(Grünland!$R20=$M$2,Grünland!$S20,0)</f>
        <v>0</v>
      </c>
      <c r="N19" s="851">
        <f>IF(Grünland!$T20=$M$2,Grünland!$U20,0)</f>
        <v>0</v>
      </c>
      <c r="O19" s="851">
        <f>IF(Grünland!$V20=$M$2,Grünland!$W20,0)</f>
        <v>0</v>
      </c>
      <c r="P19" s="851">
        <f>IF(Grünland!$X20=$M$2,Grünland!$Y20,0)</f>
        <v>0</v>
      </c>
      <c r="Q19" s="851">
        <f>IF(Grünland!$Z20=$M$2,Grünland!$AA20,0)</f>
        <v>0</v>
      </c>
      <c r="R19" s="851">
        <f>IF(Grünland!$AB20=$M$2,Grünland!$AC20,0)</f>
        <v>0</v>
      </c>
      <c r="S19" s="851">
        <f>IF(Grünland!$R20=$S$2,Grünland!$S20,0)</f>
        <v>0</v>
      </c>
      <c r="T19" s="851">
        <f>IF(Grünland!$T20=$S$2,Grünland!$U20,0)</f>
        <v>0</v>
      </c>
      <c r="U19" s="851">
        <f>IF(Grünland!$V20=$S$2,Grünland!$W20,0)</f>
        <v>0</v>
      </c>
      <c r="V19" s="851">
        <f>IF(Grünland!$X20=$S$2,Grünland!$Y20,0)</f>
        <v>0</v>
      </c>
      <c r="W19" s="851">
        <f>IF(Grünland!$Z20=$S$2,Grünland!$AA20,0)</f>
        <v>0</v>
      </c>
      <c r="X19" s="851">
        <f>IF(Grünland!$AB20=$S$2,Grünland!$AC20,0)</f>
        <v>0</v>
      </c>
      <c r="Y19" s="851">
        <f>IF(Grünland!$R20=$Y$2,Grünland!$S20,0)</f>
        <v>0</v>
      </c>
      <c r="Z19" s="851">
        <f>IF(Grünland!$T20=$Y$2,Grünland!$U20,0)</f>
        <v>0</v>
      </c>
      <c r="AA19" s="851">
        <f>IF(Grünland!$V20=$Y$2,Grünland!$W20,0)</f>
        <v>0</v>
      </c>
      <c r="AB19" s="851">
        <f>IF(Grünland!$X20=$Y$2,Grünland!$Y20,0)</f>
        <v>0</v>
      </c>
      <c r="AC19" s="851">
        <f>IF(Grünland!$Z20=$Y$2,Grünland!$AA20,0)</f>
        <v>0</v>
      </c>
      <c r="AD19" s="851">
        <f>IF(Grünland!$AB20=$Y$2,Grünland!$AC20,0)</f>
        <v>0</v>
      </c>
      <c r="AE19" s="851">
        <f>IF(Grünland!$R20=$AE$2,Grünland!$S20,0)</f>
        <v>0</v>
      </c>
      <c r="AF19" s="851">
        <f>IF(Grünland!$T20=$AE$2,Grünland!$U20,0)</f>
        <v>0</v>
      </c>
      <c r="AG19" s="851">
        <f>IF(Grünland!$V20=$AE$2,Grünland!$W20,0)</f>
        <v>0</v>
      </c>
      <c r="AH19" s="851">
        <f>IF(Grünland!$X20=$AE$2,Grünland!$Y20,0)</f>
        <v>0</v>
      </c>
      <c r="AI19" s="851">
        <f>IF(Grünland!$Z20=$AE$2,Grünland!$AA20,0)</f>
        <v>0</v>
      </c>
      <c r="AJ19" s="851">
        <f>IF(Grünland!$AB20=$AE$2,Grünland!$AC20,0)</f>
        <v>0</v>
      </c>
      <c r="AK19" s="851">
        <f>IF(Grünland!$R20=$AK$2,Grünland!$S20,0)</f>
        <v>0</v>
      </c>
      <c r="AL19" s="851">
        <f>IF(Grünland!$T20=$AK$2,Grünland!$U20,0)</f>
        <v>0</v>
      </c>
      <c r="AM19" s="851">
        <f>IF(Grünland!$V20=$AK$2,Grünland!$W20,0)</f>
        <v>0</v>
      </c>
      <c r="AN19" s="851">
        <f>IF(Grünland!$X20=$AK$2,Grünland!$Y20,0)</f>
        <v>0</v>
      </c>
      <c r="AO19" s="851">
        <f>IF(Grünland!$Z20=$AK$2,Grünland!$AA20,0)</f>
        <v>0</v>
      </c>
      <c r="AP19" s="851">
        <f>IF(Grünland!$AB20=$AK$2,Grünland!$AC20,0)</f>
        <v>0</v>
      </c>
      <c r="AQ19" s="851">
        <f>IF(Grünland!$R20=$AQ$2,Grünland!$S20,0)</f>
        <v>0</v>
      </c>
      <c r="AR19" s="851">
        <f>IF(Grünland!$T20=$AQ$2,Grünland!$U20,0)</f>
        <v>0</v>
      </c>
      <c r="AS19" s="851">
        <f>IF(Grünland!$V20=$AQ$2,Grünland!$W20,0)</f>
        <v>0</v>
      </c>
      <c r="AT19" s="851">
        <f>IF(Grünland!$X20=$AQ$2,Grünland!$Y20,0)</f>
        <v>0</v>
      </c>
      <c r="AU19" s="851">
        <f>IF(Grünland!$Z20=$AQ$2,Grünland!$AA20,0)</f>
        <v>0</v>
      </c>
      <c r="AV19" s="851">
        <f>IF(Grünland!$AB20=$AQ$2,Grünland!$AC20,0)</f>
        <v>0</v>
      </c>
      <c r="AW19" s="851">
        <f>IF(Grünland!$R20=$AW$2,Grünland!$S20,0)</f>
        <v>0</v>
      </c>
      <c r="AX19" s="851">
        <f>IF(Grünland!$T20=$AW$2,Grünland!$U20,0)</f>
        <v>0</v>
      </c>
      <c r="AY19" s="851">
        <f>IF(Grünland!$V20=$AW$2,Grünland!$W20,0)</f>
        <v>0</v>
      </c>
      <c r="AZ19" s="851">
        <f>IF(Grünland!$X20=$AW$2,Grünland!$Y20,0)</f>
        <v>0</v>
      </c>
      <c r="BA19" s="851">
        <f>IF(Grünland!$Z20=$AW$2,Grünland!$AA20,0)</f>
        <v>0</v>
      </c>
      <c r="BB19" s="851">
        <f>IF(Grünland!$AB20=$AW$2,Grünland!$AC20,0)</f>
        <v>0</v>
      </c>
      <c r="BC19" s="851">
        <f>IF(Grünland!$R20=$BC$2,Grünland!$S20,0)</f>
        <v>0</v>
      </c>
      <c r="BD19" s="851">
        <f>IF(Grünland!$T20=$BC$2,Grünland!$U20,0)</f>
        <v>0</v>
      </c>
      <c r="BE19" s="851">
        <f>IF(Grünland!$V20=$BC$2,Grünland!$W20,0)</f>
        <v>0</v>
      </c>
      <c r="BF19" s="851">
        <f>IF(Grünland!$X20=$BC$2,Grünland!$Y20,0)</f>
        <v>0</v>
      </c>
      <c r="BG19" s="851">
        <f>IF(Grünland!$Z20=$BC$2,Grünland!$AA20,0)</f>
        <v>0</v>
      </c>
      <c r="BH19" s="851">
        <f>IF(Grünland!$AB20=$BC$2,Grünland!$AC20,0)</f>
        <v>0</v>
      </c>
      <c r="BI19" s="851">
        <f>IF(Grünland!$R20=$BI$2,Grünland!$S20,0)</f>
        <v>0</v>
      </c>
      <c r="BJ19" s="851">
        <f>IF(Grünland!$T20=$BI$2,Grünland!$U20,0)</f>
        <v>0</v>
      </c>
      <c r="BK19" s="851">
        <f>IF(Grünland!$V20=$BI$2,Grünland!$W20,0)</f>
        <v>0</v>
      </c>
      <c r="BL19" s="851">
        <f>IF(Grünland!$X20=$BI$2,Grünland!$Y20,0)</f>
        <v>0</v>
      </c>
      <c r="BM19" s="851">
        <f>IF(Grünland!$Z20=$BI$2,Grünland!$AA20,0)</f>
        <v>0</v>
      </c>
      <c r="BN19" s="851">
        <f>IF(Grünland!$AB20=$BI$2,Grünland!$AC20,0)</f>
        <v>0</v>
      </c>
      <c r="BO19" s="851">
        <f>IF(Grünland!$R20=$BO$2,Grünland!$S20,0)</f>
        <v>0</v>
      </c>
      <c r="BP19" s="851">
        <f>IF(Grünland!$T20=$BO$2,Grünland!$U20,0)</f>
        <v>0</v>
      </c>
      <c r="BQ19" s="851">
        <f>IF(Grünland!$V20=$BO$2,Grünland!$W20,0)</f>
        <v>0</v>
      </c>
      <c r="BR19" s="851">
        <f>IF(Grünland!$X20=$BO$2,Grünland!$Y20,0)</f>
        <v>0</v>
      </c>
      <c r="BS19" s="851">
        <f>IF(Grünland!$Z20=$BO$2,Grünland!$AA20,0)</f>
        <v>0</v>
      </c>
      <c r="BT19" s="851">
        <f>IF(Grünland!$AB20=$BO$2,Grünland!$AC20,0)</f>
        <v>0</v>
      </c>
      <c r="BU19" s="851">
        <f>IF(Grünland!$R20=$BU$2,Grünland!$S20,0)</f>
        <v>0</v>
      </c>
      <c r="BV19" s="851">
        <f>IF(Grünland!$T20=$BU$2,Grünland!$U20,0)</f>
        <v>0</v>
      </c>
      <c r="BW19" s="851">
        <f>IF(Grünland!$V20=$BU$2,Grünland!$W20,0)</f>
        <v>0</v>
      </c>
      <c r="BX19" s="851">
        <f>IF(Grünland!$X20=$BU$2,Grünland!$Y20,0)</f>
        <v>0</v>
      </c>
      <c r="BY19" s="851">
        <f>IF(Grünland!$Z20=$BU$2,Grünland!$AA20,0)</f>
        <v>0</v>
      </c>
      <c r="BZ19" s="851">
        <f>IF(Grünland!$AB20=$BU$2,Grünland!$AC20,0)</f>
        <v>0</v>
      </c>
      <c r="CA19" s="14"/>
    </row>
    <row r="20" spans="3:79" ht="15">
      <c r="C20" s="6"/>
      <c r="D20" s="6"/>
      <c r="E20" s="912" t="s">
        <v>943</v>
      </c>
      <c r="F20" s="934">
        <f>Grünland!D21</f>
        <v>0</v>
      </c>
      <c r="G20" s="933">
        <f>IF(Grünland!$R21=$G$2,Grünland!$S21,0)</f>
        <v>0</v>
      </c>
      <c r="H20" s="851">
        <f>IF(Grünland!$T21=$G$2,Grünland!$U21,0)</f>
        <v>0</v>
      </c>
      <c r="I20" s="851">
        <f>IF(Grünland!$V21=$G$2,Grünland!$W21,0)</f>
        <v>0</v>
      </c>
      <c r="J20" s="851">
        <f>IF(Grünland!$X21=$G$2,Grünland!$Y21,0)</f>
        <v>0</v>
      </c>
      <c r="K20" s="851">
        <f>IF(Grünland!$Z21=$G$2,Grünland!$AA21,0)</f>
        <v>0</v>
      </c>
      <c r="L20" s="851">
        <f>IF(Grünland!$AB21=$G$2,Grünland!$AC21,0)</f>
        <v>0</v>
      </c>
      <c r="M20" s="851">
        <f>IF(Grünland!$R21=$M$2,Grünland!$S21,0)</f>
        <v>0</v>
      </c>
      <c r="N20" s="851">
        <f>IF(Grünland!$T21=$M$2,Grünland!$U21,0)</f>
        <v>0</v>
      </c>
      <c r="O20" s="851">
        <f>IF(Grünland!$V21=$M$2,Grünland!$W21,0)</f>
        <v>0</v>
      </c>
      <c r="P20" s="851">
        <f>IF(Grünland!$X21=$M$2,Grünland!$Y21,0)</f>
        <v>0</v>
      </c>
      <c r="Q20" s="851">
        <f>IF(Grünland!$Z21=$M$2,Grünland!$AA21,0)</f>
        <v>0</v>
      </c>
      <c r="R20" s="851">
        <f>IF(Grünland!$AB21=$M$2,Grünland!$AC21,0)</f>
        <v>0</v>
      </c>
      <c r="S20" s="851">
        <f>IF(Grünland!$R21=$S$2,Grünland!$S21,0)</f>
        <v>0</v>
      </c>
      <c r="T20" s="851">
        <f>IF(Grünland!$T21=$S$2,Grünland!$U21,0)</f>
        <v>0</v>
      </c>
      <c r="U20" s="851">
        <f>IF(Grünland!$V21=$S$2,Grünland!$W21,0)</f>
        <v>0</v>
      </c>
      <c r="V20" s="851">
        <f>IF(Grünland!$X21=$S$2,Grünland!$Y21,0)</f>
        <v>0</v>
      </c>
      <c r="W20" s="851">
        <f>IF(Grünland!$Z21=$S$2,Grünland!$AA21,0)</f>
        <v>0</v>
      </c>
      <c r="X20" s="851">
        <f>IF(Grünland!$AB21=$S$2,Grünland!$AC21,0)</f>
        <v>0</v>
      </c>
      <c r="Y20" s="851">
        <f>IF(Grünland!$R21=$Y$2,Grünland!$S21,0)</f>
        <v>0</v>
      </c>
      <c r="Z20" s="851">
        <f>IF(Grünland!$T21=$Y$2,Grünland!$U21,0)</f>
        <v>0</v>
      </c>
      <c r="AA20" s="851">
        <f>IF(Grünland!$V21=$Y$2,Grünland!$W21,0)</f>
        <v>0</v>
      </c>
      <c r="AB20" s="851">
        <f>IF(Grünland!$X21=$Y$2,Grünland!$Y21,0)</f>
        <v>0</v>
      </c>
      <c r="AC20" s="851">
        <f>IF(Grünland!$Z21=$Y$2,Grünland!$AA21,0)</f>
        <v>0</v>
      </c>
      <c r="AD20" s="851">
        <f>IF(Grünland!$AB21=$Y$2,Grünland!$AC21,0)</f>
        <v>0</v>
      </c>
      <c r="AE20" s="851">
        <f>IF(Grünland!$R21=$AE$2,Grünland!$S21,0)</f>
        <v>0</v>
      </c>
      <c r="AF20" s="851">
        <f>IF(Grünland!$T21=$AE$2,Grünland!$U21,0)</f>
        <v>0</v>
      </c>
      <c r="AG20" s="851">
        <f>IF(Grünland!$V21=$AE$2,Grünland!$W21,0)</f>
        <v>0</v>
      </c>
      <c r="AH20" s="851">
        <f>IF(Grünland!$X21=$AE$2,Grünland!$Y21,0)</f>
        <v>0</v>
      </c>
      <c r="AI20" s="851">
        <f>IF(Grünland!$Z21=$AE$2,Grünland!$AA21,0)</f>
        <v>0</v>
      </c>
      <c r="AJ20" s="851">
        <f>IF(Grünland!$AB21=$AE$2,Grünland!$AC21,0)</f>
        <v>0</v>
      </c>
      <c r="AK20" s="851">
        <f>IF(Grünland!$R21=$AK$2,Grünland!$S21,0)</f>
        <v>0</v>
      </c>
      <c r="AL20" s="851">
        <f>IF(Grünland!$T21=$AK$2,Grünland!$U21,0)</f>
        <v>0</v>
      </c>
      <c r="AM20" s="851">
        <f>IF(Grünland!$V21=$AK$2,Grünland!$W21,0)</f>
        <v>0</v>
      </c>
      <c r="AN20" s="851">
        <f>IF(Grünland!$X21=$AK$2,Grünland!$Y21,0)</f>
        <v>0</v>
      </c>
      <c r="AO20" s="851">
        <f>IF(Grünland!$Z21=$AK$2,Grünland!$AA21,0)</f>
        <v>0</v>
      </c>
      <c r="AP20" s="851">
        <f>IF(Grünland!$AB21=$AK$2,Grünland!$AC21,0)</f>
        <v>0</v>
      </c>
      <c r="AQ20" s="851">
        <f>IF(Grünland!$R21=$AQ$2,Grünland!$S21,0)</f>
        <v>0</v>
      </c>
      <c r="AR20" s="851">
        <f>IF(Grünland!$T21=$AQ$2,Grünland!$U21,0)</f>
        <v>0</v>
      </c>
      <c r="AS20" s="851">
        <f>IF(Grünland!$V21=$AQ$2,Grünland!$W21,0)</f>
        <v>0</v>
      </c>
      <c r="AT20" s="851">
        <f>IF(Grünland!$X21=$AQ$2,Grünland!$Y21,0)</f>
        <v>0</v>
      </c>
      <c r="AU20" s="851">
        <f>IF(Grünland!$Z21=$AQ$2,Grünland!$AA21,0)</f>
        <v>0</v>
      </c>
      <c r="AV20" s="851">
        <f>IF(Grünland!$AB21=$AQ$2,Grünland!$AC21,0)</f>
        <v>0</v>
      </c>
      <c r="AW20" s="851">
        <f>IF(Grünland!$R21=$AW$2,Grünland!$S21,0)</f>
        <v>0</v>
      </c>
      <c r="AX20" s="851">
        <f>IF(Grünland!$T21=$AW$2,Grünland!$U21,0)</f>
        <v>0</v>
      </c>
      <c r="AY20" s="851">
        <f>IF(Grünland!$V21=$AW$2,Grünland!$W21,0)</f>
        <v>0</v>
      </c>
      <c r="AZ20" s="851">
        <f>IF(Grünland!$X21=$AW$2,Grünland!$Y21,0)</f>
        <v>0</v>
      </c>
      <c r="BA20" s="851">
        <f>IF(Grünland!$Z21=$AW$2,Grünland!$AA21,0)</f>
        <v>0</v>
      </c>
      <c r="BB20" s="851">
        <f>IF(Grünland!$AB21=$AW$2,Grünland!$AC21,0)</f>
        <v>0</v>
      </c>
      <c r="BC20" s="851">
        <f>IF(Grünland!$R21=$BC$2,Grünland!$S21,0)</f>
        <v>0</v>
      </c>
      <c r="BD20" s="851">
        <f>IF(Grünland!$T21=$BC$2,Grünland!$U21,0)</f>
        <v>0</v>
      </c>
      <c r="BE20" s="851">
        <f>IF(Grünland!$V21=$BC$2,Grünland!$W21,0)</f>
        <v>0</v>
      </c>
      <c r="BF20" s="851">
        <f>IF(Grünland!$X21=$BC$2,Grünland!$Y21,0)</f>
        <v>0</v>
      </c>
      <c r="BG20" s="851">
        <f>IF(Grünland!$Z21=$BC$2,Grünland!$AA21,0)</f>
        <v>0</v>
      </c>
      <c r="BH20" s="851">
        <f>IF(Grünland!$AB21=$BC$2,Grünland!$AC21,0)</f>
        <v>0</v>
      </c>
      <c r="BI20" s="851">
        <f>IF(Grünland!$R21=$BI$2,Grünland!$S21,0)</f>
        <v>0</v>
      </c>
      <c r="BJ20" s="851">
        <f>IF(Grünland!$T21=$BI$2,Grünland!$U21,0)</f>
        <v>0</v>
      </c>
      <c r="BK20" s="851">
        <f>IF(Grünland!$V21=$BI$2,Grünland!$W21,0)</f>
        <v>0</v>
      </c>
      <c r="BL20" s="851">
        <f>IF(Grünland!$X21=$BI$2,Grünland!$Y21,0)</f>
        <v>0</v>
      </c>
      <c r="BM20" s="851">
        <f>IF(Grünland!$Z21=$BI$2,Grünland!$AA21,0)</f>
        <v>0</v>
      </c>
      <c r="BN20" s="851">
        <f>IF(Grünland!$AB21=$BI$2,Grünland!$AC21,0)</f>
        <v>0</v>
      </c>
      <c r="BO20" s="851">
        <f>IF(Grünland!$R21=$BO$2,Grünland!$S21,0)</f>
        <v>0</v>
      </c>
      <c r="BP20" s="851">
        <f>IF(Grünland!$T21=$BO$2,Grünland!$U21,0)</f>
        <v>0</v>
      </c>
      <c r="BQ20" s="851">
        <f>IF(Grünland!$V21=$BO$2,Grünland!$W21,0)</f>
        <v>0</v>
      </c>
      <c r="BR20" s="851">
        <f>IF(Grünland!$X21=$BO$2,Grünland!$Y21,0)</f>
        <v>0</v>
      </c>
      <c r="BS20" s="851">
        <f>IF(Grünland!$Z21=$BO$2,Grünland!$AA21,0)</f>
        <v>0</v>
      </c>
      <c r="BT20" s="851">
        <f>IF(Grünland!$AB21=$BO$2,Grünland!$AC21,0)</f>
        <v>0</v>
      </c>
      <c r="BU20" s="851">
        <f>IF(Grünland!$R21=$BU$2,Grünland!$S21,0)</f>
        <v>0</v>
      </c>
      <c r="BV20" s="851">
        <f>IF(Grünland!$T21=$BU$2,Grünland!$U21,0)</f>
        <v>0</v>
      </c>
      <c r="BW20" s="851">
        <f>IF(Grünland!$V21=$BU$2,Grünland!$W21,0)</f>
        <v>0</v>
      </c>
      <c r="BX20" s="851">
        <f>IF(Grünland!$X21=$BU$2,Grünland!$Y21,0)</f>
        <v>0</v>
      </c>
      <c r="BY20" s="851">
        <f>IF(Grünland!$Z21=$BU$2,Grünland!$AA21,0)</f>
        <v>0</v>
      </c>
      <c r="BZ20" s="851">
        <f>IF(Grünland!$AB21=$BU$2,Grünland!$AC21,0)</f>
        <v>0</v>
      </c>
      <c r="CA20" s="14"/>
    </row>
    <row r="21" spans="3:79" ht="15">
      <c r="C21" s="6"/>
      <c r="D21" s="6"/>
      <c r="E21" s="912" t="s">
        <v>944</v>
      </c>
      <c r="F21" s="934">
        <f>Grünland!D22</f>
        <v>0</v>
      </c>
      <c r="G21" s="933">
        <f>IF(Grünland!$R22=$G$2,Grünland!$S22,0)</f>
        <v>0</v>
      </c>
      <c r="H21" s="851">
        <f>IF(Grünland!$T22=$G$2,Grünland!$U22,0)</f>
        <v>0</v>
      </c>
      <c r="I21" s="851">
        <f>IF(Grünland!$V22=$G$2,Grünland!$W22,0)</f>
        <v>0</v>
      </c>
      <c r="J21" s="851">
        <f>IF(Grünland!$X22=$G$2,Grünland!$Y22,0)</f>
        <v>0</v>
      </c>
      <c r="K21" s="851">
        <f>IF(Grünland!$Z22=$G$2,Grünland!$AA22,0)</f>
        <v>0</v>
      </c>
      <c r="L21" s="851">
        <f>IF(Grünland!$AB22=$G$2,Grünland!$AC22,0)</f>
        <v>0</v>
      </c>
      <c r="M21" s="851">
        <f>IF(Grünland!$R22=$M$2,Grünland!$S22,0)</f>
        <v>0</v>
      </c>
      <c r="N21" s="851">
        <f>IF(Grünland!$T22=$M$2,Grünland!$U22,0)</f>
        <v>0</v>
      </c>
      <c r="O21" s="851">
        <f>IF(Grünland!$V22=$M$2,Grünland!$W22,0)</f>
        <v>0</v>
      </c>
      <c r="P21" s="851">
        <f>IF(Grünland!$X22=$M$2,Grünland!$Y22,0)</f>
        <v>0</v>
      </c>
      <c r="Q21" s="851">
        <f>IF(Grünland!$Z22=$M$2,Grünland!$AA22,0)</f>
        <v>0</v>
      </c>
      <c r="R21" s="851">
        <f>IF(Grünland!$AB22=$M$2,Grünland!$AC22,0)</f>
        <v>0</v>
      </c>
      <c r="S21" s="851">
        <f>IF(Grünland!$R22=$S$2,Grünland!$S22,0)</f>
        <v>0</v>
      </c>
      <c r="T21" s="851">
        <f>IF(Grünland!$T22=$S$2,Grünland!$U22,0)</f>
        <v>0</v>
      </c>
      <c r="U21" s="851">
        <f>IF(Grünland!$V22=$S$2,Grünland!$W22,0)</f>
        <v>0</v>
      </c>
      <c r="V21" s="851">
        <f>IF(Grünland!$X22=$S$2,Grünland!$Y22,0)</f>
        <v>0</v>
      </c>
      <c r="W21" s="851">
        <f>IF(Grünland!$Z22=$S$2,Grünland!$AA22,0)</f>
        <v>0</v>
      </c>
      <c r="X21" s="851">
        <f>IF(Grünland!$AB22=$S$2,Grünland!$AC22,0)</f>
        <v>0</v>
      </c>
      <c r="Y21" s="851">
        <f>IF(Grünland!$R22=$Y$2,Grünland!$S22,0)</f>
        <v>0</v>
      </c>
      <c r="Z21" s="851">
        <f>IF(Grünland!$T22=$Y$2,Grünland!$U22,0)</f>
        <v>0</v>
      </c>
      <c r="AA21" s="851">
        <f>IF(Grünland!$V22=$Y$2,Grünland!$W22,0)</f>
        <v>0</v>
      </c>
      <c r="AB21" s="851">
        <f>IF(Grünland!$X22=$Y$2,Grünland!$Y22,0)</f>
        <v>0</v>
      </c>
      <c r="AC21" s="851">
        <f>IF(Grünland!$Z22=$Y$2,Grünland!$AA22,0)</f>
        <v>0</v>
      </c>
      <c r="AD21" s="851">
        <f>IF(Grünland!$AB22=$Y$2,Grünland!$AC22,0)</f>
        <v>0</v>
      </c>
      <c r="AE21" s="851">
        <f>IF(Grünland!$R22=$AE$2,Grünland!$S22,0)</f>
        <v>0</v>
      </c>
      <c r="AF21" s="851">
        <f>IF(Grünland!$T22=$AE$2,Grünland!$U22,0)</f>
        <v>0</v>
      </c>
      <c r="AG21" s="851">
        <f>IF(Grünland!$V22=$AE$2,Grünland!$W22,0)</f>
        <v>0</v>
      </c>
      <c r="AH21" s="851">
        <f>IF(Grünland!$X22=$AE$2,Grünland!$Y22,0)</f>
        <v>0</v>
      </c>
      <c r="AI21" s="851">
        <f>IF(Grünland!$Z22=$AE$2,Grünland!$AA22,0)</f>
        <v>0</v>
      </c>
      <c r="AJ21" s="851">
        <f>IF(Grünland!$AB22=$AE$2,Grünland!$AC22,0)</f>
        <v>0</v>
      </c>
      <c r="AK21" s="851">
        <f>IF(Grünland!$R22=$AK$2,Grünland!$S22,0)</f>
        <v>0</v>
      </c>
      <c r="AL21" s="851">
        <f>IF(Grünland!$T22=$AK$2,Grünland!$U22,0)</f>
        <v>0</v>
      </c>
      <c r="AM21" s="851">
        <f>IF(Grünland!$V22=$AK$2,Grünland!$W22,0)</f>
        <v>0</v>
      </c>
      <c r="AN21" s="851">
        <f>IF(Grünland!$X22=$AK$2,Grünland!$Y22,0)</f>
        <v>0</v>
      </c>
      <c r="AO21" s="851">
        <f>IF(Grünland!$Z22=$AK$2,Grünland!$AA22,0)</f>
        <v>0</v>
      </c>
      <c r="AP21" s="851">
        <f>IF(Grünland!$AB22=$AK$2,Grünland!$AC22,0)</f>
        <v>0</v>
      </c>
      <c r="AQ21" s="851">
        <f>IF(Grünland!$R22=$AQ$2,Grünland!$S22,0)</f>
        <v>0</v>
      </c>
      <c r="AR21" s="851">
        <f>IF(Grünland!$T22=$AQ$2,Grünland!$U22,0)</f>
        <v>0</v>
      </c>
      <c r="AS21" s="851">
        <f>IF(Grünland!$V22=$AQ$2,Grünland!$W22,0)</f>
        <v>0</v>
      </c>
      <c r="AT21" s="851">
        <f>IF(Grünland!$X22=$AQ$2,Grünland!$Y22,0)</f>
        <v>0</v>
      </c>
      <c r="AU21" s="851">
        <f>IF(Grünland!$Z22=$AQ$2,Grünland!$AA22,0)</f>
        <v>0</v>
      </c>
      <c r="AV21" s="851">
        <f>IF(Grünland!$AB22=$AQ$2,Grünland!$AC22,0)</f>
        <v>0</v>
      </c>
      <c r="AW21" s="851">
        <f>IF(Grünland!$R22=$AW$2,Grünland!$S22,0)</f>
        <v>0</v>
      </c>
      <c r="AX21" s="851">
        <f>IF(Grünland!$T22=$AW$2,Grünland!$U22,0)</f>
        <v>0</v>
      </c>
      <c r="AY21" s="851">
        <f>IF(Grünland!$V22=$AW$2,Grünland!$W22,0)</f>
        <v>0</v>
      </c>
      <c r="AZ21" s="851">
        <f>IF(Grünland!$X22=$AW$2,Grünland!$Y22,0)</f>
        <v>0</v>
      </c>
      <c r="BA21" s="851">
        <f>IF(Grünland!$Z22=$AW$2,Grünland!$AA22,0)</f>
        <v>0</v>
      </c>
      <c r="BB21" s="851">
        <f>IF(Grünland!$AB22=$AW$2,Grünland!$AC22,0)</f>
        <v>0</v>
      </c>
      <c r="BC21" s="851">
        <f>IF(Grünland!$R22=$BC$2,Grünland!$S22,0)</f>
        <v>0</v>
      </c>
      <c r="BD21" s="851">
        <f>IF(Grünland!$T22=$BC$2,Grünland!$U22,0)</f>
        <v>0</v>
      </c>
      <c r="BE21" s="851">
        <f>IF(Grünland!$V22=$BC$2,Grünland!$W22,0)</f>
        <v>0</v>
      </c>
      <c r="BF21" s="851">
        <f>IF(Grünland!$X22=$BC$2,Grünland!$Y22,0)</f>
        <v>0</v>
      </c>
      <c r="BG21" s="851">
        <f>IF(Grünland!$Z22=$BC$2,Grünland!$AA22,0)</f>
        <v>0</v>
      </c>
      <c r="BH21" s="851">
        <f>IF(Grünland!$AB22=$BC$2,Grünland!$AC22,0)</f>
        <v>0</v>
      </c>
      <c r="BI21" s="851">
        <f>IF(Grünland!$R22=$BI$2,Grünland!$S22,0)</f>
        <v>0</v>
      </c>
      <c r="BJ21" s="851">
        <f>IF(Grünland!$T22=$BI$2,Grünland!$U22,0)</f>
        <v>0</v>
      </c>
      <c r="BK21" s="851">
        <f>IF(Grünland!$V22=$BI$2,Grünland!$W22,0)</f>
        <v>0</v>
      </c>
      <c r="BL21" s="851">
        <f>IF(Grünland!$X22=$BI$2,Grünland!$Y22,0)</f>
        <v>0</v>
      </c>
      <c r="BM21" s="851">
        <f>IF(Grünland!$Z22=$BI$2,Grünland!$AA22,0)</f>
        <v>0</v>
      </c>
      <c r="BN21" s="851">
        <f>IF(Grünland!$AB22=$BI$2,Grünland!$AC22,0)</f>
        <v>0</v>
      </c>
      <c r="BO21" s="851">
        <f>IF(Grünland!$R22=$BO$2,Grünland!$S22,0)</f>
        <v>0</v>
      </c>
      <c r="BP21" s="851">
        <f>IF(Grünland!$T22=$BO$2,Grünland!$U22,0)</f>
        <v>0</v>
      </c>
      <c r="BQ21" s="851">
        <f>IF(Grünland!$V22=$BO$2,Grünland!$W22,0)</f>
        <v>0</v>
      </c>
      <c r="BR21" s="851">
        <f>IF(Grünland!$X22=$BO$2,Grünland!$Y22,0)</f>
        <v>0</v>
      </c>
      <c r="BS21" s="851">
        <f>IF(Grünland!$Z22=$BO$2,Grünland!$AA22,0)</f>
        <v>0</v>
      </c>
      <c r="BT21" s="851">
        <f>IF(Grünland!$AB22=$BO$2,Grünland!$AC22,0)</f>
        <v>0</v>
      </c>
      <c r="BU21" s="851">
        <f>IF(Grünland!$R22=$BU$2,Grünland!$S22,0)</f>
        <v>0</v>
      </c>
      <c r="BV21" s="851">
        <f>IF(Grünland!$T22=$BU$2,Grünland!$U22,0)</f>
        <v>0</v>
      </c>
      <c r="BW21" s="851">
        <f>IF(Grünland!$V22=$BU$2,Grünland!$W22,0)</f>
        <v>0</v>
      </c>
      <c r="BX21" s="851">
        <f>IF(Grünland!$X22=$BU$2,Grünland!$Y22,0)</f>
        <v>0</v>
      </c>
      <c r="BY21" s="851">
        <f>IF(Grünland!$Z22=$BU$2,Grünland!$AA22,0)</f>
        <v>0</v>
      </c>
      <c r="BZ21" s="851">
        <f>IF(Grünland!$AB22=$BU$2,Grünland!$AC22,0)</f>
        <v>0</v>
      </c>
      <c r="CA21" s="14"/>
    </row>
    <row r="22" spans="3:79" ht="15">
      <c r="C22" s="6"/>
      <c r="D22" s="6"/>
      <c r="E22" s="912" t="s">
        <v>945</v>
      </c>
      <c r="F22" s="934">
        <f>Grünland!D23</f>
        <v>0</v>
      </c>
      <c r="G22" s="933">
        <f>IF(Grünland!$R23=$G$2,Grünland!$S23,0)</f>
        <v>0</v>
      </c>
      <c r="H22" s="851">
        <f>IF(Grünland!$T23=$G$2,Grünland!$U23,0)</f>
        <v>0</v>
      </c>
      <c r="I22" s="851">
        <f>IF(Grünland!$V23=$G$2,Grünland!$W23,0)</f>
        <v>0</v>
      </c>
      <c r="J22" s="851">
        <f>IF(Grünland!$X23=$G$2,Grünland!$Y23,0)</f>
        <v>0</v>
      </c>
      <c r="K22" s="851">
        <f>IF(Grünland!$Z23=$G$2,Grünland!$AA23,0)</f>
        <v>0</v>
      </c>
      <c r="L22" s="851">
        <f>IF(Grünland!$AB23=$G$2,Grünland!$AC23,0)</f>
        <v>0</v>
      </c>
      <c r="M22" s="851">
        <f>IF(Grünland!$R23=$M$2,Grünland!$S23,0)</f>
        <v>0</v>
      </c>
      <c r="N22" s="851">
        <f>IF(Grünland!$T23=$M$2,Grünland!$U23,0)</f>
        <v>0</v>
      </c>
      <c r="O22" s="851">
        <f>IF(Grünland!$V23=$M$2,Grünland!$W23,0)</f>
        <v>0</v>
      </c>
      <c r="P22" s="851">
        <f>IF(Grünland!$X23=$M$2,Grünland!$Y23,0)</f>
        <v>0</v>
      </c>
      <c r="Q22" s="851">
        <f>IF(Grünland!$Z23=$M$2,Grünland!$AA23,0)</f>
        <v>0</v>
      </c>
      <c r="R22" s="851">
        <f>IF(Grünland!$AB23=$M$2,Grünland!$AC23,0)</f>
        <v>0</v>
      </c>
      <c r="S22" s="851">
        <f>IF(Grünland!$R23=$S$2,Grünland!$S23,0)</f>
        <v>0</v>
      </c>
      <c r="T22" s="851">
        <f>IF(Grünland!$T23=$S$2,Grünland!$U23,0)</f>
        <v>0</v>
      </c>
      <c r="U22" s="851">
        <f>IF(Grünland!$V23=$S$2,Grünland!$W23,0)</f>
        <v>0</v>
      </c>
      <c r="V22" s="851">
        <f>IF(Grünland!$X23=$S$2,Grünland!$Y23,0)</f>
        <v>0</v>
      </c>
      <c r="W22" s="851">
        <f>IF(Grünland!$Z23=$S$2,Grünland!$AA23,0)</f>
        <v>0</v>
      </c>
      <c r="X22" s="851">
        <f>IF(Grünland!$AB23=$S$2,Grünland!$AC23,0)</f>
        <v>0</v>
      </c>
      <c r="Y22" s="851">
        <f>IF(Grünland!$R23=$Y$2,Grünland!$S23,0)</f>
        <v>0</v>
      </c>
      <c r="Z22" s="851">
        <f>IF(Grünland!$T23=$Y$2,Grünland!$U23,0)</f>
        <v>0</v>
      </c>
      <c r="AA22" s="851">
        <f>IF(Grünland!$V23=$Y$2,Grünland!$W23,0)</f>
        <v>0</v>
      </c>
      <c r="AB22" s="851">
        <f>IF(Grünland!$X23=$Y$2,Grünland!$Y23,0)</f>
        <v>0</v>
      </c>
      <c r="AC22" s="851">
        <f>IF(Grünland!$Z23=$Y$2,Grünland!$AA23,0)</f>
        <v>0</v>
      </c>
      <c r="AD22" s="851">
        <f>IF(Grünland!$AB23=$Y$2,Grünland!$AC23,0)</f>
        <v>0</v>
      </c>
      <c r="AE22" s="851">
        <f>IF(Grünland!$R23=$AE$2,Grünland!$S23,0)</f>
        <v>0</v>
      </c>
      <c r="AF22" s="851">
        <f>IF(Grünland!$T23=$AE$2,Grünland!$U23,0)</f>
        <v>0</v>
      </c>
      <c r="AG22" s="851">
        <f>IF(Grünland!$V23=$AE$2,Grünland!$W23,0)</f>
        <v>0</v>
      </c>
      <c r="AH22" s="851">
        <f>IF(Grünland!$X23=$AE$2,Grünland!$Y23,0)</f>
        <v>0</v>
      </c>
      <c r="AI22" s="851">
        <f>IF(Grünland!$Z23=$AE$2,Grünland!$AA23,0)</f>
        <v>0</v>
      </c>
      <c r="AJ22" s="851">
        <f>IF(Grünland!$AB23=$AE$2,Grünland!$AC23,0)</f>
        <v>0</v>
      </c>
      <c r="AK22" s="851">
        <f>IF(Grünland!$R23=$AK$2,Grünland!$S23,0)</f>
        <v>0</v>
      </c>
      <c r="AL22" s="851">
        <f>IF(Grünland!$T23=$AK$2,Grünland!$U23,0)</f>
        <v>0</v>
      </c>
      <c r="AM22" s="851">
        <f>IF(Grünland!$V23=$AK$2,Grünland!$W23,0)</f>
        <v>0</v>
      </c>
      <c r="AN22" s="851">
        <f>IF(Grünland!$X23=$AK$2,Grünland!$Y23,0)</f>
        <v>0</v>
      </c>
      <c r="AO22" s="851">
        <f>IF(Grünland!$Z23=$AK$2,Grünland!$AA23,0)</f>
        <v>0</v>
      </c>
      <c r="AP22" s="851">
        <f>IF(Grünland!$AB23=$AK$2,Grünland!$AC23,0)</f>
        <v>0</v>
      </c>
      <c r="AQ22" s="851">
        <f>IF(Grünland!$R23=$AQ$2,Grünland!$S23,0)</f>
        <v>0</v>
      </c>
      <c r="AR22" s="851">
        <f>IF(Grünland!$T23=$AQ$2,Grünland!$U23,0)</f>
        <v>0</v>
      </c>
      <c r="AS22" s="851">
        <f>IF(Grünland!$V23=$AQ$2,Grünland!$W23,0)</f>
        <v>0</v>
      </c>
      <c r="AT22" s="851">
        <f>IF(Grünland!$X23=$AQ$2,Grünland!$Y23,0)</f>
        <v>0</v>
      </c>
      <c r="AU22" s="851">
        <f>IF(Grünland!$Z23=$AQ$2,Grünland!$AA23,0)</f>
        <v>0</v>
      </c>
      <c r="AV22" s="851">
        <f>IF(Grünland!$AB23=$AQ$2,Grünland!$AC23,0)</f>
        <v>0</v>
      </c>
      <c r="AW22" s="851">
        <f>IF(Grünland!$R23=$AW$2,Grünland!$S23,0)</f>
        <v>0</v>
      </c>
      <c r="AX22" s="851">
        <f>IF(Grünland!$T23=$AW$2,Grünland!$U23,0)</f>
        <v>0</v>
      </c>
      <c r="AY22" s="851">
        <f>IF(Grünland!$V23=$AW$2,Grünland!$W23,0)</f>
        <v>0</v>
      </c>
      <c r="AZ22" s="851">
        <f>IF(Grünland!$X23=$AW$2,Grünland!$Y23,0)</f>
        <v>0</v>
      </c>
      <c r="BA22" s="851">
        <f>IF(Grünland!$Z23=$AW$2,Grünland!$AA23,0)</f>
        <v>0</v>
      </c>
      <c r="BB22" s="851">
        <f>IF(Grünland!$AB23=$AW$2,Grünland!$AC23,0)</f>
        <v>0</v>
      </c>
      <c r="BC22" s="851">
        <f>IF(Grünland!$R23=$BC$2,Grünland!$S23,0)</f>
        <v>0</v>
      </c>
      <c r="BD22" s="851">
        <f>IF(Grünland!$T23=$BC$2,Grünland!$U23,0)</f>
        <v>0</v>
      </c>
      <c r="BE22" s="851">
        <f>IF(Grünland!$V23=$BC$2,Grünland!$W23,0)</f>
        <v>0</v>
      </c>
      <c r="BF22" s="851">
        <f>IF(Grünland!$X23=$BC$2,Grünland!$Y23,0)</f>
        <v>0</v>
      </c>
      <c r="BG22" s="851">
        <f>IF(Grünland!$Z23=$BC$2,Grünland!$AA23,0)</f>
        <v>0</v>
      </c>
      <c r="BH22" s="851">
        <f>IF(Grünland!$AB23=$BC$2,Grünland!$AC23,0)</f>
        <v>0</v>
      </c>
      <c r="BI22" s="851">
        <f>IF(Grünland!$R23=$BI$2,Grünland!$S23,0)</f>
        <v>0</v>
      </c>
      <c r="BJ22" s="851">
        <f>IF(Grünland!$T23=$BI$2,Grünland!$U23,0)</f>
        <v>0</v>
      </c>
      <c r="BK22" s="851">
        <f>IF(Grünland!$V23=$BI$2,Grünland!$W23,0)</f>
        <v>0</v>
      </c>
      <c r="BL22" s="851">
        <f>IF(Grünland!$X23=$BI$2,Grünland!$Y23,0)</f>
        <v>0</v>
      </c>
      <c r="BM22" s="851">
        <f>IF(Grünland!$Z23=$BI$2,Grünland!$AA23,0)</f>
        <v>0</v>
      </c>
      <c r="BN22" s="851">
        <f>IF(Grünland!$AB23=$BI$2,Grünland!$AC23,0)</f>
        <v>0</v>
      </c>
      <c r="BO22" s="851">
        <f>IF(Grünland!$R23=$BO$2,Grünland!$S23,0)</f>
        <v>0</v>
      </c>
      <c r="BP22" s="851">
        <f>IF(Grünland!$T23=$BO$2,Grünland!$U23,0)</f>
        <v>0</v>
      </c>
      <c r="BQ22" s="851">
        <f>IF(Grünland!$V23=$BO$2,Grünland!$W23,0)</f>
        <v>0</v>
      </c>
      <c r="BR22" s="851">
        <f>IF(Grünland!$X23=$BO$2,Grünland!$Y23,0)</f>
        <v>0</v>
      </c>
      <c r="BS22" s="851">
        <f>IF(Grünland!$Z23=$BO$2,Grünland!$AA23,0)</f>
        <v>0</v>
      </c>
      <c r="BT22" s="851">
        <f>IF(Grünland!$AB23=$BO$2,Grünland!$AC23,0)</f>
        <v>0</v>
      </c>
      <c r="BU22" s="851">
        <f>IF(Grünland!$R23=$BU$2,Grünland!$S23,0)</f>
        <v>0</v>
      </c>
      <c r="BV22" s="851">
        <f>IF(Grünland!$T23=$BU$2,Grünland!$U23,0)</f>
        <v>0</v>
      </c>
      <c r="BW22" s="851">
        <f>IF(Grünland!$V23=$BU$2,Grünland!$W23,0)</f>
        <v>0</v>
      </c>
      <c r="BX22" s="851">
        <f>IF(Grünland!$X23=$BU$2,Grünland!$Y23,0)</f>
        <v>0</v>
      </c>
      <c r="BY22" s="851">
        <f>IF(Grünland!$Z23=$BU$2,Grünland!$AA23,0)</f>
        <v>0</v>
      </c>
      <c r="BZ22" s="851">
        <f>IF(Grünland!$AB23=$BU$2,Grünland!$AC23,0)</f>
        <v>0</v>
      </c>
      <c r="CA22" s="14"/>
    </row>
    <row r="23" spans="3:79" ht="15">
      <c r="E23" s="912" t="s">
        <v>946</v>
      </c>
      <c r="F23" s="934">
        <f>Grünland!D24</f>
        <v>0</v>
      </c>
      <c r="G23" s="933">
        <f>IF(Grünland!$R24=$G$2,Grünland!$S24,0)</f>
        <v>0</v>
      </c>
      <c r="H23" s="851">
        <f>IF(Grünland!$T24=$G$2,Grünland!$U24,0)</f>
        <v>0</v>
      </c>
      <c r="I23" s="851">
        <f>IF(Grünland!$V24=$G$2,Grünland!$W24,0)</f>
        <v>0</v>
      </c>
      <c r="J23" s="851">
        <f>IF(Grünland!$X24=$G$2,Grünland!$Y24,0)</f>
        <v>0</v>
      </c>
      <c r="K23" s="851">
        <f>IF(Grünland!$Z24=$G$2,Grünland!$AA24,0)</f>
        <v>0</v>
      </c>
      <c r="L23" s="851">
        <f>IF(Grünland!$AB24=$G$2,Grünland!$AC24,0)</f>
        <v>0</v>
      </c>
      <c r="M23" s="851">
        <f>IF(Grünland!$R24=$M$2,Grünland!$S24,0)</f>
        <v>0</v>
      </c>
      <c r="N23" s="851">
        <f>IF(Grünland!$T24=$M$2,Grünland!$U24,0)</f>
        <v>0</v>
      </c>
      <c r="O23" s="851">
        <f>IF(Grünland!$V24=$M$2,Grünland!$W24,0)</f>
        <v>0</v>
      </c>
      <c r="P23" s="851">
        <f>IF(Grünland!$X24=$M$2,Grünland!$Y24,0)</f>
        <v>0</v>
      </c>
      <c r="Q23" s="851">
        <f>IF(Grünland!$Z24=$M$2,Grünland!$AA24,0)</f>
        <v>0</v>
      </c>
      <c r="R23" s="851">
        <f>IF(Grünland!$AB24=$M$2,Grünland!$AC24,0)</f>
        <v>0</v>
      </c>
      <c r="S23" s="851">
        <f>IF(Grünland!$R24=$S$2,Grünland!$S24,0)</f>
        <v>0</v>
      </c>
      <c r="T23" s="851">
        <f>IF(Grünland!$T24=$S$2,Grünland!$U24,0)</f>
        <v>0</v>
      </c>
      <c r="U23" s="851">
        <f>IF(Grünland!$V24=$S$2,Grünland!$W24,0)</f>
        <v>0</v>
      </c>
      <c r="V23" s="851">
        <f>IF(Grünland!$X24=$S$2,Grünland!$Y24,0)</f>
        <v>0</v>
      </c>
      <c r="W23" s="851">
        <f>IF(Grünland!$Z24=$S$2,Grünland!$AA24,0)</f>
        <v>0</v>
      </c>
      <c r="X23" s="851">
        <f>IF(Grünland!$AB24=$S$2,Grünland!$AC24,0)</f>
        <v>0</v>
      </c>
      <c r="Y23" s="851">
        <f>IF(Grünland!$R24=$Y$2,Grünland!$S24,0)</f>
        <v>0</v>
      </c>
      <c r="Z23" s="851">
        <f>IF(Grünland!$T24=$Y$2,Grünland!$U24,0)</f>
        <v>0</v>
      </c>
      <c r="AA23" s="851">
        <f>IF(Grünland!$V24=$Y$2,Grünland!$W24,0)</f>
        <v>0</v>
      </c>
      <c r="AB23" s="851">
        <f>IF(Grünland!$X24=$Y$2,Grünland!$Y24,0)</f>
        <v>0</v>
      </c>
      <c r="AC23" s="851">
        <f>IF(Grünland!$Z24=$Y$2,Grünland!$AA24,0)</f>
        <v>0</v>
      </c>
      <c r="AD23" s="851">
        <f>IF(Grünland!$AB24=$Y$2,Grünland!$AC24,0)</f>
        <v>0</v>
      </c>
      <c r="AE23" s="851">
        <f>IF(Grünland!$R24=$AE$2,Grünland!$S24,0)</f>
        <v>0</v>
      </c>
      <c r="AF23" s="851">
        <f>IF(Grünland!$T24=$AE$2,Grünland!$U24,0)</f>
        <v>0</v>
      </c>
      <c r="AG23" s="851">
        <f>IF(Grünland!$V24=$AE$2,Grünland!$W24,0)</f>
        <v>0</v>
      </c>
      <c r="AH23" s="851">
        <f>IF(Grünland!$X24=$AE$2,Grünland!$Y24,0)</f>
        <v>0</v>
      </c>
      <c r="AI23" s="851">
        <f>IF(Grünland!$Z24=$AE$2,Grünland!$AA24,0)</f>
        <v>0</v>
      </c>
      <c r="AJ23" s="851">
        <f>IF(Grünland!$AB24=$AE$2,Grünland!$AC24,0)</f>
        <v>0</v>
      </c>
      <c r="AK23" s="851">
        <f>IF(Grünland!$R24=$AK$2,Grünland!$S24,0)</f>
        <v>0</v>
      </c>
      <c r="AL23" s="851">
        <f>IF(Grünland!$T24=$AK$2,Grünland!$U24,0)</f>
        <v>0</v>
      </c>
      <c r="AM23" s="851">
        <f>IF(Grünland!$V24=$AK$2,Grünland!$W24,0)</f>
        <v>0</v>
      </c>
      <c r="AN23" s="851">
        <f>IF(Grünland!$X24=$AK$2,Grünland!$Y24,0)</f>
        <v>0</v>
      </c>
      <c r="AO23" s="851">
        <f>IF(Grünland!$Z24=$AK$2,Grünland!$AA24,0)</f>
        <v>0</v>
      </c>
      <c r="AP23" s="851">
        <f>IF(Grünland!$AB24=$AK$2,Grünland!$AC24,0)</f>
        <v>0</v>
      </c>
      <c r="AQ23" s="851">
        <f>IF(Grünland!$R24=$AQ$2,Grünland!$S24,0)</f>
        <v>0</v>
      </c>
      <c r="AR23" s="851">
        <f>IF(Grünland!$T24=$AQ$2,Grünland!$U24,0)</f>
        <v>0</v>
      </c>
      <c r="AS23" s="851">
        <f>IF(Grünland!$V24=$AQ$2,Grünland!$W24,0)</f>
        <v>0</v>
      </c>
      <c r="AT23" s="851">
        <f>IF(Grünland!$X24=$AQ$2,Grünland!$Y24,0)</f>
        <v>0</v>
      </c>
      <c r="AU23" s="851">
        <f>IF(Grünland!$Z24=$AQ$2,Grünland!$AA24,0)</f>
        <v>0</v>
      </c>
      <c r="AV23" s="851">
        <f>IF(Grünland!$AB24=$AQ$2,Grünland!$AC24,0)</f>
        <v>0</v>
      </c>
      <c r="AW23" s="851">
        <f>IF(Grünland!$R24=$AW$2,Grünland!$S24,0)</f>
        <v>0</v>
      </c>
      <c r="AX23" s="851">
        <f>IF(Grünland!$T24=$AW$2,Grünland!$U24,0)</f>
        <v>0</v>
      </c>
      <c r="AY23" s="851">
        <f>IF(Grünland!$V24=$AW$2,Grünland!$W24,0)</f>
        <v>0</v>
      </c>
      <c r="AZ23" s="851">
        <f>IF(Grünland!$X24=$AW$2,Grünland!$Y24,0)</f>
        <v>0</v>
      </c>
      <c r="BA23" s="851">
        <f>IF(Grünland!$Z24=$AW$2,Grünland!$AA24,0)</f>
        <v>0</v>
      </c>
      <c r="BB23" s="851">
        <f>IF(Grünland!$AB24=$AW$2,Grünland!$AC24,0)</f>
        <v>0</v>
      </c>
      <c r="BC23" s="851">
        <f>IF(Grünland!$R24=$BC$2,Grünland!$S24,0)</f>
        <v>0</v>
      </c>
      <c r="BD23" s="851">
        <f>IF(Grünland!$T24=$BC$2,Grünland!$U24,0)</f>
        <v>0</v>
      </c>
      <c r="BE23" s="851">
        <f>IF(Grünland!$V24=$BC$2,Grünland!$W24,0)</f>
        <v>0</v>
      </c>
      <c r="BF23" s="851">
        <f>IF(Grünland!$X24=$BC$2,Grünland!$Y24,0)</f>
        <v>0</v>
      </c>
      <c r="BG23" s="851">
        <f>IF(Grünland!$Z24=$BC$2,Grünland!$AA24,0)</f>
        <v>0</v>
      </c>
      <c r="BH23" s="851">
        <f>IF(Grünland!$AB24=$BC$2,Grünland!$AC24,0)</f>
        <v>0</v>
      </c>
      <c r="BI23" s="851">
        <f>IF(Grünland!$R24=$BI$2,Grünland!$S24,0)</f>
        <v>0</v>
      </c>
      <c r="BJ23" s="851">
        <f>IF(Grünland!$T24=$BI$2,Grünland!$U24,0)</f>
        <v>0</v>
      </c>
      <c r="BK23" s="851">
        <f>IF(Grünland!$V24=$BI$2,Grünland!$W24,0)</f>
        <v>0</v>
      </c>
      <c r="BL23" s="851">
        <f>IF(Grünland!$X24=$BI$2,Grünland!$Y24,0)</f>
        <v>0</v>
      </c>
      <c r="BM23" s="851">
        <f>IF(Grünland!$Z24=$BI$2,Grünland!$AA24,0)</f>
        <v>0</v>
      </c>
      <c r="BN23" s="851">
        <f>IF(Grünland!$AB24=$BI$2,Grünland!$AC24,0)</f>
        <v>0</v>
      </c>
      <c r="BO23" s="851">
        <f>IF(Grünland!$R24=$BO$2,Grünland!$S24,0)</f>
        <v>0</v>
      </c>
      <c r="BP23" s="851">
        <f>IF(Grünland!$T24=$BO$2,Grünland!$U24,0)</f>
        <v>0</v>
      </c>
      <c r="BQ23" s="851">
        <f>IF(Grünland!$V24=$BO$2,Grünland!$W24,0)</f>
        <v>0</v>
      </c>
      <c r="BR23" s="851">
        <f>IF(Grünland!$X24=$BO$2,Grünland!$Y24,0)</f>
        <v>0</v>
      </c>
      <c r="BS23" s="851">
        <f>IF(Grünland!$Z24=$BO$2,Grünland!$AA24,0)</f>
        <v>0</v>
      </c>
      <c r="BT23" s="851">
        <f>IF(Grünland!$AB24=$BO$2,Grünland!$AC24,0)</f>
        <v>0</v>
      </c>
      <c r="BU23" s="851">
        <f>IF(Grünland!$R24=$BU$2,Grünland!$S24,0)</f>
        <v>0</v>
      </c>
      <c r="BV23" s="851">
        <f>IF(Grünland!$T24=$BU$2,Grünland!$U24,0)</f>
        <v>0</v>
      </c>
      <c r="BW23" s="851">
        <f>IF(Grünland!$V24=$BU$2,Grünland!$W24,0)</f>
        <v>0</v>
      </c>
      <c r="BX23" s="851">
        <f>IF(Grünland!$X24=$BU$2,Grünland!$Y24,0)</f>
        <v>0</v>
      </c>
      <c r="BY23" s="851">
        <f>IF(Grünland!$Z24=$BU$2,Grünland!$AA24,0)</f>
        <v>0</v>
      </c>
      <c r="BZ23" s="851">
        <f>IF(Grünland!$AB24=$BU$2,Grünland!$AC24,0)</f>
        <v>0</v>
      </c>
      <c r="CA23" s="14"/>
    </row>
    <row r="24" spans="3:79" ht="15">
      <c r="E24" s="912" t="s">
        <v>947</v>
      </c>
      <c r="F24" s="934">
        <f>Grünland!D25</f>
        <v>0</v>
      </c>
      <c r="G24" s="933">
        <f>IF(Grünland!$R25=$G$2,Grünland!$S25,0)</f>
        <v>0</v>
      </c>
      <c r="H24" s="851">
        <f>IF(Grünland!$T25=$G$2,Grünland!$U25,0)</f>
        <v>0</v>
      </c>
      <c r="I24" s="851">
        <f>IF(Grünland!$V25=$G$2,Grünland!$W25,0)</f>
        <v>0</v>
      </c>
      <c r="J24" s="851">
        <f>IF(Grünland!$X25=$G$2,Grünland!$Y25,0)</f>
        <v>0</v>
      </c>
      <c r="K24" s="851">
        <f>IF(Grünland!$Z25=$G$2,Grünland!$AA25,0)</f>
        <v>0</v>
      </c>
      <c r="L24" s="851">
        <f>IF(Grünland!$AB25=$G$2,Grünland!$AC25,0)</f>
        <v>0</v>
      </c>
      <c r="M24" s="851">
        <f>IF(Grünland!$R25=$M$2,Grünland!$S25,0)</f>
        <v>0</v>
      </c>
      <c r="N24" s="851">
        <f>IF(Grünland!$T25=$M$2,Grünland!$U25,0)</f>
        <v>0</v>
      </c>
      <c r="O24" s="851">
        <f>IF(Grünland!$V25=$M$2,Grünland!$W25,0)</f>
        <v>0</v>
      </c>
      <c r="P24" s="851">
        <f>IF(Grünland!$X25=$M$2,Grünland!$Y25,0)</f>
        <v>0</v>
      </c>
      <c r="Q24" s="851">
        <f>IF(Grünland!$Z25=$M$2,Grünland!$AA25,0)</f>
        <v>0</v>
      </c>
      <c r="R24" s="851">
        <f>IF(Grünland!$AB25=$M$2,Grünland!$AC25,0)</f>
        <v>0</v>
      </c>
      <c r="S24" s="851">
        <f>IF(Grünland!$R25=$S$2,Grünland!$S25,0)</f>
        <v>0</v>
      </c>
      <c r="T24" s="851">
        <f>IF(Grünland!$T25=$S$2,Grünland!$U25,0)</f>
        <v>0</v>
      </c>
      <c r="U24" s="851">
        <f>IF(Grünland!$V25=$S$2,Grünland!$W25,0)</f>
        <v>0</v>
      </c>
      <c r="V24" s="851">
        <f>IF(Grünland!$X25=$S$2,Grünland!$Y25,0)</f>
        <v>0</v>
      </c>
      <c r="W24" s="851">
        <f>IF(Grünland!$Z25=$S$2,Grünland!$AA25,0)</f>
        <v>0</v>
      </c>
      <c r="X24" s="851">
        <f>IF(Grünland!$AB25=$S$2,Grünland!$AC25,0)</f>
        <v>0</v>
      </c>
      <c r="Y24" s="851">
        <f>IF(Grünland!$R25=$Y$2,Grünland!$S25,0)</f>
        <v>0</v>
      </c>
      <c r="Z24" s="851">
        <f>IF(Grünland!$T25=$Y$2,Grünland!$U25,0)</f>
        <v>0</v>
      </c>
      <c r="AA24" s="851">
        <f>IF(Grünland!$V25=$Y$2,Grünland!$W25,0)</f>
        <v>0</v>
      </c>
      <c r="AB24" s="851">
        <f>IF(Grünland!$X25=$Y$2,Grünland!$Y25,0)</f>
        <v>0</v>
      </c>
      <c r="AC24" s="851">
        <f>IF(Grünland!$Z25=$Y$2,Grünland!$AA25,0)</f>
        <v>0</v>
      </c>
      <c r="AD24" s="851">
        <f>IF(Grünland!$AB25=$Y$2,Grünland!$AC25,0)</f>
        <v>0</v>
      </c>
      <c r="AE24" s="851">
        <f>IF(Grünland!$R25=$AE$2,Grünland!$S25,0)</f>
        <v>0</v>
      </c>
      <c r="AF24" s="851">
        <f>IF(Grünland!$T25=$AE$2,Grünland!$U25,0)</f>
        <v>0</v>
      </c>
      <c r="AG24" s="851">
        <f>IF(Grünland!$V25=$AE$2,Grünland!$W25,0)</f>
        <v>0</v>
      </c>
      <c r="AH24" s="851">
        <f>IF(Grünland!$X25=$AE$2,Grünland!$Y25,0)</f>
        <v>0</v>
      </c>
      <c r="AI24" s="851">
        <f>IF(Grünland!$Z25=$AE$2,Grünland!$AA25,0)</f>
        <v>0</v>
      </c>
      <c r="AJ24" s="851">
        <f>IF(Grünland!$AB25=$AE$2,Grünland!$AC25,0)</f>
        <v>0</v>
      </c>
      <c r="AK24" s="851">
        <f>IF(Grünland!$R25=$AK$2,Grünland!$S25,0)</f>
        <v>0</v>
      </c>
      <c r="AL24" s="851">
        <f>IF(Grünland!$T25=$AK$2,Grünland!$U25,0)</f>
        <v>0</v>
      </c>
      <c r="AM24" s="851">
        <f>IF(Grünland!$V25=$AK$2,Grünland!$W25,0)</f>
        <v>0</v>
      </c>
      <c r="AN24" s="851">
        <f>IF(Grünland!$X25=$AK$2,Grünland!$Y25,0)</f>
        <v>0</v>
      </c>
      <c r="AO24" s="851">
        <f>IF(Grünland!$Z25=$AK$2,Grünland!$AA25,0)</f>
        <v>0</v>
      </c>
      <c r="AP24" s="851">
        <f>IF(Grünland!$AB25=$AK$2,Grünland!$AC25,0)</f>
        <v>0</v>
      </c>
      <c r="AQ24" s="851">
        <f>IF(Grünland!$R25=$AQ$2,Grünland!$S25,0)</f>
        <v>0</v>
      </c>
      <c r="AR24" s="851">
        <f>IF(Grünland!$T25=$AQ$2,Grünland!$U25,0)</f>
        <v>0</v>
      </c>
      <c r="AS24" s="851">
        <f>IF(Grünland!$V25=$AQ$2,Grünland!$W25,0)</f>
        <v>0</v>
      </c>
      <c r="AT24" s="851">
        <f>IF(Grünland!$X25=$AQ$2,Grünland!$Y25,0)</f>
        <v>0</v>
      </c>
      <c r="AU24" s="851">
        <f>IF(Grünland!$Z25=$AQ$2,Grünland!$AA25,0)</f>
        <v>0</v>
      </c>
      <c r="AV24" s="851">
        <f>IF(Grünland!$AB25=$AQ$2,Grünland!$AC25,0)</f>
        <v>0</v>
      </c>
      <c r="AW24" s="851">
        <f>IF(Grünland!$R25=$AW$2,Grünland!$S25,0)</f>
        <v>0</v>
      </c>
      <c r="AX24" s="851">
        <f>IF(Grünland!$T25=$AW$2,Grünland!$U25,0)</f>
        <v>0</v>
      </c>
      <c r="AY24" s="851">
        <f>IF(Grünland!$V25=$AW$2,Grünland!$W25,0)</f>
        <v>0</v>
      </c>
      <c r="AZ24" s="851">
        <f>IF(Grünland!$X25=$AW$2,Grünland!$Y25,0)</f>
        <v>0</v>
      </c>
      <c r="BA24" s="851">
        <f>IF(Grünland!$Z25=$AW$2,Grünland!$AA25,0)</f>
        <v>0</v>
      </c>
      <c r="BB24" s="851">
        <f>IF(Grünland!$AB25=$AW$2,Grünland!$AC25,0)</f>
        <v>0</v>
      </c>
      <c r="BC24" s="851">
        <f>IF(Grünland!$R25=$BC$2,Grünland!$S25,0)</f>
        <v>0</v>
      </c>
      <c r="BD24" s="851">
        <f>IF(Grünland!$T25=$BC$2,Grünland!$U25,0)</f>
        <v>0</v>
      </c>
      <c r="BE24" s="851">
        <f>IF(Grünland!$V25=$BC$2,Grünland!$W25,0)</f>
        <v>0</v>
      </c>
      <c r="BF24" s="851">
        <f>IF(Grünland!$X25=$BC$2,Grünland!$Y25,0)</f>
        <v>0</v>
      </c>
      <c r="BG24" s="851">
        <f>IF(Grünland!$Z25=$BC$2,Grünland!$AA25,0)</f>
        <v>0</v>
      </c>
      <c r="BH24" s="851">
        <f>IF(Grünland!$AB25=$BC$2,Grünland!$AC25,0)</f>
        <v>0</v>
      </c>
      <c r="BI24" s="851">
        <f>IF(Grünland!$R25=$BI$2,Grünland!$S25,0)</f>
        <v>0</v>
      </c>
      <c r="BJ24" s="851">
        <f>IF(Grünland!$T25=$BI$2,Grünland!$U25,0)</f>
        <v>0</v>
      </c>
      <c r="BK24" s="851">
        <f>IF(Grünland!$V25=$BI$2,Grünland!$W25,0)</f>
        <v>0</v>
      </c>
      <c r="BL24" s="851">
        <f>IF(Grünland!$X25=$BI$2,Grünland!$Y25,0)</f>
        <v>0</v>
      </c>
      <c r="BM24" s="851">
        <f>IF(Grünland!$Z25=$BI$2,Grünland!$AA25,0)</f>
        <v>0</v>
      </c>
      <c r="BN24" s="851">
        <f>IF(Grünland!$AB25=$BI$2,Grünland!$AC25,0)</f>
        <v>0</v>
      </c>
      <c r="BO24" s="851">
        <f>IF(Grünland!$R25=$BO$2,Grünland!$S25,0)</f>
        <v>0</v>
      </c>
      <c r="BP24" s="851">
        <f>IF(Grünland!$T25=$BO$2,Grünland!$U25,0)</f>
        <v>0</v>
      </c>
      <c r="BQ24" s="851">
        <f>IF(Grünland!$V25=$BO$2,Grünland!$W25,0)</f>
        <v>0</v>
      </c>
      <c r="BR24" s="851">
        <f>IF(Grünland!$X25=$BO$2,Grünland!$Y25,0)</f>
        <v>0</v>
      </c>
      <c r="BS24" s="851">
        <f>IF(Grünland!$Z25=$BO$2,Grünland!$AA25,0)</f>
        <v>0</v>
      </c>
      <c r="BT24" s="851">
        <f>IF(Grünland!$AB25=$BO$2,Grünland!$AC25,0)</f>
        <v>0</v>
      </c>
      <c r="BU24" s="851">
        <f>IF(Grünland!$R25=$BU$2,Grünland!$S25,0)</f>
        <v>0</v>
      </c>
      <c r="BV24" s="851">
        <f>IF(Grünland!$T25=$BU$2,Grünland!$U25,0)</f>
        <v>0</v>
      </c>
      <c r="BW24" s="851">
        <f>IF(Grünland!$V25=$BU$2,Grünland!$W25,0)</f>
        <v>0</v>
      </c>
      <c r="BX24" s="851">
        <f>IF(Grünland!$X25=$BU$2,Grünland!$Y25,0)</f>
        <v>0</v>
      </c>
      <c r="BY24" s="851">
        <f>IF(Grünland!$Z25=$BU$2,Grünland!$AA25,0)</f>
        <v>0</v>
      </c>
      <c r="BZ24" s="851">
        <f>IF(Grünland!$AB25=$BU$2,Grünland!$AC25,0)</f>
        <v>0</v>
      </c>
      <c r="CA24" s="14"/>
    </row>
    <row r="25" spans="3:79" ht="15">
      <c r="E25" s="912" t="s">
        <v>948</v>
      </c>
      <c r="F25" s="934">
        <f>Grünland!D26</f>
        <v>0</v>
      </c>
      <c r="G25" s="933">
        <f>IF(Grünland!$R26=$G$2,Grünland!$S26,0)</f>
        <v>0</v>
      </c>
      <c r="H25" s="851">
        <f>IF(Grünland!$T26=$G$2,Grünland!$U26,0)</f>
        <v>0</v>
      </c>
      <c r="I25" s="851">
        <f>IF(Grünland!$V26=$G$2,Grünland!$W26,0)</f>
        <v>0</v>
      </c>
      <c r="J25" s="851">
        <f>IF(Grünland!$X26=$G$2,Grünland!$Y26,0)</f>
        <v>0</v>
      </c>
      <c r="K25" s="851">
        <f>IF(Grünland!$Z26=$G$2,Grünland!$AA26,0)</f>
        <v>0</v>
      </c>
      <c r="L25" s="851">
        <f>IF(Grünland!$AB26=$G$2,Grünland!$AC26,0)</f>
        <v>0</v>
      </c>
      <c r="M25" s="851">
        <f>IF(Grünland!$R26=$M$2,Grünland!$S26,0)</f>
        <v>0</v>
      </c>
      <c r="N25" s="851">
        <f>IF(Grünland!$T26=$M$2,Grünland!$U26,0)</f>
        <v>0</v>
      </c>
      <c r="O25" s="851">
        <f>IF(Grünland!$V26=$M$2,Grünland!$W26,0)</f>
        <v>0</v>
      </c>
      <c r="P25" s="851">
        <f>IF(Grünland!$X26=$M$2,Grünland!$Y26,0)</f>
        <v>0</v>
      </c>
      <c r="Q25" s="851">
        <f>IF(Grünland!$Z26=$M$2,Grünland!$AA26,0)</f>
        <v>0</v>
      </c>
      <c r="R25" s="851">
        <f>IF(Grünland!$AB26=$M$2,Grünland!$AC26,0)</f>
        <v>0</v>
      </c>
      <c r="S25" s="851">
        <f>IF(Grünland!$R26=$S$2,Grünland!$S26,0)</f>
        <v>0</v>
      </c>
      <c r="T25" s="851">
        <f>IF(Grünland!$T26=$S$2,Grünland!$U26,0)</f>
        <v>0</v>
      </c>
      <c r="U25" s="851">
        <f>IF(Grünland!$V26=$S$2,Grünland!$W26,0)</f>
        <v>0</v>
      </c>
      <c r="V25" s="851">
        <f>IF(Grünland!$X26=$S$2,Grünland!$Y26,0)</f>
        <v>0</v>
      </c>
      <c r="W25" s="851">
        <f>IF(Grünland!$Z26=$S$2,Grünland!$AA26,0)</f>
        <v>0</v>
      </c>
      <c r="X25" s="851">
        <f>IF(Grünland!$AB26=$S$2,Grünland!$AC26,0)</f>
        <v>0</v>
      </c>
      <c r="Y25" s="851">
        <f>IF(Grünland!$R26=$Y$2,Grünland!$S26,0)</f>
        <v>0</v>
      </c>
      <c r="Z25" s="851">
        <f>IF(Grünland!$T26=$Y$2,Grünland!$U26,0)</f>
        <v>0</v>
      </c>
      <c r="AA25" s="851">
        <f>IF(Grünland!$V26=$Y$2,Grünland!$W26,0)</f>
        <v>0</v>
      </c>
      <c r="AB25" s="851">
        <f>IF(Grünland!$X26=$Y$2,Grünland!$Y26,0)</f>
        <v>0</v>
      </c>
      <c r="AC25" s="851">
        <f>IF(Grünland!$Z26=$Y$2,Grünland!$AA26,0)</f>
        <v>0</v>
      </c>
      <c r="AD25" s="851">
        <f>IF(Grünland!$AB26=$Y$2,Grünland!$AC26,0)</f>
        <v>0</v>
      </c>
      <c r="AE25" s="851">
        <f>IF(Grünland!$R26=$AE$2,Grünland!$S26,0)</f>
        <v>0</v>
      </c>
      <c r="AF25" s="851">
        <f>IF(Grünland!$T26=$AE$2,Grünland!$U26,0)</f>
        <v>0</v>
      </c>
      <c r="AG25" s="851">
        <f>IF(Grünland!$V26=$AE$2,Grünland!$W26,0)</f>
        <v>0</v>
      </c>
      <c r="AH25" s="851">
        <f>IF(Grünland!$X26=$AE$2,Grünland!$Y26,0)</f>
        <v>0</v>
      </c>
      <c r="AI25" s="851">
        <f>IF(Grünland!$Z26=$AE$2,Grünland!$AA26,0)</f>
        <v>0</v>
      </c>
      <c r="AJ25" s="851">
        <f>IF(Grünland!$AB26=$AE$2,Grünland!$AC26,0)</f>
        <v>0</v>
      </c>
      <c r="AK25" s="851">
        <f>IF(Grünland!$R26=$AK$2,Grünland!$S26,0)</f>
        <v>0</v>
      </c>
      <c r="AL25" s="851">
        <f>IF(Grünland!$T26=$AK$2,Grünland!$U26,0)</f>
        <v>0</v>
      </c>
      <c r="AM25" s="851">
        <f>IF(Grünland!$V26=$AK$2,Grünland!$W26,0)</f>
        <v>0</v>
      </c>
      <c r="AN25" s="851">
        <f>IF(Grünland!$X26=$AK$2,Grünland!$Y26,0)</f>
        <v>0</v>
      </c>
      <c r="AO25" s="851">
        <f>IF(Grünland!$Z26=$AK$2,Grünland!$AA26,0)</f>
        <v>0</v>
      </c>
      <c r="AP25" s="851">
        <f>IF(Grünland!$AB26=$AK$2,Grünland!$AC26,0)</f>
        <v>0</v>
      </c>
      <c r="AQ25" s="851">
        <f>IF(Grünland!$R26=$AQ$2,Grünland!$S26,0)</f>
        <v>0</v>
      </c>
      <c r="AR25" s="851">
        <f>IF(Grünland!$T26=$AQ$2,Grünland!$U26,0)</f>
        <v>0</v>
      </c>
      <c r="AS25" s="851">
        <f>IF(Grünland!$V26=$AQ$2,Grünland!$W26,0)</f>
        <v>0</v>
      </c>
      <c r="AT25" s="851">
        <f>IF(Grünland!$X26=$AQ$2,Grünland!$Y26,0)</f>
        <v>0</v>
      </c>
      <c r="AU25" s="851">
        <f>IF(Grünland!$Z26=$AQ$2,Grünland!$AA26,0)</f>
        <v>0</v>
      </c>
      <c r="AV25" s="851">
        <f>IF(Grünland!$AB26=$AQ$2,Grünland!$AC26,0)</f>
        <v>0</v>
      </c>
      <c r="AW25" s="851">
        <f>IF(Grünland!$R26=$AW$2,Grünland!$S26,0)</f>
        <v>0</v>
      </c>
      <c r="AX25" s="851">
        <f>IF(Grünland!$T26=$AW$2,Grünland!$U26,0)</f>
        <v>0</v>
      </c>
      <c r="AY25" s="851">
        <f>IF(Grünland!$V26=$AW$2,Grünland!$W26,0)</f>
        <v>0</v>
      </c>
      <c r="AZ25" s="851">
        <f>IF(Grünland!$X26=$AW$2,Grünland!$Y26,0)</f>
        <v>0</v>
      </c>
      <c r="BA25" s="851">
        <f>IF(Grünland!$Z26=$AW$2,Grünland!$AA26,0)</f>
        <v>0</v>
      </c>
      <c r="BB25" s="851">
        <f>IF(Grünland!$AB26=$AW$2,Grünland!$AC26,0)</f>
        <v>0</v>
      </c>
      <c r="BC25" s="851">
        <f>IF(Grünland!$R26=$BC$2,Grünland!$S26,0)</f>
        <v>0</v>
      </c>
      <c r="BD25" s="851">
        <f>IF(Grünland!$T26=$BC$2,Grünland!$U26,0)</f>
        <v>0</v>
      </c>
      <c r="BE25" s="851">
        <f>IF(Grünland!$V26=$BC$2,Grünland!$W26,0)</f>
        <v>0</v>
      </c>
      <c r="BF25" s="851">
        <f>IF(Grünland!$X26=$BC$2,Grünland!$Y26,0)</f>
        <v>0</v>
      </c>
      <c r="BG25" s="851">
        <f>IF(Grünland!$Z26=$BC$2,Grünland!$AA26,0)</f>
        <v>0</v>
      </c>
      <c r="BH25" s="851">
        <f>IF(Grünland!$AB26=$BC$2,Grünland!$AC26,0)</f>
        <v>0</v>
      </c>
      <c r="BI25" s="851">
        <f>IF(Grünland!$R26=$BI$2,Grünland!$S26,0)</f>
        <v>0</v>
      </c>
      <c r="BJ25" s="851">
        <f>IF(Grünland!$T26=$BI$2,Grünland!$U26,0)</f>
        <v>0</v>
      </c>
      <c r="BK25" s="851">
        <f>IF(Grünland!$V26=$BI$2,Grünland!$W26,0)</f>
        <v>0</v>
      </c>
      <c r="BL25" s="851">
        <f>IF(Grünland!$X26=$BI$2,Grünland!$Y26,0)</f>
        <v>0</v>
      </c>
      <c r="BM25" s="851">
        <f>IF(Grünland!$Z26=$BI$2,Grünland!$AA26,0)</f>
        <v>0</v>
      </c>
      <c r="BN25" s="851">
        <f>IF(Grünland!$AB26=$BI$2,Grünland!$AC26,0)</f>
        <v>0</v>
      </c>
      <c r="BO25" s="851">
        <f>IF(Grünland!$R26=$BO$2,Grünland!$S26,0)</f>
        <v>0</v>
      </c>
      <c r="BP25" s="851">
        <f>IF(Grünland!$T26=$BO$2,Grünland!$U26,0)</f>
        <v>0</v>
      </c>
      <c r="BQ25" s="851">
        <f>IF(Grünland!$V26=$BO$2,Grünland!$W26,0)</f>
        <v>0</v>
      </c>
      <c r="BR25" s="851">
        <f>IF(Grünland!$X26=$BO$2,Grünland!$Y26,0)</f>
        <v>0</v>
      </c>
      <c r="BS25" s="851">
        <f>IF(Grünland!$Z26=$BO$2,Grünland!$AA26,0)</f>
        <v>0</v>
      </c>
      <c r="BT25" s="851">
        <f>IF(Grünland!$AB26=$BO$2,Grünland!$AC26,0)</f>
        <v>0</v>
      </c>
      <c r="BU25" s="851">
        <f>IF(Grünland!$R26=$BU$2,Grünland!$S26,0)</f>
        <v>0</v>
      </c>
      <c r="BV25" s="851">
        <f>IF(Grünland!$T26=$BU$2,Grünland!$U26,0)</f>
        <v>0</v>
      </c>
      <c r="BW25" s="851">
        <f>IF(Grünland!$V26=$BU$2,Grünland!$W26,0)</f>
        <v>0</v>
      </c>
      <c r="BX25" s="851">
        <f>IF(Grünland!$X26=$BU$2,Grünland!$Y26,0)</f>
        <v>0</v>
      </c>
      <c r="BY25" s="851">
        <f>IF(Grünland!$Z26=$BU$2,Grünland!$AA26,0)</f>
        <v>0</v>
      </c>
      <c r="BZ25" s="851">
        <f>IF(Grünland!$AB26=$BU$2,Grünland!$AC26,0)</f>
        <v>0</v>
      </c>
      <c r="CA25" s="14"/>
    </row>
    <row r="26" spans="3:79" ht="15">
      <c r="E26" s="912" t="s">
        <v>949</v>
      </c>
      <c r="F26" s="934">
        <f>Grünland!D27</f>
        <v>0</v>
      </c>
      <c r="G26" s="933">
        <f>IF(Grünland!$R27=$G$2,Grünland!$S27,0)</f>
        <v>0</v>
      </c>
      <c r="H26" s="851">
        <f>IF(Grünland!$T27=$G$2,Grünland!$U27,0)</f>
        <v>0</v>
      </c>
      <c r="I26" s="851">
        <f>IF(Grünland!$V27=$G$2,Grünland!$W27,0)</f>
        <v>0</v>
      </c>
      <c r="J26" s="851">
        <f>IF(Grünland!$X27=$G$2,Grünland!$Y27,0)</f>
        <v>0</v>
      </c>
      <c r="K26" s="851">
        <f>IF(Grünland!$Z27=$G$2,Grünland!$AA27,0)</f>
        <v>0</v>
      </c>
      <c r="L26" s="851">
        <f>IF(Grünland!$AB27=$G$2,Grünland!$AC27,0)</f>
        <v>0</v>
      </c>
      <c r="M26" s="851">
        <f>IF(Grünland!$R27=$M$2,Grünland!$S27,0)</f>
        <v>0</v>
      </c>
      <c r="N26" s="851">
        <f>IF(Grünland!$T27=$M$2,Grünland!$U27,0)</f>
        <v>0</v>
      </c>
      <c r="O26" s="851">
        <f>IF(Grünland!$V27=$M$2,Grünland!$W27,0)</f>
        <v>0</v>
      </c>
      <c r="P26" s="851">
        <f>IF(Grünland!$X27=$M$2,Grünland!$Y27,0)</f>
        <v>0</v>
      </c>
      <c r="Q26" s="851">
        <f>IF(Grünland!$Z27=$M$2,Grünland!$AA27,0)</f>
        <v>0</v>
      </c>
      <c r="R26" s="851">
        <f>IF(Grünland!$AB27=$M$2,Grünland!$AC27,0)</f>
        <v>0</v>
      </c>
      <c r="S26" s="851">
        <f>IF(Grünland!$R27=$S$2,Grünland!$S27,0)</f>
        <v>0</v>
      </c>
      <c r="T26" s="851">
        <f>IF(Grünland!$T27=$S$2,Grünland!$U27,0)</f>
        <v>0</v>
      </c>
      <c r="U26" s="851">
        <f>IF(Grünland!$V27=$S$2,Grünland!$W27,0)</f>
        <v>0</v>
      </c>
      <c r="V26" s="851">
        <f>IF(Grünland!$X27=$S$2,Grünland!$Y27,0)</f>
        <v>0</v>
      </c>
      <c r="W26" s="851">
        <f>IF(Grünland!$Z27=$S$2,Grünland!$AA27,0)</f>
        <v>0</v>
      </c>
      <c r="X26" s="851">
        <f>IF(Grünland!$AB27=$S$2,Grünland!$AC27,0)</f>
        <v>0</v>
      </c>
      <c r="Y26" s="851">
        <f>IF(Grünland!$R27=$Y$2,Grünland!$S27,0)</f>
        <v>0</v>
      </c>
      <c r="Z26" s="851">
        <f>IF(Grünland!$T27=$Y$2,Grünland!$U27,0)</f>
        <v>0</v>
      </c>
      <c r="AA26" s="851">
        <f>IF(Grünland!$V27=$Y$2,Grünland!$W27,0)</f>
        <v>0</v>
      </c>
      <c r="AB26" s="851">
        <f>IF(Grünland!$X27=$Y$2,Grünland!$Y27,0)</f>
        <v>0</v>
      </c>
      <c r="AC26" s="851">
        <f>IF(Grünland!$Z27=$Y$2,Grünland!$AA27,0)</f>
        <v>0</v>
      </c>
      <c r="AD26" s="851">
        <f>IF(Grünland!$AB27=$Y$2,Grünland!$AC27,0)</f>
        <v>0</v>
      </c>
      <c r="AE26" s="851">
        <f>IF(Grünland!$R27=$AE$2,Grünland!$S27,0)</f>
        <v>0</v>
      </c>
      <c r="AF26" s="851">
        <f>IF(Grünland!$T27=$AE$2,Grünland!$U27,0)</f>
        <v>0</v>
      </c>
      <c r="AG26" s="851">
        <f>IF(Grünland!$V27=$AE$2,Grünland!$W27,0)</f>
        <v>0</v>
      </c>
      <c r="AH26" s="851">
        <f>IF(Grünland!$X27=$AE$2,Grünland!$Y27,0)</f>
        <v>0</v>
      </c>
      <c r="AI26" s="851">
        <f>IF(Grünland!$Z27=$AE$2,Grünland!$AA27,0)</f>
        <v>0</v>
      </c>
      <c r="AJ26" s="851">
        <f>IF(Grünland!$AB27=$AE$2,Grünland!$AC27,0)</f>
        <v>0</v>
      </c>
      <c r="AK26" s="851">
        <f>IF(Grünland!$R27=$AK$2,Grünland!$S27,0)</f>
        <v>0</v>
      </c>
      <c r="AL26" s="851">
        <f>IF(Grünland!$T27=$AK$2,Grünland!$U27,0)</f>
        <v>0</v>
      </c>
      <c r="AM26" s="851">
        <f>IF(Grünland!$V27=$AK$2,Grünland!$W27,0)</f>
        <v>0</v>
      </c>
      <c r="AN26" s="851">
        <f>IF(Grünland!$X27=$AK$2,Grünland!$Y27,0)</f>
        <v>0</v>
      </c>
      <c r="AO26" s="851">
        <f>IF(Grünland!$Z27=$AK$2,Grünland!$AA27,0)</f>
        <v>0</v>
      </c>
      <c r="AP26" s="851">
        <f>IF(Grünland!$AB27=$AK$2,Grünland!$AC27,0)</f>
        <v>0</v>
      </c>
      <c r="AQ26" s="851">
        <f>IF(Grünland!$R27=$AQ$2,Grünland!$S27,0)</f>
        <v>0</v>
      </c>
      <c r="AR26" s="851">
        <f>IF(Grünland!$T27=$AQ$2,Grünland!$U27,0)</f>
        <v>0</v>
      </c>
      <c r="AS26" s="851">
        <f>IF(Grünland!$V27=$AQ$2,Grünland!$W27,0)</f>
        <v>0</v>
      </c>
      <c r="AT26" s="851">
        <f>IF(Grünland!$X27=$AQ$2,Grünland!$Y27,0)</f>
        <v>0</v>
      </c>
      <c r="AU26" s="851">
        <f>IF(Grünland!$Z27=$AQ$2,Grünland!$AA27,0)</f>
        <v>0</v>
      </c>
      <c r="AV26" s="851">
        <f>IF(Grünland!$AB27=$AQ$2,Grünland!$AC27,0)</f>
        <v>0</v>
      </c>
      <c r="AW26" s="851">
        <f>IF(Grünland!$R27=$AW$2,Grünland!$S27,0)</f>
        <v>0</v>
      </c>
      <c r="AX26" s="851">
        <f>IF(Grünland!$T27=$AW$2,Grünland!$U27,0)</f>
        <v>0</v>
      </c>
      <c r="AY26" s="851">
        <f>IF(Grünland!$V27=$AW$2,Grünland!$W27,0)</f>
        <v>0</v>
      </c>
      <c r="AZ26" s="851">
        <f>IF(Grünland!$X27=$AW$2,Grünland!$Y27,0)</f>
        <v>0</v>
      </c>
      <c r="BA26" s="851">
        <f>IF(Grünland!$Z27=$AW$2,Grünland!$AA27,0)</f>
        <v>0</v>
      </c>
      <c r="BB26" s="851">
        <f>IF(Grünland!$AB27=$AW$2,Grünland!$AC27,0)</f>
        <v>0</v>
      </c>
      <c r="BC26" s="851">
        <f>IF(Grünland!$R27=$BC$2,Grünland!$S27,0)</f>
        <v>0</v>
      </c>
      <c r="BD26" s="851">
        <f>IF(Grünland!$T27=$BC$2,Grünland!$U27,0)</f>
        <v>0</v>
      </c>
      <c r="BE26" s="851">
        <f>IF(Grünland!$V27=$BC$2,Grünland!$W27,0)</f>
        <v>0</v>
      </c>
      <c r="BF26" s="851">
        <f>IF(Grünland!$X27=$BC$2,Grünland!$Y27,0)</f>
        <v>0</v>
      </c>
      <c r="BG26" s="851">
        <f>IF(Grünland!$Z27=$BC$2,Grünland!$AA27,0)</f>
        <v>0</v>
      </c>
      <c r="BH26" s="851">
        <f>IF(Grünland!$AB27=$BC$2,Grünland!$AC27,0)</f>
        <v>0</v>
      </c>
      <c r="BI26" s="851">
        <f>IF(Grünland!$R27=$BI$2,Grünland!$S27,0)</f>
        <v>0</v>
      </c>
      <c r="BJ26" s="851">
        <f>IF(Grünland!$T27=$BI$2,Grünland!$U27,0)</f>
        <v>0</v>
      </c>
      <c r="BK26" s="851">
        <f>IF(Grünland!$V27=$BI$2,Grünland!$W27,0)</f>
        <v>0</v>
      </c>
      <c r="BL26" s="851">
        <f>IF(Grünland!$X27=$BI$2,Grünland!$Y27,0)</f>
        <v>0</v>
      </c>
      <c r="BM26" s="851">
        <f>IF(Grünland!$Z27=$BI$2,Grünland!$AA27,0)</f>
        <v>0</v>
      </c>
      <c r="BN26" s="851">
        <f>IF(Grünland!$AB27=$BI$2,Grünland!$AC27,0)</f>
        <v>0</v>
      </c>
      <c r="BO26" s="851">
        <f>IF(Grünland!$R27=$BO$2,Grünland!$S27,0)</f>
        <v>0</v>
      </c>
      <c r="BP26" s="851">
        <f>IF(Grünland!$T27=$BO$2,Grünland!$U27,0)</f>
        <v>0</v>
      </c>
      <c r="BQ26" s="851">
        <f>IF(Grünland!$V27=$BO$2,Grünland!$W27,0)</f>
        <v>0</v>
      </c>
      <c r="BR26" s="851">
        <f>IF(Grünland!$X27=$BO$2,Grünland!$Y27,0)</f>
        <v>0</v>
      </c>
      <c r="BS26" s="851">
        <f>IF(Grünland!$Z27=$BO$2,Grünland!$AA27,0)</f>
        <v>0</v>
      </c>
      <c r="BT26" s="851">
        <f>IF(Grünland!$AB27=$BO$2,Grünland!$AC27,0)</f>
        <v>0</v>
      </c>
      <c r="BU26" s="851">
        <f>IF(Grünland!$R27=$BU$2,Grünland!$S27,0)</f>
        <v>0</v>
      </c>
      <c r="BV26" s="851">
        <f>IF(Grünland!$T27=$BU$2,Grünland!$U27,0)</f>
        <v>0</v>
      </c>
      <c r="BW26" s="851">
        <f>IF(Grünland!$V27=$BU$2,Grünland!$W27,0)</f>
        <v>0</v>
      </c>
      <c r="BX26" s="851">
        <f>IF(Grünland!$X27=$BU$2,Grünland!$Y27,0)</f>
        <v>0</v>
      </c>
      <c r="BY26" s="851">
        <f>IF(Grünland!$Z27=$BU$2,Grünland!$AA27,0)</f>
        <v>0</v>
      </c>
      <c r="BZ26" s="851">
        <f>IF(Grünland!$AB27=$BU$2,Grünland!$AC27,0)</f>
        <v>0</v>
      </c>
      <c r="CA26" s="14"/>
    </row>
    <row r="27" spans="3:79" ht="15">
      <c r="E27" s="912" t="s">
        <v>950</v>
      </c>
      <c r="F27" s="934">
        <f>Grünland!D28</f>
        <v>0</v>
      </c>
      <c r="G27" s="933">
        <f>IF(Grünland!$R28=$G$2,Grünland!$S28,0)</f>
        <v>0</v>
      </c>
      <c r="H27" s="851">
        <f>IF(Grünland!$T28=$G$2,Grünland!$U28,0)</f>
        <v>0</v>
      </c>
      <c r="I27" s="851">
        <f>IF(Grünland!$V28=$G$2,Grünland!$W28,0)</f>
        <v>0</v>
      </c>
      <c r="J27" s="851">
        <f>IF(Grünland!$X28=$G$2,Grünland!$Y28,0)</f>
        <v>0</v>
      </c>
      <c r="K27" s="851">
        <f>IF(Grünland!$Z28=$G$2,Grünland!$AA28,0)</f>
        <v>0</v>
      </c>
      <c r="L27" s="851">
        <f>IF(Grünland!$AB28=$G$2,Grünland!$AC28,0)</f>
        <v>0</v>
      </c>
      <c r="M27" s="851">
        <f>IF(Grünland!$R28=$M$2,Grünland!$S28,0)</f>
        <v>0</v>
      </c>
      <c r="N27" s="851">
        <f>IF(Grünland!$T28=$M$2,Grünland!$U28,0)</f>
        <v>0</v>
      </c>
      <c r="O27" s="851">
        <f>IF(Grünland!$V28=$M$2,Grünland!$W28,0)</f>
        <v>0</v>
      </c>
      <c r="P27" s="851">
        <f>IF(Grünland!$X28=$M$2,Grünland!$Y28,0)</f>
        <v>0</v>
      </c>
      <c r="Q27" s="851">
        <f>IF(Grünland!$Z28=$M$2,Grünland!$AA28,0)</f>
        <v>0</v>
      </c>
      <c r="R27" s="851">
        <f>IF(Grünland!$AB28=$M$2,Grünland!$AC28,0)</f>
        <v>0</v>
      </c>
      <c r="S27" s="851">
        <f>IF(Grünland!$R28=$S$2,Grünland!$S28,0)</f>
        <v>0</v>
      </c>
      <c r="T27" s="851">
        <f>IF(Grünland!$T28=$S$2,Grünland!$U28,0)</f>
        <v>0</v>
      </c>
      <c r="U27" s="851">
        <f>IF(Grünland!$V28=$S$2,Grünland!$W28,0)</f>
        <v>0</v>
      </c>
      <c r="V27" s="851">
        <f>IF(Grünland!$X28=$S$2,Grünland!$Y28,0)</f>
        <v>0</v>
      </c>
      <c r="W27" s="851">
        <f>IF(Grünland!$Z28=$S$2,Grünland!$AA28,0)</f>
        <v>0</v>
      </c>
      <c r="X27" s="851">
        <f>IF(Grünland!$AB28=$S$2,Grünland!$AC28,0)</f>
        <v>0</v>
      </c>
      <c r="Y27" s="851">
        <f>IF(Grünland!$R28=$Y$2,Grünland!$S28,0)</f>
        <v>0</v>
      </c>
      <c r="Z27" s="851">
        <f>IF(Grünland!$T28=$Y$2,Grünland!$U28,0)</f>
        <v>0</v>
      </c>
      <c r="AA27" s="851">
        <f>IF(Grünland!$V28=$Y$2,Grünland!$W28,0)</f>
        <v>0</v>
      </c>
      <c r="AB27" s="851">
        <f>IF(Grünland!$X28=$Y$2,Grünland!$Y28,0)</f>
        <v>0</v>
      </c>
      <c r="AC27" s="851">
        <f>IF(Grünland!$Z28=$Y$2,Grünland!$AA28,0)</f>
        <v>0</v>
      </c>
      <c r="AD27" s="851">
        <f>IF(Grünland!$AB28=$Y$2,Grünland!$AC28,0)</f>
        <v>0</v>
      </c>
      <c r="AE27" s="851">
        <f>IF(Grünland!$R28=$AE$2,Grünland!$S28,0)</f>
        <v>0</v>
      </c>
      <c r="AF27" s="851">
        <f>IF(Grünland!$T28=$AE$2,Grünland!$U28,0)</f>
        <v>0</v>
      </c>
      <c r="AG27" s="851">
        <f>IF(Grünland!$V28=$AE$2,Grünland!$W28,0)</f>
        <v>0</v>
      </c>
      <c r="AH27" s="851">
        <f>IF(Grünland!$X28=$AE$2,Grünland!$Y28,0)</f>
        <v>0</v>
      </c>
      <c r="AI27" s="851">
        <f>IF(Grünland!$Z28=$AE$2,Grünland!$AA28,0)</f>
        <v>0</v>
      </c>
      <c r="AJ27" s="851">
        <f>IF(Grünland!$AB28=$AE$2,Grünland!$AC28,0)</f>
        <v>0</v>
      </c>
      <c r="AK27" s="851">
        <f>IF(Grünland!$R28=$AK$2,Grünland!$S28,0)</f>
        <v>0</v>
      </c>
      <c r="AL27" s="851">
        <f>IF(Grünland!$T28=$AK$2,Grünland!$U28,0)</f>
        <v>0</v>
      </c>
      <c r="AM27" s="851">
        <f>IF(Grünland!$V28=$AK$2,Grünland!$W28,0)</f>
        <v>0</v>
      </c>
      <c r="AN27" s="851">
        <f>IF(Grünland!$X28=$AK$2,Grünland!$Y28,0)</f>
        <v>0</v>
      </c>
      <c r="AO27" s="851">
        <f>IF(Grünland!$Z28=$AK$2,Grünland!$AA28,0)</f>
        <v>0</v>
      </c>
      <c r="AP27" s="851">
        <f>IF(Grünland!$AB28=$AK$2,Grünland!$AC28,0)</f>
        <v>0</v>
      </c>
      <c r="AQ27" s="851">
        <f>IF(Grünland!$R28=$AQ$2,Grünland!$S28,0)</f>
        <v>0</v>
      </c>
      <c r="AR27" s="851">
        <f>IF(Grünland!$T28=$AQ$2,Grünland!$U28,0)</f>
        <v>0</v>
      </c>
      <c r="AS27" s="851">
        <f>IF(Grünland!$V28=$AQ$2,Grünland!$W28,0)</f>
        <v>0</v>
      </c>
      <c r="AT27" s="851">
        <f>IF(Grünland!$X28=$AQ$2,Grünland!$Y28,0)</f>
        <v>0</v>
      </c>
      <c r="AU27" s="851">
        <f>IF(Grünland!$Z28=$AQ$2,Grünland!$AA28,0)</f>
        <v>0</v>
      </c>
      <c r="AV27" s="851">
        <f>IF(Grünland!$AB28=$AQ$2,Grünland!$AC28,0)</f>
        <v>0</v>
      </c>
      <c r="AW27" s="851">
        <f>IF(Grünland!$R28=$AW$2,Grünland!$S28,0)</f>
        <v>0</v>
      </c>
      <c r="AX27" s="851">
        <f>IF(Grünland!$T28=$AW$2,Grünland!$U28,0)</f>
        <v>0</v>
      </c>
      <c r="AY27" s="851">
        <f>IF(Grünland!$V28=$AW$2,Grünland!$W28,0)</f>
        <v>0</v>
      </c>
      <c r="AZ27" s="851">
        <f>IF(Grünland!$X28=$AW$2,Grünland!$Y28,0)</f>
        <v>0</v>
      </c>
      <c r="BA27" s="851">
        <f>IF(Grünland!$Z28=$AW$2,Grünland!$AA28,0)</f>
        <v>0</v>
      </c>
      <c r="BB27" s="851">
        <f>IF(Grünland!$AB28=$AW$2,Grünland!$AC28,0)</f>
        <v>0</v>
      </c>
      <c r="BC27" s="851">
        <f>IF(Grünland!$R28=$BC$2,Grünland!$S28,0)</f>
        <v>0</v>
      </c>
      <c r="BD27" s="851">
        <f>IF(Grünland!$T28=$BC$2,Grünland!$U28,0)</f>
        <v>0</v>
      </c>
      <c r="BE27" s="851">
        <f>IF(Grünland!$V28=$BC$2,Grünland!$W28,0)</f>
        <v>0</v>
      </c>
      <c r="BF27" s="851">
        <f>IF(Grünland!$X28=$BC$2,Grünland!$Y28,0)</f>
        <v>0</v>
      </c>
      <c r="BG27" s="851">
        <f>IF(Grünland!$Z28=$BC$2,Grünland!$AA28,0)</f>
        <v>0</v>
      </c>
      <c r="BH27" s="851">
        <f>IF(Grünland!$AB28=$BC$2,Grünland!$AC28,0)</f>
        <v>0</v>
      </c>
      <c r="BI27" s="851">
        <f>IF(Grünland!$R28=$BI$2,Grünland!$S28,0)</f>
        <v>0</v>
      </c>
      <c r="BJ27" s="851">
        <f>IF(Grünland!$T28=$BI$2,Grünland!$U28,0)</f>
        <v>0</v>
      </c>
      <c r="BK27" s="851">
        <f>IF(Grünland!$V28=$BI$2,Grünland!$W28,0)</f>
        <v>0</v>
      </c>
      <c r="BL27" s="851">
        <f>IF(Grünland!$X28=$BI$2,Grünland!$Y28,0)</f>
        <v>0</v>
      </c>
      <c r="BM27" s="851">
        <f>IF(Grünland!$Z28=$BI$2,Grünland!$AA28,0)</f>
        <v>0</v>
      </c>
      <c r="BN27" s="851">
        <f>IF(Grünland!$AB28=$BI$2,Grünland!$AC28,0)</f>
        <v>0</v>
      </c>
      <c r="BO27" s="851">
        <f>IF(Grünland!$R28=$BO$2,Grünland!$S28,0)</f>
        <v>0</v>
      </c>
      <c r="BP27" s="851">
        <f>IF(Grünland!$T28=$BO$2,Grünland!$U28,0)</f>
        <v>0</v>
      </c>
      <c r="BQ27" s="851">
        <f>IF(Grünland!$V28=$BO$2,Grünland!$W28,0)</f>
        <v>0</v>
      </c>
      <c r="BR27" s="851">
        <f>IF(Grünland!$X28=$BO$2,Grünland!$Y28,0)</f>
        <v>0</v>
      </c>
      <c r="BS27" s="851">
        <f>IF(Grünland!$Z28=$BO$2,Grünland!$AA28,0)</f>
        <v>0</v>
      </c>
      <c r="BT27" s="851">
        <f>IF(Grünland!$AB28=$BO$2,Grünland!$AC28,0)</f>
        <v>0</v>
      </c>
      <c r="BU27" s="851">
        <f>IF(Grünland!$R28=$BU$2,Grünland!$S28,0)</f>
        <v>0</v>
      </c>
      <c r="BV27" s="851">
        <f>IF(Grünland!$T28=$BU$2,Grünland!$U28,0)</f>
        <v>0</v>
      </c>
      <c r="BW27" s="851">
        <f>IF(Grünland!$V28=$BU$2,Grünland!$W28,0)</f>
        <v>0</v>
      </c>
      <c r="BX27" s="851">
        <f>IF(Grünland!$X28=$BU$2,Grünland!$Y28,0)</f>
        <v>0</v>
      </c>
      <c r="BY27" s="851">
        <f>IF(Grünland!$Z28=$BU$2,Grünland!$AA28,0)</f>
        <v>0</v>
      </c>
      <c r="BZ27" s="851">
        <f>IF(Grünland!$AB28=$BU$2,Grünland!$AC28,0)</f>
        <v>0</v>
      </c>
      <c r="CA27" s="14"/>
    </row>
    <row r="28" spans="3:79" ht="15">
      <c r="E28" s="912" t="s">
        <v>951</v>
      </c>
      <c r="F28" s="934">
        <f>Grünland!D29</f>
        <v>0</v>
      </c>
      <c r="G28" s="933">
        <f>IF(Grünland!$R29=$G$2,Grünland!$S29,0)</f>
        <v>0</v>
      </c>
      <c r="H28" s="851">
        <f>IF(Grünland!$T29=$G$2,Grünland!$U29,0)</f>
        <v>0</v>
      </c>
      <c r="I28" s="851">
        <f>IF(Grünland!$V29=$G$2,Grünland!$W29,0)</f>
        <v>0</v>
      </c>
      <c r="J28" s="851">
        <f>IF(Grünland!$X29=$G$2,Grünland!$Y29,0)</f>
        <v>0</v>
      </c>
      <c r="K28" s="851">
        <f>IF(Grünland!$Z29=$G$2,Grünland!$AA29,0)</f>
        <v>0</v>
      </c>
      <c r="L28" s="851">
        <f>IF(Grünland!$AB29=$G$2,Grünland!$AC29,0)</f>
        <v>0</v>
      </c>
      <c r="M28" s="851">
        <f>IF(Grünland!$R29=$M$2,Grünland!$S29,0)</f>
        <v>0</v>
      </c>
      <c r="N28" s="851">
        <f>IF(Grünland!$T29=$M$2,Grünland!$U29,0)</f>
        <v>0</v>
      </c>
      <c r="O28" s="851">
        <f>IF(Grünland!$V29=$M$2,Grünland!$W29,0)</f>
        <v>0</v>
      </c>
      <c r="P28" s="851">
        <f>IF(Grünland!$X29=$M$2,Grünland!$Y29,0)</f>
        <v>0</v>
      </c>
      <c r="Q28" s="851">
        <f>IF(Grünland!$Z29=$M$2,Grünland!$AA29,0)</f>
        <v>0</v>
      </c>
      <c r="R28" s="851">
        <f>IF(Grünland!$AB29=$M$2,Grünland!$AC29,0)</f>
        <v>0</v>
      </c>
      <c r="S28" s="851">
        <f>IF(Grünland!$R29=$S$2,Grünland!$S29,0)</f>
        <v>0</v>
      </c>
      <c r="T28" s="851">
        <f>IF(Grünland!$T29=$S$2,Grünland!$U29,0)</f>
        <v>0</v>
      </c>
      <c r="U28" s="851">
        <f>IF(Grünland!$V29=$S$2,Grünland!$W29,0)</f>
        <v>0</v>
      </c>
      <c r="V28" s="851">
        <f>IF(Grünland!$X29=$S$2,Grünland!$Y29,0)</f>
        <v>0</v>
      </c>
      <c r="W28" s="851">
        <f>IF(Grünland!$Z29=$S$2,Grünland!$AA29,0)</f>
        <v>0</v>
      </c>
      <c r="X28" s="851">
        <f>IF(Grünland!$AB29=$S$2,Grünland!$AC29,0)</f>
        <v>0</v>
      </c>
      <c r="Y28" s="851">
        <f>IF(Grünland!$R29=$Y$2,Grünland!$S29,0)</f>
        <v>0</v>
      </c>
      <c r="Z28" s="851">
        <f>IF(Grünland!$T29=$Y$2,Grünland!$U29,0)</f>
        <v>0</v>
      </c>
      <c r="AA28" s="851">
        <f>IF(Grünland!$V29=$Y$2,Grünland!$W29,0)</f>
        <v>0</v>
      </c>
      <c r="AB28" s="851">
        <f>IF(Grünland!$X29=$Y$2,Grünland!$Y29,0)</f>
        <v>0</v>
      </c>
      <c r="AC28" s="851">
        <f>IF(Grünland!$Z29=$Y$2,Grünland!$AA29,0)</f>
        <v>0</v>
      </c>
      <c r="AD28" s="851">
        <f>IF(Grünland!$AB29=$Y$2,Grünland!$AC29,0)</f>
        <v>0</v>
      </c>
      <c r="AE28" s="851">
        <f>IF(Grünland!$R29=$AE$2,Grünland!$S29,0)</f>
        <v>0</v>
      </c>
      <c r="AF28" s="851">
        <f>IF(Grünland!$T29=$AE$2,Grünland!$U29,0)</f>
        <v>0</v>
      </c>
      <c r="AG28" s="851">
        <f>IF(Grünland!$V29=$AE$2,Grünland!$W29,0)</f>
        <v>0</v>
      </c>
      <c r="AH28" s="851">
        <f>IF(Grünland!$X29=$AE$2,Grünland!$Y29,0)</f>
        <v>0</v>
      </c>
      <c r="AI28" s="851">
        <f>IF(Grünland!$Z29=$AE$2,Grünland!$AA29,0)</f>
        <v>0</v>
      </c>
      <c r="AJ28" s="851">
        <f>IF(Grünland!$AB29=$AE$2,Grünland!$AC29,0)</f>
        <v>0</v>
      </c>
      <c r="AK28" s="851">
        <f>IF(Grünland!$R29=$AK$2,Grünland!$S29,0)</f>
        <v>0</v>
      </c>
      <c r="AL28" s="851">
        <f>IF(Grünland!$T29=$AK$2,Grünland!$U29,0)</f>
        <v>0</v>
      </c>
      <c r="AM28" s="851">
        <f>IF(Grünland!$V29=$AK$2,Grünland!$W29,0)</f>
        <v>0</v>
      </c>
      <c r="AN28" s="851">
        <f>IF(Grünland!$X29=$AK$2,Grünland!$Y29,0)</f>
        <v>0</v>
      </c>
      <c r="AO28" s="851">
        <f>IF(Grünland!$Z29=$AK$2,Grünland!$AA29,0)</f>
        <v>0</v>
      </c>
      <c r="AP28" s="851">
        <f>IF(Grünland!$AB29=$AK$2,Grünland!$AC29,0)</f>
        <v>0</v>
      </c>
      <c r="AQ28" s="851">
        <f>IF(Grünland!$R29=$AQ$2,Grünland!$S29,0)</f>
        <v>0</v>
      </c>
      <c r="AR28" s="851">
        <f>IF(Grünland!$T29=$AQ$2,Grünland!$U29,0)</f>
        <v>0</v>
      </c>
      <c r="AS28" s="851">
        <f>IF(Grünland!$V29=$AQ$2,Grünland!$W29,0)</f>
        <v>0</v>
      </c>
      <c r="AT28" s="851">
        <f>IF(Grünland!$X29=$AQ$2,Grünland!$Y29,0)</f>
        <v>0</v>
      </c>
      <c r="AU28" s="851">
        <f>IF(Grünland!$Z29=$AQ$2,Grünland!$AA29,0)</f>
        <v>0</v>
      </c>
      <c r="AV28" s="851">
        <f>IF(Grünland!$AB29=$AQ$2,Grünland!$AC29,0)</f>
        <v>0</v>
      </c>
      <c r="AW28" s="851">
        <f>IF(Grünland!$R29=$AW$2,Grünland!$S29,0)</f>
        <v>0</v>
      </c>
      <c r="AX28" s="851">
        <f>IF(Grünland!$T29=$AW$2,Grünland!$U29,0)</f>
        <v>0</v>
      </c>
      <c r="AY28" s="851">
        <f>IF(Grünland!$V29=$AW$2,Grünland!$W29,0)</f>
        <v>0</v>
      </c>
      <c r="AZ28" s="851">
        <f>IF(Grünland!$X29=$AW$2,Grünland!$Y29,0)</f>
        <v>0</v>
      </c>
      <c r="BA28" s="851">
        <f>IF(Grünland!$Z29=$AW$2,Grünland!$AA29,0)</f>
        <v>0</v>
      </c>
      <c r="BB28" s="851">
        <f>IF(Grünland!$AB29=$AW$2,Grünland!$AC29,0)</f>
        <v>0</v>
      </c>
      <c r="BC28" s="851">
        <f>IF(Grünland!$R29=$BC$2,Grünland!$S29,0)</f>
        <v>0</v>
      </c>
      <c r="BD28" s="851">
        <f>IF(Grünland!$T29=$BC$2,Grünland!$U29,0)</f>
        <v>0</v>
      </c>
      <c r="BE28" s="851">
        <f>IF(Grünland!$V29=$BC$2,Grünland!$W29,0)</f>
        <v>0</v>
      </c>
      <c r="BF28" s="851">
        <f>IF(Grünland!$X29=$BC$2,Grünland!$Y29,0)</f>
        <v>0</v>
      </c>
      <c r="BG28" s="851">
        <f>IF(Grünland!$Z29=$BC$2,Grünland!$AA29,0)</f>
        <v>0</v>
      </c>
      <c r="BH28" s="851">
        <f>IF(Grünland!$AB29=$BC$2,Grünland!$AC29,0)</f>
        <v>0</v>
      </c>
      <c r="BI28" s="851">
        <f>IF(Grünland!$R29=$BI$2,Grünland!$S29,0)</f>
        <v>0</v>
      </c>
      <c r="BJ28" s="851">
        <f>IF(Grünland!$T29=$BI$2,Grünland!$U29,0)</f>
        <v>0</v>
      </c>
      <c r="BK28" s="851">
        <f>IF(Grünland!$V29=$BI$2,Grünland!$W29,0)</f>
        <v>0</v>
      </c>
      <c r="BL28" s="851">
        <f>IF(Grünland!$X29=$BI$2,Grünland!$Y29,0)</f>
        <v>0</v>
      </c>
      <c r="BM28" s="851">
        <f>IF(Grünland!$Z29=$BI$2,Grünland!$AA29,0)</f>
        <v>0</v>
      </c>
      <c r="BN28" s="851">
        <f>IF(Grünland!$AB29=$BI$2,Grünland!$AC29,0)</f>
        <v>0</v>
      </c>
      <c r="BO28" s="851">
        <f>IF(Grünland!$R29=$BO$2,Grünland!$S29,0)</f>
        <v>0</v>
      </c>
      <c r="BP28" s="851">
        <f>IF(Grünland!$T29=$BO$2,Grünland!$U29,0)</f>
        <v>0</v>
      </c>
      <c r="BQ28" s="851">
        <f>IF(Grünland!$V29=$BO$2,Grünland!$W29,0)</f>
        <v>0</v>
      </c>
      <c r="BR28" s="851">
        <f>IF(Grünland!$X29=$BO$2,Grünland!$Y29,0)</f>
        <v>0</v>
      </c>
      <c r="BS28" s="851">
        <f>IF(Grünland!$Z29=$BO$2,Grünland!$AA29,0)</f>
        <v>0</v>
      </c>
      <c r="BT28" s="851">
        <f>IF(Grünland!$AB29=$BO$2,Grünland!$AC29,0)</f>
        <v>0</v>
      </c>
      <c r="BU28" s="851">
        <f>IF(Grünland!$R29=$BU$2,Grünland!$S29,0)</f>
        <v>0</v>
      </c>
      <c r="BV28" s="851">
        <f>IF(Grünland!$T29=$BU$2,Grünland!$U29,0)</f>
        <v>0</v>
      </c>
      <c r="BW28" s="851">
        <f>IF(Grünland!$V29=$BU$2,Grünland!$W29,0)</f>
        <v>0</v>
      </c>
      <c r="BX28" s="851">
        <f>IF(Grünland!$X29=$BU$2,Grünland!$Y29,0)</f>
        <v>0</v>
      </c>
      <c r="BY28" s="851">
        <f>IF(Grünland!$Z29=$BU$2,Grünland!$AA29,0)</f>
        <v>0</v>
      </c>
      <c r="BZ28" s="851">
        <f>IF(Grünland!$AB29=$BU$2,Grünland!$AC29,0)</f>
        <v>0</v>
      </c>
      <c r="CA28" s="14"/>
    </row>
    <row r="29" spans="3:79" ht="15">
      <c r="E29" s="912" t="s">
        <v>952</v>
      </c>
      <c r="F29" s="934">
        <f>Grünland!D30</f>
        <v>0</v>
      </c>
      <c r="G29" s="933">
        <f>IF(Grünland!$R30=$G$2,Grünland!$S30,0)</f>
        <v>0</v>
      </c>
      <c r="H29" s="851">
        <f>IF(Grünland!$T30=$G$2,Grünland!$U30,0)</f>
        <v>0</v>
      </c>
      <c r="I29" s="851">
        <f>IF(Grünland!$V30=$G$2,Grünland!$W30,0)</f>
        <v>0</v>
      </c>
      <c r="J29" s="851">
        <f>IF(Grünland!$X30=$G$2,Grünland!$Y30,0)</f>
        <v>0</v>
      </c>
      <c r="K29" s="851">
        <f>IF(Grünland!$Z30=$G$2,Grünland!$AA30,0)</f>
        <v>0</v>
      </c>
      <c r="L29" s="851">
        <f>IF(Grünland!$AB30=$G$2,Grünland!$AC30,0)</f>
        <v>0</v>
      </c>
      <c r="M29" s="851">
        <f>IF(Grünland!$R30=$M$2,Grünland!$S30,0)</f>
        <v>0</v>
      </c>
      <c r="N29" s="851">
        <f>IF(Grünland!$T30=$M$2,Grünland!$U30,0)</f>
        <v>0</v>
      </c>
      <c r="O29" s="851">
        <f>IF(Grünland!$V30=$M$2,Grünland!$W30,0)</f>
        <v>0</v>
      </c>
      <c r="P29" s="851">
        <f>IF(Grünland!$X30=$M$2,Grünland!$Y30,0)</f>
        <v>0</v>
      </c>
      <c r="Q29" s="851">
        <f>IF(Grünland!$Z30=$M$2,Grünland!$AA30,0)</f>
        <v>0</v>
      </c>
      <c r="R29" s="851">
        <f>IF(Grünland!$AB30=$M$2,Grünland!$AC30,0)</f>
        <v>0</v>
      </c>
      <c r="S29" s="851">
        <f>IF(Grünland!$R30=$S$2,Grünland!$S30,0)</f>
        <v>0</v>
      </c>
      <c r="T29" s="851">
        <f>IF(Grünland!$T30=$S$2,Grünland!$U30,0)</f>
        <v>0</v>
      </c>
      <c r="U29" s="851">
        <f>IF(Grünland!$V30=$S$2,Grünland!$W30,0)</f>
        <v>0</v>
      </c>
      <c r="V29" s="851">
        <f>IF(Grünland!$X30=$S$2,Grünland!$Y30,0)</f>
        <v>0</v>
      </c>
      <c r="W29" s="851">
        <f>IF(Grünland!$Z30=$S$2,Grünland!$AA30,0)</f>
        <v>0</v>
      </c>
      <c r="X29" s="851">
        <f>IF(Grünland!$AB30=$S$2,Grünland!$AC30,0)</f>
        <v>0</v>
      </c>
      <c r="Y29" s="851">
        <f>IF(Grünland!$R30=$Y$2,Grünland!$S30,0)</f>
        <v>0</v>
      </c>
      <c r="Z29" s="851">
        <f>IF(Grünland!$T30=$Y$2,Grünland!$U30,0)</f>
        <v>0</v>
      </c>
      <c r="AA29" s="851">
        <f>IF(Grünland!$V30=$Y$2,Grünland!$W30,0)</f>
        <v>0</v>
      </c>
      <c r="AB29" s="851">
        <f>IF(Grünland!$X30=$Y$2,Grünland!$Y30,0)</f>
        <v>0</v>
      </c>
      <c r="AC29" s="851">
        <f>IF(Grünland!$Z30=$Y$2,Grünland!$AA30,0)</f>
        <v>0</v>
      </c>
      <c r="AD29" s="851">
        <f>IF(Grünland!$AB30=$Y$2,Grünland!$AC30,0)</f>
        <v>0</v>
      </c>
      <c r="AE29" s="851">
        <f>IF(Grünland!$R30=$AE$2,Grünland!$S30,0)</f>
        <v>0</v>
      </c>
      <c r="AF29" s="851">
        <f>IF(Grünland!$T30=$AE$2,Grünland!$U30,0)</f>
        <v>0</v>
      </c>
      <c r="AG29" s="851">
        <f>IF(Grünland!$V30=$AE$2,Grünland!$W30,0)</f>
        <v>0</v>
      </c>
      <c r="AH29" s="851">
        <f>IF(Grünland!$X30=$AE$2,Grünland!$Y30,0)</f>
        <v>0</v>
      </c>
      <c r="AI29" s="851">
        <f>IF(Grünland!$Z30=$AE$2,Grünland!$AA30,0)</f>
        <v>0</v>
      </c>
      <c r="AJ29" s="851">
        <f>IF(Grünland!$AB30=$AE$2,Grünland!$AC30,0)</f>
        <v>0</v>
      </c>
      <c r="AK29" s="851">
        <f>IF(Grünland!$R30=$AK$2,Grünland!$S30,0)</f>
        <v>0</v>
      </c>
      <c r="AL29" s="851">
        <f>IF(Grünland!$T30=$AK$2,Grünland!$U30,0)</f>
        <v>0</v>
      </c>
      <c r="AM29" s="851">
        <f>IF(Grünland!$V30=$AK$2,Grünland!$W30,0)</f>
        <v>0</v>
      </c>
      <c r="AN29" s="851">
        <f>IF(Grünland!$X30=$AK$2,Grünland!$Y30,0)</f>
        <v>0</v>
      </c>
      <c r="AO29" s="851">
        <f>IF(Grünland!$Z30=$AK$2,Grünland!$AA30,0)</f>
        <v>0</v>
      </c>
      <c r="AP29" s="851">
        <f>IF(Grünland!$AB30=$AK$2,Grünland!$AC30,0)</f>
        <v>0</v>
      </c>
      <c r="AQ29" s="851">
        <f>IF(Grünland!$R30=$AQ$2,Grünland!$S30,0)</f>
        <v>0</v>
      </c>
      <c r="AR29" s="851">
        <f>IF(Grünland!$T30=$AQ$2,Grünland!$U30,0)</f>
        <v>0</v>
      </c>
      <c r="AS29" s="851">
        <f>IF(Grünland!$V30=$AQ$2,Grünland!$W30,0)</f>
        <v>0</v>
      </c>
      <c r="AT29" s="851">
        <f>IF(Grünland!$X30=$AQ$2,Grünland!$Y30,0)</f>
        <v>0</v>
      </c>
      <c r="AU29" s="851">
        <f>IF(Grünland!$Z30=$AQ$2,Grünland!$AA30,0)</f>
        <v>0</v>
      </c>
      <c r="AV29" s="851">
        <f>IF(Grünland!$AB30=$AQ$2,Grünland!$AC30,0)</f>
        <v>0</v>
      </c>
      <c r="AW29" s="851">
        <f>IF(Grünland!$R30=$AW$2,Grünland!$S30,0)</f>
        <v>0</v>
      </c>
      <c r="AX29" s="851">
        <f>IF(Grünland!$T30=$AW$2,Grünland!$U30,0)</f>
        <v>0</v>
      </c>
      <c r="AY29" s="851">
        <f>IF(Grünland!$V30=$AW$2,Grünland!$W30,0)</f>
        <v>0</v>
      </c>
      <c r="AZ29" s="851">
        <f>IF(Grünland!$X30=$AW$2,Grünland!$Y30,0)</f>
        <v>0</v>
      </c>
      <c r="BA29" s="851">
        <f>IF(Grünland!$Z30=$AW$2,Grünland!$AA30,0)</f>
        <v>0</v>
      </c>
      <c r="BB29" s="851">
        <f>IF(Grünland!$AB30=$AW$2,Grünland!$AC30,0)</f>
        <v>0</v>
      </c>
      <c r="BC29" s="851">
        <f>IF(Grünland!$R30=$BC$2,Grünland!$S30,0)</f>
        <v>0</v>
      </c>
      <c r="BD29" s="851">
        <f>IF(Grünland!$T30=$BC$2,Grünland!$U30,0)</f>
        <v>0</v>
      </c>
      <c r="BE29" s="851">
        <f>IF(Grünland!$V30=$BC$2,Grünland!$W30,0)</f>
        <v>0</v>
      </c>
      <c r="BF29" s="851">
        <f>IF(Grünland!$X30=$BC$2,Grünland!$Y30,0)</f>
        <v>0</v>
      </c>
      <c r="BG29" s="851">
        <f>IF(Grünland!$Z30=$BC$2,Grünland!$AA30,0)</f>
        <v>0</v>
      </c>
      <c r="BH29" s="851">
        <f>IF(Grünland!$AB30=$BC$2,Grünland!$AC30,0)</f>
        <v>0</v>
      </c>
      <c r="BI29" s="851">
        <f>IF(Grünland!$R30=$BI$2,Grünland!$S30,0)</f>
        <v>0</v>
      </c>
      <c r="BJ29" s="851">
        <f>IF(Grünland!$T30=$BI$2,Grünland!$U30,0)</f>
        <v>0</v>
      </c>
      <c r="BK29" s="851">
        <f>IF(Grünland!$V30=$BI$2,Grünland!$W30,0)</f>
        <v>0</v>
      </c>
      <c r="BL29" s="851">
        <f>IF(Grünland!$X30=$BI$2,Grünland!$Y30,0)</f>
        <v>0</v>
      </c>
      <c r="BM29" s="851">
        <f>IF(Grünland!$Z30=$BI$2,Grünland!$AA30,0)</f>
        <v>0</v>
      </c>
      <c r="BN29" s="851">
        <f>IF(Grünland!$AB30=$BI$2,Grünland!$AC30,0)</f>
        <v>0</v>
      </c>
      <c r="BO29" s="851">
        <f>IF(Grünland!$R30=$BO$2,Grünland!$S30,0)</f>
        <v>0</v>
      </c>
      <c r="BP29" s="851">
        <f>IF(Grünland!$T30=$BO$2,Grünland!$U30,0)</f>
        <v>0</v>
      </c>
      <c r="BQ29" s="851">
        <f>IF(Grünland!$V30=$BO$2,Grünland!$W30,0)</f>
        <v>0</v>
      </c>
      <c r="BR29" s="851">
        <f>IF(Grünland!$X30=$BO$2,Grünland!$Y30,0)</f>
        <v>0</v>
      </c>
      <c r="BS29" s="851">
        <f>IF(Grünland!$Z30=$BO$2,Grünland!$AA30,0)</f>
        <v>0</v>
      </c>
      <c r="BT29" s="851">
        <f>IF(Grünland!$AB30=$BO$2,Grünland!$AC30,0)</f>
        <v>0</v>
      </c>
      <c r="BU29" s="851">
        <f>IF(Grünland!$R30=$BU$2,Grünland!$S30,0)</f>
        <v>0</v>
      </c>
      <c r="BV29" s="851">
        <f>IF(Grünland!$T30=$BU$2,Grünland!$U30,0)</f>
        <v>0</v>
      </c>
      <c r="BW29" s="851">
        <f>IF(Grünland!$V30=$BU$2,Grünland!$W30,0)</f>
        <v>0</v>
      </c>
      <c r="BX29" s="851">
        <f>IF(Grünland!$X30=$BU$2,Grünland!$Y30,0)</f>
        <v>0</v>
      </c>
      <c r="BY29" s="851">
        <f>IF(Grünland!$Z30=$BU$2,Grünland!$AA30,0)</f>
        <v>0</v>
      </c>
      <c r="BZ29" s="851">
        <f>IF(Grünland!$AB30=$BU$2,Grünland!$AC30,0)</f>
        <v>0</v>
      </c>
      <c r="CA29" s="14"/>
    </row>
    <row r="30" spans="3:79" ht="15">
      <c r="E30" s="912" t="s">
        <v>953</v>
      </c>
      <c r="F30" s="934">
        <f>Grünland!D31</f>
        <v>0</v>
      </c>
      <c r="G30" s="933">
        <f>IF(Grünland!$R31=$G$2,Grünland!$S31,0)</f>
        <v>0</v>
      </c>
      <c r="H30" s="851">
        <f>IF(Grünland!$T31=$G$2,Grünland!$U31,0)</f>
        <v>0</v>
      </c>
      <c r="I30" s="851">
        <f>IF(Grünland!$V31=$G$2,Grünland!$W31,0)</f>
        <v>0</v>
      </c>
      <c r="J30" s="851">
        <f>IF(Grünland!$X31=$G$2,Grünland!$Y31,0)</f>
        <v>0</v>
      </c>
      <c r="K30" s="851">
        <f>IF(Grünland!$Z31=$G$2,Grünland!$AA31,0)</f>
        <v>0</v>
      </c>
      <c r="L30" s="851">
        <f>IF(Grünland!$AB31=$G$2,Grünland!$AC31,0)</f>
        <v>0</v>
      </c>
      <c r="M30" s="851">
        <f>IF(Grünland!$R31=$M$2,Grünland!$S31,0)</f>
        <v>0</v>
      </c>
      <c r="N30" s="851">
        <f>IF(Grünland!$T31=$M$2,Grünland!$U31,0)</f>
        <v>0</v>
      </c>
      <c r="O30" s="851">
        <f>IF(Grünland!$V31=$M$2,Grünland!$W31,0)</f>
        <v>0</v>
      </c>
      <c r="P30" s="851">
        <f>IF(Grünland!$X31=$M$2,Grünland!$Y31,0)</f>
        <v>0</v>
      </c>
      <c r="Q30" s="851">
        <f>IF(Grünland!$Z31=$M$2,Grünland!$AA31,0)</f>
        <v>0</v>
      </c>
      <c r="R30" s="851">
        <f>IF(Grünland!$AB31=$M$2,Grünland!$AC31,0)</f>
        <v>0</v>
      </c>
      <c r="S30" s="851">
        <f>IF(Grünland!$R31=$S$2,Grünland!$S31,0)</f>
        <v>0</v>
      </c>
      <c r="T30" s="851">
        <f>IF(Grünland!$T31=$S$2,Grünland!$U31,0)</f>
        <v>0</v>
      </c>
      <c r="U30" s="851">
        <f>IF(Grünland!$V31=$S$2,Grünland!$W31,0)</f>
        <v>0</v>
      </c>
      <c r="V30" s="851">
        <f>IF(Grünland!$X31=$S$2,Grünland!$Y31,0)</f>
        <v>0</v>
      </c>
      <c r="W30" s="851">
        <f>IF(Grünland!$Z31=$S$2,Grünland!$AA31,0)</f>
        <v>0</v>
      </c>
      <c r="X30" s="851">
        <f>IF(Grünland!$AB31=$S$2,Grünland!$AC31,0)</f>
        <v>0</v>
      </c>
      <c r="Y30" s="851">
        <f>IF(Grünland!$R31=$Y$2,Grünland!$S31,0)</f>
        <v>0</v>
      </c>
      <c r="Z30" s="851">
        <f>IF(Grünland!$T31=$Y$2,Grünland!$U31,0)</f>
        <v>0</v>
      </c>
      <c r="AA30" s="851">
        <f>IF(Grünland!$V31=$Y$2,Grünland!$W31,0)</f>
        <v>0</v>
      </c>
      <c r="AB30" s="851">
        <f>IF(Grünland!$X31=$Y$2,Grünland!$Y31,0)</f>
        <v>0</v>
      </c>
      <c r="AC30" s="851">
        <f>IF(Grünland!$Z31=$Y$2,Grünland!$AA31,0)</f>
        <v>0</v>
      </c>
      <c r="AD30" s="851">
        <f>IF(Grünland!$AB31=$Y$2,Grünland!$AC31,0)</f>
        <v>0</v>
      </c>
      <c r="AE30" s="851">
        <f>IF(Grünland!$R31=$AE$2,Grünland!$S31,0)</f>
        <v>0</v>
      </c>
      <c r="AF30" s="851">
        <f>IF(Grünland!$T31=$AE$2,Grünland!$U31,0)</f>
        <v>0</v>
      </c>
      <c r="AG30" s="851">
        <f>IF(Grünland!$V31=$AE$2,Grünland!$W31,0)</f>
        <v>0</v>
      </c>
      <c r="AH30" s="851">
        <f>IF(Grünland!$X31=$AE$2,Grünland!$Y31,0)</f>
        <v>0</v>
      </c>
      <c r="AI30" s="851">
        <f>IF(Grünland!$Z31=$AE$2,Grünland!$AA31,0)</f>
        <v>0</v>
      </c>
      <c r="AJ30" s="851">
        <f>IF(Grünland!$AB31=$AE$2,Grünland!$AC31,0)</f>
        <v>0</v>
      </c>
      <c r="AK30" s="851">
        <f>IF(Grünland!$R31=$AK$2,Grünland!$S31,0)</f>
        <v>0</v>
      </c>
      <c r="AL30" s="851">
        <f>IF(Grünland!$T31=$AK$2,Grünland!$U31,0)</f>
        <v>0</v>
      </c>
      <c r="AM30" s="851">
        <f>IF(Grünland!$V31=$AK$2,Grünland!$W31,0)</f>
        <v>0</v>
      </c>
      <c r="AN30" s="851">
        <f>IF(Grünland!$X31=$AK$2,Grünland!$Y31,0)</f>
        <v>0</v>
      </c>
      <c r="AO30" s="851">
        <f>IF(Grünland!$Z31=$AK$2,Grünland!$AA31,0)</f>
        <v>0</v>
      </c>
      <c r="AP30" s="851">
        <f>IF(Grünland!$AB31=$AK$2,Grünland!$AC31,0)</f>
        <v>0</v>
      </c>
      <c r="AQ30" s="851">
        <f>IF(Grünland!$R31=$AQ$2,Grünland!$S31,0)</f>
        <v>0</v>
      </c>
      <c r="AR30" s="851">
        <f>IF(Grünland!$T31=$AQ$2,Grünland!$U31,0)</f>
        <v>0</v>
      </c>
      <c r="AS30" s="851">
        <f>IF(Grünland!$V31=$AQ$2,Grünland!$W31,0)</f>
        <v>0</v>
      </c>
      <c r="AT30" s="851">
        <f>IF(Grünland!$X31=$AQ$2,Grünland!$Y31,0)</f>
        <v>0</v>
      </c>
      <c r="AU30" s="851">
        <f>IF(Grünland!$Z31=$AQ$2,Grünland!$AA31,0)</f>
        <v>0</v>
      </c>
      <c r="AV30" s="851">
        <f>IF(Grünland!$AB31=$AQ$2,Grünland!$AC31,0)</f>
        <v>0</v>
      </c>
      <c r="AW30" s="851">
        <f>IF(Grünland!$R31=$AW$2,Grünland!$S31,0)</f>
        <v>0</v>
      </c>
      <c r="AX30" s="851">
        <f>IF(Grünland!$T31=$AW$2,Grünland!$U31,0)</f>
        <v>0</v>
      </c>
      <c r="AY30" s="851">
        <f>IF(Grünland!$V31=$AW$2,Grünland!$W31,0)</f>
        <v>0</v>
      </c>
      <c r="AZ30" s="851">
        <f>IF(Grünland!$X31=$AW$2,Grünland!$Y31,0)</f>
        <v>0</v>
      </c>
      <c r="BA30" s="851">
        <f>IF(Grünland!$Z31=$AW$2,Grünland!$AA31,0)</f>
        <v>0</v>
      </c>
      <c r="BB30" s="851">
        <f>IF(Grünland!$AB31=$AW$2,Grünland!$AC31,0)</f>
        <v>0</v>
      </c>
      <c r="BC30" s="851">
        <f>IF(Grünland!$R31=$BC$2,Grünland!$S31,0)</f>
        <v>0</v>
      </c>
      <c r="BD30" s="851">
        <f>IF(Grünland!$T31=$BC$2,Grünland!$U31,0)</f>
        <v>0</v>
      </c>
      <c r="BE30" s="851">
        <f>IF(Grünland!$V31=$BC$2,Grünland!$W31,0)</f>
        <v>0</v>
      </c>
      <c r="BF30" s="851">
        <f>IF(Grünland!$X31=$BC$2,Grünland!$Y31,0)</f>
        <v>0</v>
      </c>
      <c r="BG30" s="851">
        <f>IF(Grünland!$Z31=$BC$2,Grünland!$AA31,0)</f>
        <v>0</v>
      </c>
      <c r="BH30" s="851">
        <f>IF(Grünland!$AB31=$BC$2,Grünland!$AC31,0)</f>
        <v>0</v>
      </c>
      <c r="BI30" s="851">
        <f>IF(Grünland!$R31=$BI$2,Grünland!$S31,0)</f>
        <v>0</v>
      </c>
      <c r="BJ30" s="851">
        <f>IF(Grünland!$T31=$BI$2,Grünland!$U31,0)</f>
        <v>0</v>
      </c>
      <c r="BK30" s="851">
        <f>IF(Grünland!$V31=$BI$2,Grünland!$W31,0)</f>
        <v>0</v>
      </c>
      <c r="BL30" s="851">
        <f>IF(Grünland!$X31=$BI$2,Grünland!$Y31,0)</f>
        <v>0</v>
      </c>
      <c r="BM30" s="851">
        <f>IF(Grünland!$Z31=$BI$2,Grünland!$AA31,0)</f>
        <v>0</v>
      </c>
      <c r="BN30" s="851">
        <f>IF(Grünland!$AB31=$BI$2,Grünland!$AC31,0)</f>
        <v>0</v>
      </c>
      <c r="BO30" s="851">
        <f>IF(Grünland!$R31=$BO$2,Grünland!$S31,0)</f>
        <v>0</v>
      </c>
      <c r="BP30" s="851">
        <f>IF(Grünland!$T31=$BO$2,Grünland!$U31,0)</f>
        <v>0</v>
      </c>
      <c r="BQ30" s="851">
        <f>IF(Grünland!$V31=$BO$2,Grünland!$W31,0)</f>
        <v>0</v>
      </c>
      <c r="BR30" s="851">
        <f>IF(Grünland!$X31=$BO$2,Grünland!$Y31,0)</f>
        <v>0</v>
      </c>
      <c r="BS30" s="851">
        <f>IF(Grünland!$Z31=$BO$2,Grünland!$AA31,0)</f>
        <v>0</v>
      </c>
      <c r="BT30" s="851">
        <f>IF(Grünland!$AB31=$BO$2,Grünland!$AC31,0)</f>
        <v>0</v>
      </c>
      <c r="BU30" s="851">
        <f>IF(Grünland!$R31=$BU$2,Grünland!$S31,0)</f>
        <v>0</v>
      </c>
      <c r="BV30" s="851">
        <f>IF(Grünland!$T31=$BU$2,Grünland!$U31,0)</f>
        <v>0</v>
      </c>
      <c r="BW30" s="851">
        <f>IF(Grünland!$V31=$BU$2,Grünland!$W31,0)</f>
        <v>0</v>
      </c>
      <c r="BX30" s="851">
        <f>IF(Grünland!$X31=$BU$2,Grünland!$Y31,0)</f>
        <v>0</v>
      </c>
      <c r="BY30" s="851">
        <f>IF(Grünland!$Z31=$BU$2,Grünland!$AA31,0)</f>
        <v>0</v>
      </c>
      <c r="BZ30" s="851">
        <f>IF(Grünland!$AB31=$BU$2,Grünland!$AC31,0)</f>
        <v>0</v>
      </c>
      <c r="CA30" s="14"/>
    </row>
    <row r="31" spans="3:79" ht="15">
      <c r="E31" s="912" t="s">
        <v>954</v>
      </c>
      <c r="F31" s="934">
        <f>Grünland!D32</f>
        <v>0</v>
      </c>
      <c r="G31" s="933">
        <f>IF(Grünland!$R32=$G$2,Grünland!$S32,0)</f>
        <v>0</v>
      </c>
      <c r="H31" s="851">
        <f>IF(Grünland!$T32=$G$2,Grünland!$U32,0)</f>
        <v>0</v>
      </c>
      <c r="I31" s="851">
        <f>IF(Grünland!$V32=$G$2,Grünland!$W32,0)</f>
        <v>0</v>
      </c>
      <c r="J31" s="851">
        <f>IF(Grünland!$X32=$G$2,Grünland!$Y32,0)</f>
        <v>0</v>
      </c>
      <c r="K31" s="851">
        <f>IF(Grünland!$Z32=$G$2,Grünland!$AA32,0)</f>
        <v>0</v>
      </c>
      <c r="L31" s="851">
        <f>IF(Grünland!$AB32=$G$2,Grünland!$AC32,0)</f>
        <v>0</v>
      </c>
      <c r="M31" s="851">
        <f>IF(Grünland!$R32=$M$2,Grünland!$S32,0)</f>
        <v>0</v>
      </c>
      <c r="N31" s="851">
        <f>IF(Grünland!$T32=$M$2,Grünland!$U32,0)</f>
        <v>0</v>
      </c>
      <c r="O31" s="851">
        <f>IF(Grünland!$V32=$M$2,Grünland!$W32,0)</f>
        <v>0</v>
      </c>
      <c r="P31" s="851">
        <f>IF(Grünland!$X32=$M$2,Grünland!$Y32,0)</f>
        <v>0</v>
      </c>
      <c r="Q31" s="851">
        <f>IF(Grünland!$Z32=$M$2,Grünland!$AA32,0)</f>
        <v>0</v>
      </c>
      <c r="R31" s="851">
        <f>IF(Grünland!$AB32=$M$2,Grünland!$AC32,0)</f>
        <v>0</v>
      </c>
      <c r="S31" s="851">
        <f>IF(Grünland!$R32=$S$2,Grünland!$S32,0)</f>
        <v>0</v>
      </c>
      <c r="T31" s="851">
        <f>IF(Grünland!$T32=$S$2,Grünland!$U32,0)</f>
        <v>0</v>
      </c>
      <c r="U31" s="851">
        <f>IF(Grünland!$V32=$S$2,Grünland!$W32,0)</f>
        <v>0</v>
      </c>
      <c r="V31" s="851">
        <f>IF(Grünland!$X32=$S$2,Grünland!$Y32,0)</f>
        <v>0</v>
      </c>
      <c r="W31" s="851">
        <f>IF(Grünland!$Z32=$S$2,Grünland!$AA32,0)</f>
        <v>0</v>
      </c>
      <c r="X31" s="851">
        <f>IF(Grünland!$AB32=$S$2,Grünland!$AC32,0)</f>
        <v>0</v>
      </c>
      <c r="Y31" s="851">
        <f>IF(Grünland!$R32=$Y$2,Grünland!$S32,0)</f>
        <v>0</v>
      </c>
      <c r="Z31" s="851">
        <f>IF(Grünland!$T32=$Y$2,Grünland!$U32,0)</f>
        <v>0</v>
      </c>
      <c r="AA31" s="851">
        <f>IF(Grünland!$V32=$Y$2,Grünland!$W32,0)</f>
        <v>0</v>
      </c>
      <c r="AB31" s="851">
        <f>IF(Grünland!$X32=$Y$2,Grünland!$Y32,0)</f>
        <v>0</v>
      </c>
      <c r="AC31" s="851">
        <f>IF(Grünland!$Z32=$Y$2,Grünland!$AA32,0)</f>
        <v>0</v>
      </c>
      <c r="AD31" s="851">
        <f>IF(Grünland!$AB32=$Y$2,Grünland!$AC32,0)</f>
        <v>0</v>
      </c>
      <c r="AE31" s="851">
        <f>IF(Grünland!$R32=$AE$2,Grünland!$S32,0)</f>
        <v>0</v>
      </c>
      <c r="AF31" s="851">
        <f>IF(Grünland!$T32=$AE$2,Grünland!$U32,0)</f>
        <v>0</v>
      </c>
      <c r="AG31" s="851">
        <f>IF(Grünland!$V32=$AE$2,Grünland!$W32,0)</f>
        <v>0</v>
      </c>
      <c r="AH31" s="851">
        <f>IF(Grünland!$X32=$AE$2,Grünland!$Y32,0)</f>
        <v>0</v>
      </c>
      <c r="AI31" s="851">
        <f>IF(Grünland!$Z32=$AE$2,Grünland!$AA32,0)</f>
        <v>0</v>
      </c>
      <c r="AJ31" s="851">
        <f>IF(Grünland!$AB32=$AE$2,Grünland!$AC32,0)</f>
        <v>0</v>
      </c>
      <c r="AK31" s="851">
        <f>IF(Grünland!$R32=$AK$2,Grünland!$S32,0)</f>
        <v>0</v>
      </c>
      <c r="AL31" s="851">
        <f>IF(Grünland!$T32=$AK$2,Grünland!$U32,0)</f>
        <v>0</v>
      </c>
      <c r="AM31" s="851">
        <f>IF(Grünland!$V32=$AK$2,Grünland!$W32,0)</f>
        <v>0</v>
      </c>
      <c r="AN31" s="851">
        <f>IF(Grünland!$X32=$AK$2,Grünland!$Y32,0)</f>
        <v>0</v>
      </c>
      <c r="AO31" s="851">
        <f>IF(Grünland!$Z32=$AK$2,Grünland!$AA32,0)</f>
        <v>0</v>
      </c>
      <c r="AP31" s="851">
        <f>IF(Grünland!$AB32=$AK$2,Grünland!$AC32,0)</f>
        <v>0</v>
      </c>
      <c r="AQ31" s="851">
        <f>IF(Grünland!$R32=$AQ$2,Grünland!$S32,0)</f>
        <v>0</v>
      </c>
      <c r="AR31" s="851">
        <f>IF(Grünland!$T32=$AQ$2,Grünland!$U32,0)</f>
        <v>0</v>
      </c>
      <c r="AS31" s="851">
        <f>IF(Grünland!$V32=$AQ$2,Grünland!$W32,0)</f>
        <v>0</v>
      </c>
      <c r="AT31" s="851">
        <f>IF(Grünland!$X32=$AQ$2,Grünland!$Y32,0)</f>
        <v>0</v>
      </c>
      <c r="AU31" s="851">
        <f>IF(Grünland!$Z32=$AQ$2,Grünland!$AA32,0)</f>
        <v>0</v>
      </c>
      <c r="AV31" s="851">
        <f>IF(Grünland!$AB32=$AQ$2,Grünland!$AC32,0)</f>
        <v>0</v>
      </c>
      <c r="AW31" s="851">
        <f>IF(Grünland!$R32=$AW$2,Grünland!$S32,0)</f>
        <v>0</v>
      </c>
      <c r="AX31" s="851">
        <f>IF(Grünland!$T32=$AW$2,Grünland!$U32,0)</f>
        <v>0</v>
      </c>
      <c r="AY31" s="851">
        <f>IF(Grünland!$V32=$AW$2,Grünland!$W32,0)</f>
        <v>0</v>
      </c>
      <c r="AZ31" s="851">
        <f>IF(Grünland!$X32=$AW$2,Grünland!$Y32,0)</f>
        <v>0</v>
      </c>
      <c r="BA31" s="851">
        <f>IF(Grünland!$Z32=$AW$2,Grünland!$AA32,0)</f>
        <v>0</v>
      </c>
      <c r="BB31" s="851">
        <f>IF(Grünland!$AB32=$AW$2,Grünland!$AC32,0)</f>
        <v>0</v>
      </c>
      <c r="BC31" s="851">
        <f>IF(Grünland!$R32=$BC$2,Grünland!$S32,0)</f>
        <v>0</v>
      </c>
      <c r="BD31" s="851">
        <f>IF(Grünland!$T32=$BC$2,Grünland!$U32,0)</f>
        <v>0</v>
      </c>
      <c r="BE31" s="851">
        <f>IF(Grünland!$V32=$BC$2,Grünland!$W32,0)</f>
        <v>0</v>
      </c>
      <c r="BF31" s="851">
        <f>IF(Grünland!$X32=$BC$2,Grünland!$Y32,0)</f>
        <v>0</v>
      </c>
      <c r="BG31" s="851">
        <f>IF(Grünland!$Z32=$BC$2,Grünland!$AA32,0)</f>
        <v>0</v>
      </c>
      <c r="BH31" s="851">
        <f>IF(Grünland!$AB32=$BC$2,Grünland!$AC32,0)</f>
        <v>0</v>
      </c>
      <c r="BI31" s="851">
        <f>IF(Grünland!$R32=$BI$2,Grünland!$S32,0)</f>
        <v>0</v>
      </c>
      <c r="BJ31" s="851">
        <f>IF(Grünland!$T32=$BI$2,Grünland!$U32,0)</f>
        <v>0</v>
      </c>
      <c r="BK31" s="851">
        <f>IF(Grünland!$V32=$BI$2,Grünland!$W32,0)</f>
        <v>0</v>
      </c>
      <c r="BL31" s="851">
        <f>IF(Grünland!$X32=$BI$2,Grünland!$Y32,0)</f>
        <v>0</v>
      </c>
      <c r="BM31" s="851">
        <f>IF(Grünland!$Z32=$BI$2,Grünland!$AA32,0)</f>
        <v>0</v>
      </c>
      <c r="BN31" s="851">
        <f>IF(Grünland!$AB32=$BI$2,Grünland!$AC32,0)</f>
        <v>0</v>
      </c>
      <c r="BO31" s="851">
        <f>IF(Grünland!$R32=$BO$2,Grünland!$S32,0)</f>
        <v>0</v>
      </c>
      <c r="BP31" s="851">
        <f>IF(Grünland!$T32=$BO$2,Grünland!$U32,0)</f>
        <v>0</v>
      </c>
      <c r="BQ31" s="851">
        <f>IF(Grünland!$V32=$BO$2,Grünland!$W32,0)</f>
        <v>0</v>
      </c>
      <c r="BR31" s="851">
        <f>IF(Grünland!$X32=$BO$2,Grünland!$Y32,0)</f>
        <v>0</v>
      </c>
      <c r="BS31" s="851">
        <f>IF(Grünland!$Z32=$BO$2,Grünland!$AA32,0)</f>
        <v>0</v>
      </c>
      <c r="BT31" s="851">
        <f>IF(Grünland!$AB32=$BO$2,Grünland!$AC32,0)</f>
        <v>0</v>
      </c>
      <c r="BU31" s="851">
        <f>IF(Grünland!$R32=$BU$2,Grünland!$S32,0)</f>
        <v>0</v>
      </c>
      <c r="BV31" s="851">
        <f>IF(Grünland!$T32=$BU$2,Grünland!$U32,0)</f>
        <v>0</v>
      </c>
      <c r="BW31" s="851">
        <f>IF(Grünland!$V32=$BU$2,Grünland!$W32,0)</f>
        <v>0</v>
      </c>
      <c r="BX31" s="851">
        <f>IF(Grünland!$X32=$BU$2,Grünland!$Y32,0)</f>
        <v>0</v>
      </c>
      <c r="BY31" s="851">
        <f>IF(Grünland!$Z32=$BU$2,Grünland!$AA32,0)</f>
        <v>0</v>
      </c>
      <c r="BZ31" s="851">
        <f>IF(Grünland!$AB32=$BU$2,Grünland!$AC32,0)</f>
        <v>0</v>
      </c>
      <c r="CA31" s="14"/>
    </row>
    <row r="32" spans="3:79" ht="15">
      <c r="E32" s="912" t="s">
        <v>955</v>
      </c>
      <c r="F32" s="934">
        <f>Grünland!D33</f>
        <v>0</v>
      </c>
      <c r="G32" s="933">
        <f>IF(Grünland!$R33=$G$2,Grünland!$S33,0)</f>
        <v>0</v>
      </c>
      <c r="H32" s="851">
        <f>IF(Grünland!$T33=$G$2,Grünland!$U33,0)</f>
        <v>0</v>
      </c>
      <c r="I32" s="851">
        <f>IF(Grünland!$V33=$G$2,Grünland!$W33,0)</f>
        <v>0</v>
      </c>
      <c r="J32" s="851">
        <f>IF(Grünland!$X33=$G$2,Grünland!$Y33,0)</f>
        <v>0</v>
      </c>
      <c r="K32" s="851">
        <f>IF(Grünland!$Z33=$G$2,Grünland!$AA33,0)</f>
        <v>0</v>
      </c>
      <c r="L32" s="851">
        <f>IF(Grünland!$AB33=$G$2,Grünland!$AC33,0)</f>
        <v>0</v>
      </c>
      <c r="M32" s="851">
        <f>IF(Grünland!$R33=$M$2,Grünland!$S33,0)</f>
        <v>0</v>
      </c>
      <c r="N32" s="851">
        <f>IF(Grünland!$T33=$M$2,Grünland!$U33,0)</f>
        <v>0</v>
      </c>
      <c r="O32" s="851">
        <f>IF(Grünland!$V33=$M$2,Grünland!$W33,0)</f>
        <v>0</v>
      </c>
      <c r="P32" s="851">
        <f>IF(Grünland!$X33=$M$2,Grünland!$Y33,0)</f>
        <v>0</v>
      </c>
      <c r="Q32" s="851">
        <f>IF(Grünland!$Z33=$M$2,Grünland!$AA33,0)</f>
        <v>0</v>
      </c>
      <c r="R32" s="851">
        <f>IF(Grünland!$AB33=$M$2,Grünland!$AC33,0)</f>
        <v>0</v>
      </c>
      <c r="S32" s="851">
        <f>IF(Grünland!$R33=$S$2,Grünland!$S33,0)</f>
        <v>0</v>
      </c>
      <c r="T32" s="851">
        <f>IF(Grünland!$T33=$S$2,Grünland!$U33,0)</f>
        <v>0</v>
      </c>
      <c r="U32" s="851">
        <f>IF(Grünland!$V33=$S$2,Grünland!$W33,0)</f>
        <v>0</v>
      </c>
      <c r="V32" s="851">
        <f>IF(Grünland!$X33=$S$2,Grünland!$Y33,0)</f>
        <v>0</v>
      </c>
      <c r="W32" s="851">
        <f>IF(Grünland!$Z33=$S$2,Grünland!$AA33,0)</f>
        <v>0</v>
      </c>
      <c r="X32" s="851">
        <f>IF(Grünland!$AB33=$S$2,Grünland!$AC33,0)</f>
        <v>0</v>
      </c>
      <c r="Y32" s="851">
        <f>IF(Grünland!$R33=$Y$2,Grünland!$S33,0)</f>
        <v>0</v>
      </c>
      <c r="Z32" s="851">
        <f>IF(Grünland!$T33=$Y$2,Grünland!$U33,0)</f>
        <v>0</v>
      </c>
      <c r="AA32" s="851">
        <f>IF(Grünland!$V33=$Y$2,Grünland!$W33,0)</f>
        <v>0</v>
      </c>
      <c r="AB32" s="851">
        <f>IF(Grünland!$X33=$Y$2,Grünland!$Y33,0)</f>
        <v>0</v>
      </c>
      <c r="AC32" s="851">
        <f>IF(Grünland!$Z33=$Y$2,Grünland!$AA33,0)</f>
        <v>0</v>
      </c>
      <c r="AD32" s="851">
        <f>IF(Grünland!$AB33=$Y$2,Grünland!$AC33,0)</f>
        <v>0</v>
      </c>
      <c r="AE32" s="851">
        <f>IF(Grünland!$R33=$AE$2,Grünland!$S33,0)</f>
        <v>0</v>
      </c>
      <c r="AF32" s="851">
        <f>IF(Grünland!$T33=$AE$2,Grünland!$U33,0)</f>
        <v>0</v>
      </c>
      <c r="AG32" s="851">
        <f>IF(Grünland!$V33=$AE$2,Grünland!$W33,0)</f>
        <v>0</v>
      </c>
      <c r="AH32" s="851">
        <f>IF(Grünland!$X33=$AE$2,Grünland!$Y33,0)</f>
        <v>0</v>
      </c>
      <c r="AI32" s="851">
        <f>IF(Grünland!$Z33=$AE$2,Grünland!$AA33,0)</f>
        <v>0</v>
      </c>
      <c r="AJ32" s="851">
        <f>IF(Grünland!$AB33=$AE$2,Grünland!$AC33,0)</f>
        <v>0</v>
      </c>
      <c r="AK32" s="851">
        <f>IF(Grünland!$R33=$AK$2,Grünland!$S33,0)</f>
        <v>0</v>
      </c>
      <c r="AL32" s="851">
        <f>IF(Grünland!$T33=$AK$2,Grünland!$U33,0)</f>
        <v>0</v>
      </c>
      <c r="AM32" s="851">
        <f>IF(Grünland!$V33=$AK$2,Grünland!$W33,0)</f>
        <v>0</v>
      </c>
      <c r="AN32" s="851">
        <f>IF(Grünland!$X33=$AK$2,Grünland!$Y33,0)</f>
        <v>0</v>
      </c>
      <c r="AO32" s="851">
        <f>IF(Grünland!$Z33=$AK$2,Grünland!$AA33,0)</f>
        <v>0</v>
      </c>
      <c r="AP32" s="851">
        <f>IF(Grünland!$AB33=$AK$2,Grünland!$AC33,0)</f>
        <v>0</v>
      </c>
      <c r="AQ32" s="851">
        <f>IF(Grünland!$R33=$AQ$2,Grünland!$S33,0)</f>
        <v>0</v>
      </c>
      <c r="AR32" s="851">
        <f>IF(Grünland!$T33=$AQ$2,Grünland!$U33,0)</f>
        <v>0</v>
      </c>
      <c r="AS32" s="851">
        <f>IF(Grünland!$V33=$AQ$2,Grünland!$W33,0)</f>
        <v>0</v>
      </c>
      <c r="AT32" s="851">
        <f>IF(Grünland!$X33=$AQ$2,Grünland!$Y33,0)</f>
        <v>0</v>
      </c>
      <c r="AU32" s="851">
        <f>IF(Grünland!$Z33=$AQ$2,Grünland!$AA33,0)</f>
        <v>0</v>
      </c>
      <c r="AV32" s="851">
        <f>IF(Grünland!$AB33=$AQ$2,Grünland!$AC33,0)</f>
        <v>0</v>
      </c>
      <c r="AW32" s="851">
        <f>IF(Grünland!$R33=$AW$2,Grünland!$S33,0)</f>
        <v>0</v>
      </c>
      <c r="AX32" s="851">
        <f>IF(Grünland!$T33=$AW$2,Grünland!$U33,0)</f>
        <v>0</v>
      </c>
      <c r="AY32" s="851">
        <f>IF(Grünland!$V33=$AW$2,Grünland!$W33,0)</f>
        <v>0</v>
      </c>
      <c r="AZ32" s="851">
        <f>IF(Grünland!$X33=$AW$2,Grünland!$Y33,0)</f>
        <v>0</v>
      </c>
      <c r="BA32" s="851">
        <f>IF(Grünland!$Z33=$AW$2,Grünland!$AA33,0)</f>
        <v>0</v>
      </c>
      <c r="BB32" s="851">
        <f>IF(Grünland!$AB33=$AW$2,Grünland!$AC33,0)</f>
        <v>0</v>
      </c>
      <c r="BC32" s="851">
        <f>IF(Grünland!$R33=$BC$2,Grünland!$S33,0)</f>
        <v>0</v>
      </c>
      <c r="BD32" s="851">
        <f>IF(Grünland!$T33=$BC$2,Grünland!$U33,0)</f>
        <v>0</v>
      </c>
      <c r="BE32" s="851">
        <f>IF(Grünland!$V33=$BC$2,Grünland!$W33,0)</f>
        <v>0</v>
      </c>
      <c r="BF32" s="851">
        <f>IF(Grünland!$X33=$BC$2,Grünland!$Y33,0)</f>
        <v>0</v>
      </c>
      <c r="BG32" s="851">
        <f>IF(Grünland!$Z33=$BC$2,Grünland!$AA33,0)</f>
        <v>0</v>
      </c>
      <c r="BH32" s="851">
        <f>IF(Grünland!$AB33=$BC$2,Grünland!$AC33,0)</f>
        <v>0</v>
      </c>
      <c r="BI32" s="851">
        <f>IF(Grünland!$R33=$BI$2,Grünland!$S33,0)</f>
        <v>0</v>
      </c>
      <c r="BJ32" s="851">
        <f>IF(Grünland!$T33=$BI$2,Grünland!$U33,0)</f>
        <v>0</v>
      </c>
      <c r="BK32" s="851">
        <f>IF(Grünland!$V33=$BI$2,Grünland!$W33,0)</f>
        <v>0</v>
      </c>
      <c r="BL32" s="851">
        <f>IF(Grünland!$X33=$BI$2,Grünland!$Y33,0)</f>
        <v>0</v>
      </c>
      <c r="BM32" s="851">
        <f>IF(Grünland!$Z33=$BI$2,Grünland!$AA33,0)</f>
        <v>0</v>
      </c>
      <c r="BN32" s="851">
        <f>IF(Grünland!$AB33=$BI$2,Grünland!$AC33,0)</f>
        <v>0</v>
      </c>
      <c r="BO32" s="851">
        <f>IF(Grünland!$R33=$BO$2,Grünland!$S33,0)</f>
        <v>0</v>
      </c>
      <c r="BP32" s="851">
        <f>IF(Grünland!$T33=$BO$2,Grünland!$U33,0)</f>
        <v>0</v>
      </c>
      <c r="BQ32" s="851">
        <f>IF(Grünland!$V33=$BO$2,Grünland!$W33,0)</f>
        <v>0</v>
      </c>
      <c r="BR32" s="851">
        <f>IF(Grünland!$X33=$BO$2,Grünland!$Y33,0)</f>
        <v>0</v>
      </c>
      <c r="BS32" s="851">
        <f>IF(Grünland!$Z33=$BO$2,Grünland!$AA33,0)</f>
        <v>0</v>
      </c>
      <c r="BT32" s="851">
        <f>IF(Grünland!$AB33=$BO$2,Grünland!$AC33,0)</f>
        <v>0</v>
      </c>
      <c r="BU32" s="851">
        <f>IF(Grünland!$R33=$BU$2,Grünland!$S33,0)</f>
        <v>0</v>
      </c>
      <c r="BV32" s="851">
        <f>IF(Grünland!$T33=$BU$2,Grünland!$U33,0)</f>
        <v>0</v>
      </c>
      <c r="BW32" s="851">
        <f>IF(Grünland!$V33=$BU$2,Grünland!$W33,0)</f>
        <v>0</v>
      </c>
      <c r="BX32" s="851">
        <f>IF(Grünland!$X33=$BU$2,Grünland!$Y33,0)</f>
        <v>0</v>
      </c>
      <c r="BY32" s="851">
        <f>IF(Grünland!$Z33=$BU$2,Grünland!$AA33,0)</f>
        <v>0</v>
      </c>
      <c r="BZ32" s="851">
        <f>IF(Grünland!$AB33=$BU$2,Grünland!$AC33,0)</f>
        <v>0</v>
      </c>
      <c r="CA32" s="14"/>
    </row>
    <row r="33" spans="5:79" ht="15.75" thickBot="1">
      <c r="E33" s="912" t="s">
        <v>956</v>
      </c>
      <c r="F33" s="934">
        <f>Grünland!D34</f>
        <v>0</v>
      </c>
      <c r="G33" s="933">
        <f>IF(Grünland!$R34=$G$2,Grünland!$S34,0)</f>
        <v>0</v>
      </c>
      <c r="H33" s="851">
        <f>IF(Grünland!$T34=$G$2,Grünland!$U34,0)</f>
        <v>0</v>
      </c>
      <c r="I33" s="851">
        <f>IF(Grünland!$V34=$G$2,Grünland!$W34,0)</f>
        <v>0</v>
      </c>
      <c r="J33" s="851">
        <f>IF(Grünland!$X34=$G$2,Grünland!$Y34,0)</f>
        <v>0</v>
      </c>
      <c r="K33" s="851">
        <f>IF(Grünland!$Z34=$G$2,Grünland!$AA34,0)</f>
        <v>0</v>
      </c>
      <c r="L33" s="851">
        <f>IF(Grünland!$AB34=$G$2,Grünland!$AC34,0)</f>
        <v>0</v>
      </c>
      <c r="M33" s="851">
        <f>IF(Grünland!$R34=$M$2,Grünland!$S34,0)</f>
        <v>0</v>
      </c>
      <c r="N33" s="851">
        <f>IF(Grünland!$T34=$M$2,Grünland!$U34,0)</f>
        <v>0</v>
      </c>
      <c r="O33" s="851">
        <f>IF(Grünland!$V34=$M$2,Grünland!$W34,0)</f>
        <v>0</v>
      </c>
      <c r="P33" s="851">
        <f>IF(Grünland!$X34=$M$2,Grünland!$Y34,0)</f>
        <v>0</v>
      </c>
      <c r="Q33" s="851">
        <f>IF(Grünland!$Z34=$M$2,Grünland!$AA34,0)</f>
        <v>0</v>
      </c>
      <c r="R33" s="851">
        <f>IF(Grünland!$AB34=$M$2,Grünland!$AC34,0)</f>
        <v>0</v>
      </c>
      <c r="S33" s="851">
        <f>IF(Grünland!$R34=$S$2,Grünland!$S34,0)</f>
        <v>0</v>
      </c>
      <c r="T33" s="851">
        <f>IF(Grünland!$T34=$S$2,Grünland!$U34,0)</f>
        <v>0</v>
      </c>
      <c r="U33" s="851">
        <f>IF(Grünland!$V34=$S$2,Grünland!$W34,0)</f>
        <v>0</v>
      </c>
      <c r="V33" s="851">
        <f>IF(Grünland!$X34=$S$2,Grünland!$Y34,0)</f>
        <v>0</v>
      </c>
      <c r="W33" s="851">
        <f>IF(Grünland!$Z34=$S$2,Grünland!$AA34,0)</f>
        <v>0</v>
      </c>
      <c r="X33" s="851">
        <f>IF(Grünland!$AB34=$S$2,Grünland!$AC34,0)</f>
        <v>0</v>
      </c>
      <c r="Y33" s="851">
        <f>IF(Grünland!$R34=$Y$2,Grünland!$S34,0)</f>
        <v>0</v>
      </c>
      <c r="Z33" s="851">
        <f>IF(Grünland!$T34=$Y$2,Grünland!$U34,0)</f>
        <v>0</v>
      </c>
      <c r="AA33" s="851">
        <f>IF(Grünland!$V34=$Y$2,Grünland!$W34,0)</f>
        <v>0</v>
      </c>
      <c r="AB33" s="851">
        <f>IF(Grünland!$X34=$Y$2,Grünland!$Y34,0)</f>
        <v>0</v>
      </c>
      <c r="AC33" s="851">
        <f>IF(Grünland!$Z34=$Y$2,Grünland!$AA34,0)</f>
        <v>0</v>
      </c>
      <c r="AD33" s="851">
        <f>IF(Grünland!$AB34=$Y$2,Grünland!$AC34,0)</f>
        <v>0</v>
      </c>
      <c r="AE33" s="851">
        <f>IF(Grünland!$R34=$AE$2,Grünland!$S34,0)</f>
        <v>0</v>
      </c>
      <c r="AF33" s="851">
        <f>IF(Grünland!$T34=$AE$2,Grünland!$U34,0)</f>
        <v>0</v>
      </c>
      <c r="AG33" s="851">
        <f>IF(Grünland!$V34=$AE$2,Grünland!$W34,0)</f>
        <v>0</v>
      </c>
      <c r="AH33" s="851">
        <f>IF(Grünland!$X34=$AE$2,Grünland!$Y34,0)</f>
        <v>0</v>
      </c>
      <c r="AI33" s="851">
        <f>IF(Grünland!$Z34=$AE$2,Grünland!$AA34,0)</f>
        <v>0</v>
      </c>
      <c r="AJ33" s="851">
        <f>IF(Grünland!$AB34=$AE$2,Grünland!$AC34,0)</f>
        <v>0</v>
      </c>
      <c r="AK33" s="851">
        <f>IF(Grünland!$R34=$AK$2,Grünland!$S34,0)</f>
        <v>0</v>
      </c>
      <c r="AL33" s="851">
        <f>IF(Grünland!$T34=$AK$2,Grünland!$U34,0)</f>
        <v>0</v>
      </c>
      <c r="AM33" s="851">
        <f>IF(Grünland!$V34=$AK$2,Grünland!$W34,0)</f>
        <v>0</v>
      </c>
      <c r="AN33" s="851">
        <f>IF(Grünland!$X34=$AK$2,Grünland!$Y34,0)</f>
        <v>0</v>
      </c>
      <c r="AO33" s="851">
        <f>IF(Grünland!$Z34=$AK$2,Grünland!$AA34,0)</f>
        <v>0</v>
      </c>
      <c r="AP33" s="851">
        <f>IF(Grünland!$AB34=$AK$2,Grünland!$AC34,0)</f>
        <v>0</v>
      </c>
      <c r="AQ33" s="851">
        <f>IF(Grünland!$R34=$AQ$2,Grünland!$S34,0)</f>
        <v>0</v>
      </c>
      <c r="AR33" s="851">
        <f>IF(Grünland!$T34=$AQ$2,Grünland!$U34,0)</f>
        <v>0</v>
      </c>
      <c r="AS33" s="851">
        <f>IF(Grünland!$V34=$AQ$2,Grünland!$W34,0)</f>
        <v>0</v>
      </c>
      <c r="AT33" s="851">
        <f>IF(Grünland!$X34=$AQ$2,Grünland!$Y34,0)</f>
        <v>0</v>
      </c>
      <c r="AU33" s="851">
        <f>IF(Grünland!$Z34=$AQ$2,Grünland!$AA34,0)</f>
        <v>0</v>
      </c>
      <c r="AV33" s="851">
        <f>IF(Grünland!$AB34=$AQ$2,Grünland!$AC34,0)</f>
        <v>0</v>
      </c>
      <c r="AW33" s="851">
        <f>IF(Grünland!$R34=$AW$2,Grünland!$S34,0)</f>
        <v>0</v>
      </c>
      <c r="AX33" s="851">
        <f>IF(Grünland!$T34=$AW$2,Grünland!$U34,0)</f>
        <v>0</v>
      </c>
      <c r="AY33" s="851">
        <f>IF(Grünland!$V34=$AW$2,Grünland!$W34,0)</f>
        <v>0</v>
      </c>
      <c r="AZ33" s="851">
        <f>IF(Grünland!$X34=$AW$2,Grünland!$Y34,0)</f>
        <v>0</v>
      </c>
      <c r="BA33" s="851">
        <f>IF(Grünland!$Z34=$AW$2,Grünland!$AA34,0)</f>
        <v>0</v>
      </c>
      <c r="BB33" s="851">
        <f>IF(Grünland!$AB34=$AW$2,Grünland!$AC34,0)</f>
        <v>0</v>
      </c>
      <c r="BC33" s="851">
        <f>IF(Grünland!$R34=$BC$2,Grünland!$S34,0)</f>
        <v>0</v>
      </c>
      <c r="BD33" s="851">
        <f>IF(Grünland!$T34=$BC$2,Grünland!$U34,0)</f>
        <v>0</v>
      </c>
      <c r="BE33" s="851">
        <f>IF(Grünland!$V34=$BC$2,Grünland!$W34,0)</f>
        <v>0</v>
      </c>
      <c r="BF33" s="851">
        <f>IF(Grünland!$X34=$BC$2,Grünland!$Y34,0)</f>
        <v>0</v>
      </c>
      <c r="BG33" s="851">
        <f>IF(Grünland!$Z34=$BC$2,Grünland!$AA34,0)</f>
        <v>0</v>
      </c>
      <c r="BH33" s="851">
        <f>IF(Grünland!$AB34=$BC$2,Grünland!$AC34,0)</f>
        <v>0</v>
      </c>
      <c r="BI33" s="851">
        <f>IF(Grünland!$R34=$BI$2,Grünland!$S34,0)</f>
        <v>0</v>
      </c>
      <c r="BJ33" s="851">
        <f>IF(Grünland!$T34=$BI$2,Grünland!$U34,0)</f>
        <v>0</v>
      </c>
      <c r="BK33" s="851">
        <f>IF(Grünland!$V34=$BI$2,Grünland!$W34,0)</f>
        <v>0</v>
      </c>
      <c r="BL33" s="851">
        <f>IF(Grünland!$X34=$BI$2,Grünland!$Y34,0)</f>
        <v>0</v>
      </c>
      <c r="BM33" s="851">
        <f>IF(Grünland!$Z34=$BI$2,Grünland!$AA34,0)</f>
        <v>0</v>
      </c>
      <c r="BN33" s="851">
        <f>IF(Grünland!$AB34=$BI$2,Grünland!$AC34,0)</f>
        <v>0</v>
      </c>
      <c r="BO33" s="851">
        <f>IF(Grünland!$R34=$BO$2,Grünland!$S34,0)</f>
        <v>0</v>
      </c>
      <c r="BP33" s="851">
        <f>IF(Grünland!$T34=$BO$2,Grünland!$U34,0)</f>
        <v>0</v>
      </c>
      <c r="BQ33" s="851">
        <f>IF(Grünland!$V34=$BO$2,Grünland!$W34,0)</f>
        <v>0</v>
      </c>
      <c r="BR33" s="851">
        <f>IF(Grünland!$X34=$BO$2,Grünland!$Y34,0)</f>
        <v>0</v>
      </c>
      <c r="BS33" s="851">
        <f>IF(Grünland!$Z34=$BO$2,Grünland!$AA34,0)</f>
        <v>0</v>
      </c>
      <c r="BT33" s="851">
        <f>IF(Grünland!$AB34=$BO$2,Grünland!$AC34,0)</f>
        <v>0</v>
      </c>
      <c r="BU33" s="851">
        <f>IF(Grünland!$R34=$BU$2,Grünland!$S34,0)</f>
        <v>0</v>
      </c>
      <c r="BV33" s="851">
        <f>IF(Grünland!$T34=$BU$2,Grünland!$U34,0)</f>
        <v>0</v>
      </c>
      <c r="BW33" s="851">
        <f>IF(Grünland!$V34=$BU$2,Grünland!$W34,0)</f>
        <v>0</v>
      </c>
      <c r="BX33" s="851">
        <f>IF(Grünland!$X34=$BU$2,Grünland!$Y34,0)</f>
        <v>0</v>
      </c>
      <c r="BY33" s="851">
        <f>IF(Grünland!$Z34=$BU$2,Grünland!$AA34,0)</f>
        <v>0</v>
      </c>
      <c r="BZ33" s="851">
        <f>IF(Grünland!$AB34=$BU$2,Grünland!$AC34,0)</f>
        <v>0</v>
      </c>
      <c r="CA33" s="14"/>
    </row>
    <row r="34" spans="5:79" ht="13.5" thickBot="1">
      <c r="E34" s="10"/>
      <c r="F34" s="10"/>
      <c r="G34" s="913">
        <f t="shared" ref="G34:AL34" si="0">SUM(G4:G33)</f>
        <v>0</v>
      </c>
      <c r="H34" s="914">
        <f t="shared" si="0"/>
        <v>0</v>
      </c>
      <c r="I34" s="914">
        <f t="shared" si="0"/>
        <v>0</v>
      </c>
      <c r="J34" s="914">
        <f t="shared" si="0"/>
        <v>0</v>
      </c>
      <c r="K34" s="914">
        <f t="shared" si="0"/>
        <v>0</v>
      </c>
      <c r="L34" s="915">
        <f t="shared" si="0"/>
        <v>0</v>
      </c>
      <c r="M34" s="913">
        <f t="shared" si="0"/>
        <v>0</v>
      </c>
      <c r="N34" s="914">
        <f t="shared" si="0"/>
        <v>0</v>
      </c>
      <c r="O34" s="914">
        <f t="shared" si="0"/>
        <v>0</v>
      </c>
      <c r="P34" s="914">
        <f t="shared" si="0"/>
        <v>0</v>
      </c>
      <c r="Q34" s="914">
        <f t="shared" si="0"/>
        <v>0</v>
      </c>
      <c r="R34" s="915">
        <f t="shared" si="0"/>
        <v>0</v>
      </c>
      <c r="S34" s="913">
        <f t="shared" si="0"/>
        <v>0</v>
      </c>
      <c r="T34" s="914">
        <f t="shared" si="0"/>
        <v>0</v>
      </c>
      <c r="U34" s="914">
        <f t="shared" si="0"/>
        <v>0</v>
      </c>
      <c r="V34" s="914">
        <f t="shared" si="0"/>
        <v>0</v>
      </c>
      <c r="W34" s="914">
        <f t="shared" si="0"/>
        <v>0</v>
      </c>
      <c r="X34" s="915">
        <f t="shared" si="0"/>
        <v>0</v>
      </c>
      <c r="Y34" s="913">
        <f t="shared" si="0"/>
        <v>0</v>
      </c>
      <c r="Z34" s="914">
        <f t="shared" si="0"/>
        <v>0</v>
      </c>
      <c r="AA34" s="914">
        <f t="shared" si="0"/>
        <v>0</v>
      </c>
      <c r="AB34" s="914">
        <f t="shared" si="0"/>
        <v>0</v>
      </c>
      <c r="AC34" s="914">
        <f t="shared" si="0"/>
        <v>0</v>
      </c>
      <c r="AD34" s="915">
        <f t="shared" si="0"/>
        <v>0</v>
      </c>
      <c r="AE34" s="913">
        <f t="shared" si="0"/>
        <v>0</v>
      </c>
      <c r="AF34" s="914">
        <f t="shared" si="0"/>
        <v>0</v>
      </c>
      <c r="AG34" s="914">
        <f t="shared" si="0"/>
        <v>0</v>
      </c>
      <c r="AH34" s="914">
        <f t="shared" si="0"/>
        <v>0</v>
      </c>
      <c r="AI34" s="914">
        <f t="shared" si="0"/>
        <v>0</v>
      </c>
      <c r="AJ34" s="915">
        <f t="shared" si="0"/>
        <v>0</v>
      </c>
      <c r="AK34" s="913">
        <f t="shared" si="0"/>
        <v>0</v>
      </c>
      <c r="AL34" s="914">
        <f t="shared" si="0"/>
        <v>0</v>
      </c>
      <c r="AM34" s="914">
        <f t="shared" ref="AM34:BR34" si="1">SUM(AM4:AM33)</f>
        <v>0</v>
      </c>
      <c r="AN34" s="914">
        <f t="shared" si="1"/>
        <v>0</v>
      </c>
      <c r="AO34" s="914">
        <f t="shared" si="1"/>
        <v>0</v>
      </c>
      <c r="AP34" s="915">
        <f t="shared" si="1"/>
        <v>0</v>
      </c>
      <c r="AQ34" s="913">
        <f t="shared" si="1"/>
        <v>0</v>
      </c>
      <c r="AR34" s="914">
        <f t="shared" si="1"/>
        <v>0</v>
      </c>
      <c r="AS34" s="914">
        <f t="shared" si="1"/>
        <v>0</v>
      </c>
      <c r="AT34" s="914">
        <f t="shared" si="1"/>
        <v>0</v>
      </c>
      <c r="AU34" s="914">
        <f t="shared" si="1"/>
        <v>0</v>
      </c>
      <c r="AV34" s="915">
        <f t="shared" si="1"/>
        <v>0</v>
      </c>
      <c r="AW34" s="913">
        <f t="shared" si="1"/>
        <v>0</v>
      </c>
      <c r="AX34" s="914">
        <f t="shared" si="1"/>
        <v>0</v>
      </c>
      <c r="AY34" s="914">
        <f t="shared" si="1"/>
        <v>0</v>
      </c>
      <c r="AZ34" s="914">
        <f t="shared" si="1"/>
        <v>0</v>
      </c>
      <c r="BA34" s="914">
        <f t="shared" si="1"/>
        <v>0</v>
      </c>
      <c r="BB34" s="915">
        <f t="shared" si="1"/>
        <v>0</v>
      </c>
      <c r="BC34" s="913">
        <f t="shared" si="1"/>
        <v>0</v>
      </c>
      <c r="BD34" s="914">
        <f t="shared" si="1"/>
        <v>0</v>
      </c>
      <c r="BE34" s="914">
        <f t="shared" si="1"/>
        <v>0</v>
      </c>
      <c r="BF34" s="914">
        <f t="shared" si="1"/>
        <v>0</v>
      </c>
      <c r="BG34" s="914">
        <f t="shared" si="1"/>
        <v>0</v>
      </c>
      <c r="BH34" s="915">
        <f t="shared" si="1"/>
        <v>0</v>
      </c>
      <c r="BI34" s="913">
        <f t="shared" si="1"/>
        <v>0</v>
      </c>
      <c r="BJ34" s="914">
        <f t="shared" si="1"/>
        <v>0</v>
      </c>
      <c r="BK34" s="914">
        <f t="shared" si="1"/>
        <v>0</v>
      </c>
      <c r="BL34" s="914">
        <f t="shared" si="1"/>
        <v>0</v>
      </c>
      <c r="BM34" s="914">
        <f t="shared" si="1"/>
        <v>0</v>
      </c>
      <c r="BN34" s="915">
        <f t="shared" si="1"/>
        <v>0</v>
      </c>
      <c r="BO34" s="913">
        <f t="shared" si="1"/>
        <v>0</v>
      </c>
      <c r="BP34" s="914">
        <f t="shared" si="1"/>
        <v>0</v>
      </c>
      <c r="BQ34" s="914">
        <f t="shared" si="1"/>
        <v>0</v>
      </c>
      <c r="BR34" s="914">
        <f t="shared" si="1"/>
        <v>0</v>
      </c>
      <c r="BS34" s="914">
        <f t="shared" ref="BS34:BZ34" si="2">SUM(BS4:BS33)</f>
        <v>0</v>
      </c>
      <c r="BT34" s="915">
        <f t="shared" si="2"/>
        <v>0</v>
      </c>
      <c r="BU34" s="913">
        <f t="shared" si="2"/>
        <v>0</v>
      </c>
      <c r="BV34" s="914">
        <f t="shared" si="2"/>
        <v>0</v>
      </c>
      <c r="BW34" s="914">
        <f t="shared" si="2"/>
        <v>0</v>
      </c>
      <c r="BX34" s="914">
        <f t="shared" si="2"/>
        <v>0</v>
      </c>
      <c r="BY34" s="914">
        <f t="shared" si="2"/>
        <v>0</v>
      </c>
      <c r="BZ34" s="915">
        <f t="shared" si="2"/>
        <v>0</v>
      </c>
      <c r="CA34" s="14"/>
    </row>
    <row r="35" spans="5:79" s="747" customFormat="1" ht="13.5" thickBot="1">
      <c r="E35" s="10"/>
      <c r="F35" s="10"/>
      <c r="G35" s="942">
        <v>1</v>
      </c>
      <c r="H35" s="942">
        <v>2</v>
      </c>
      <c r="I35" s="942">
        <v>3</v>
      </c>
      <c r="J35" s="942">
        <v>4</v>
      </c>
      <c r="K35" s="942">
        <v>5</v>
      </c>
      <c r="L35" s="942">
        <v>6</v>
      </c>
      <c r="M35" s="942">
        <v>7</v>
      </c>
      <c r="N35" s="942">
        <v>8</v>
      </c>
      <c r="O35" s="942">
        <v>9</v>
      </c>
      <c r="P35" s="942">
        <v>10</v>
      </c>
      <c r="Q35" s="942">
        <v>11</v>
      </c>
      <c r="R35" s="942">
        <v>12</v>
      </c>
      <c r="S35" s="942">
        <v>13</v>
      </c>
      <c r="T35" s="942">
        <v>14</v>
      </c>
      <c r="U35" s="942">
        <v>15</v>
      </c>
      <c r="V35" s="942">
        <v>16</v>
      </c>
      <c r="W35" s="942">
        <v>17</v>
      </c>
      <c r="X35" s="942">
        <v>18</v>
      </c>
      <c r="Y35" s="942">
        <v>19</v>
      </c>
      <c r="Z35" s="942">
        <v>20</v>
      </c>
      <c r="AA35" s="942">
        <v>21</v>
      </c>
      <c r="AB35" s="942">
        <v>22</v>
      </c>
      <c r="AC35" s="942">
        <v>23</v>
      </c>
      <c r="AD35" s="942">
        <v>24</v>
      </c>
      <c r="AE35" s="942">
        <v>25</v>
      </c>
      <c r="AF35" s="942">
        <v>26</v>
      </c>
      <c r="AG35" s="942">
        <v>27</v>
      </c>
      <c r="AH35" s="942">
        <v>28</v>
      </c>
      <c r="AI35" s="942">
        <v>29</v>
      </c>
      <c r="AJ35" s="942">
        <v>30</v>
      </c>
      <c r="AK35" s="942">
        <v>31</v>
      </c>
      <c r="AL35" s="942">
        <v>32</v>
      </c>
      <c r="AM35" s="942">
        <v>33</v>
      </c>
      <c r="AN35" s="942">
        <v>34</v>
      </c>
      <c r="AO35" s="942">
        <v>35</v>
      </c>
      <c r="AP35" s="942">
        <v>36</v>
      </c>
      <c r="AQ35" s="942">
        <v>37</v>
      </c>
      <c r="AR35" s="942">
        <v>38</v>
      </c>
      <c r="AS35" s="942">
        <v>39</v>
      </c>
      <c r="AT35" s="942">
        <v>40</v>
      </c>
      <c r="AU35" s="942">
        <v>41</v>
      </c>
      <c r="AV35" s="942">
        <v>42</v>
      </c>
      <c r="AW35" s="942">
        <v>43</v>
      </c>
      <c r="AX35" s="942">
        <v>44</v>
      </c>
      <c r="AY35" s="942">
        <v>45</v>
      </c>
      <c r="AZ35" s="942">
        <v>46</v>
      </c>
      <c r="BA35" s="942">
        <v>47</v>
      </c>
      <c r="BB35" s="942">
        <v>48</v>
      </c>
      <c r="BC35" s="942">
        <v>49</v>
      </c>
      <c r="BD35" s="942">
        <v>50</v>
      </c>
      <c r="BE35" s="942">
        <v>51</v>
      </c>
      <c r="BF35" s="942">
        <v>52</v>
      </c>
      <c r="BG35" s="942">
        <v>53</v>
      </c>
      <c r="BH35" s="942">
        <v>54</v>
      </c>
      <c r="BI35" s="942">
        <v>55</v>
      </c>
      <c r="BJ35" s="942">
        <v>56</v>
      </c>
      <c r="BK35" s="942">
        <v>57</v>
      </c>
      <c r="BL35" s="942">
        <v>58</v>
      </c>
      <c r="BM35" s="942">
        <v>59</v>
      </c>
      <c r="BN35" s="942">
        <v>60</v>
      </c>
      <c r="BO35" s="942">
        <v>61</v>
      </c>
      <c r="BP35" s="942">
        <v>62</v>
      </c>
      <c r="BQ35" s="942">
        <v>63</v>
      </c>
      <c r="BR35" s="942">
        <v>64</v>
      </c>
      <c r="BS35" s="942">
        <v>65</v>
      </c>
      <c r="BT35" s="942">
        <v>66</v>
      </c>
      <c r="BU35" s="942">
        <v>67</v>
      </c>
      <c r="BV35" s="942">
        <v>68</v>
      </c>
      <c r="BW35" s="942">
        <v>69</v>
      </c>
      <c r="BX35" s="942">
        <v>70</v>
      </c>
      <c r="BY35" s="942">
        <v>71</v>
      </c>
      <c r="BZ35" s="942">
        <v>72</v>
      </c>
      <c r="CA35" s="14"/>
    </row>
    <row r="36" spans="5:79" s="747" customFormat="1" ht="15">
      <c r="E36" s="987" t="s">
        <v>896</v>
      </c>
      <c r="F36" s="988"/>
      <c r="G36" s="984">
        <f>'meine Dünger'!C5</f>
        <v>0</v>
      </c>
      <c r="H36" s="906"/>
      <c r="I36" s="906" t="s">
        <v>920</v>
      </c>
      <c r="J36" s="906"/>
      <c r="K36" s="931">
        <f>SUM(G68:L68)</f>
        <v>0</v>
      </c>
      <c r="L36" s="908" t="s">
        <v>124</v>
      </c>
      <c r="M36" s="916">
        <f>'meine Dünger'!C6</f>
        <v>0</v>
      </c>
      <c r="N36" s="906"/>
      <c r="O36" s="906" t="s">
        <v>920</v>
      </c>
      <c r="P36" s="906"/>
      <c r="Q36" s="907">
        <f>SUM(M68:R68)</f>
        <v>0</v>
      </c>
      <c r="R36" s="908" t="s">
        <v>124</v>
      </c>
      <c r="S36" s="916">
        <f>'meine Dünger'!C7</f>
        <v>0</v>
      </c>
      <c r="T36" s="906"/>
      <c r="U36" s="906" t="s">
        <v>920</v>
      </c>
      <c r="V36" s="906"/>
      <c r="W36" s="907">
        <f>SUM(S68:X68)</f>
        <v>0</v>
      </c>
      <c r="X36" s="908" t="s">
        <v>124</v>
      </c>
      <c r="Y36" s="916">
        <f>'meine Dünger'!C8</f>
        <v>0</v>
      </c>
      <c r="Z36" s="906"/>
      <c r="AA36" s="906" t="s">
        <v>920</v>
      </c>
      <c r="AB36" s="906"/>
      <c r="AC36" s="907">
        <f>SUM(Y68:AD68)</f>
        <v>0</v>
      </c>
      <c r="AD36" s="908" t="s">
        <v>124</v>
      </c>
      <c r="AE36" s="916">
        <f>'meine Dünger'!C9</f>
        <v>0</v>
      </c>
      <c r="AF36" s="906"/>
      <c r="AG36" s="906" t="s">
        <v>920</v>
      </c>
      <c r="AH36" s="906"/>
      <c r="AI36" s="907">
        <f>SUM(AE68:AJ68)</f>
        <v>0</v>
      </c>
      <c r="AJ36" s="908" t="s">
        <v>124</v>
      </c>
      <c r="AK36" s="916">
        <f>'meine Dünger'!C10</f>
        <v>0</v>
      </c>
      <c r="AL36" s="906"/>
      <c r="AM36" s="906" t="s">
        <v>920</v>
      </c>
      <c r="AN36" s="906"/>
      <c r="AO36" s="907">
        <f>SUM(AK68:AP68)</f>
        <v>0</v>
      </c>
      <c r="AP36" s="908" t="s">
        <v>124</v>
      </c>
      <c r="AQ36" s="916">
        <f>'meine Dünger'!C11</f>
        <v>0</v>
      </c>
      <c r="AR36" s="906"/>
      <c r="AS36" s="906" t="s">
        <v>920</v>
      </c>
      <c r="AT36" s="906"/>
      <c r="AU36" s="907">
        <f>SUM(AQ68:AV68)</f>
        <v>0</v>
      </c>
      <c r="AV36" s="908" t="s">
        <v>124</v>
      </c>
      <c r="AW36" s="916">
        <f>'meine Dünger'!C12</f>
        <v>0</v>
      </c>
      <c r="AX36" s="906"/>
      <c r="AY36" s="906" t="s">
        <v>920</v>
      </c>
      <c r="AZ36" s="906"/>
      <c r="BA36" s="907">
        <f>SUM(AW68:BB68)</f>
        <v>0</v>
      </c>
      <c r="BB36" s="908" t="s">
        <v>124</v>
      </c>
      <c r="BC36" s="916">
        <f>'meine Dünger'!C13</f>
        <v>0</v>
      </c>
      <c r="BD36" s="906"/>
      <c r="BE36" s="906" t="s">
        <v>920</v>
      </c>
      <c r="BF36" s="906"/>
      <c r="BG36" s="907">
        <f>SUM(BC68:BH68)</f>
        <v>0</v>
      </c>
      <c r="BH36" s="908" t="s">
        <v>124</v>
      </c>
      <c r="BI36" s="916">
        <f>'meine Dünger'!C14</f>
        <v>0</v>
      </c>
      <c r="BJ36" s="906"/>
      <c r="BK36" s="906" t="s">
        <v>920</v>
      </c>
      <c r="BL36" s="906"/>
      <c r="BM36" s="907">
        <f>SUM(BI68:BN68)</f>
        <v>0</v>
      </c>
      <c r="BN36" s="908" t="s">
        <v>124</v>
      </c>
      <c r="BO36" s="916">
        <f>'meine Dünger'!C15</f>
        <v>0</v>
      </c>
      <c r="BP36" s="906"/>
      <c r="BQ36" s="906" t="s">
        <v>920</v>
      </c>
      <c r="BR36" s="906"/>
      <c r="BS36" s="907">
        <f>SUM(BO68:BT68)</f>
        <v>0</v>
      </c>
      <c r="BT36" s="908" t="s">
        <v>124</v>
      </c>
      <c r="BU36" s="916">
        <f>'meine Dünger'!C16</f>
        <v>0</v>
      </c>
      <c r="BV36" s="906"/>
      <c r="BW36" s="906" t="s">
        <v>920</v>
      </c>
      <c r="BX36" s="906"/>
      <c r="BY36" s="907">
        <f>SUM(BU68:BZ68)</f>
        <v>0</v>
      </c>
      <c r="BZ36" s="908" t="s">
        <v>124</v>
      </c>
      <c r="CA36" s="14"/>
    </row>
    <row r="37" spans="5:79" s="747" customFormat="1" ht="14.25">
      <c r="E37" s="989" t="s">
        <v>921</v>
      </c>
      <c r="F37" s="990"/>
      <c r="G37" s="985" t="s">
        <v>973</v>
      </c>
      <c r="H37" s="910" t="s">
        <v>974</v>
      </c>
      <c r="I37" s="910" t="s">
        <v>975</v>
      </c>
      <c r="J37" s="910" t="s">
        <v>976</v>
      </c>
      <c r="K37" s="910" t="s">
        <v>977</v>
      </c>
      <c r="L37" s="911" t="s">
        <v>849</v>
      </c>
      <c r="M37" s="909" t="s">
        <v>973</v>
      </c>
      <c r="N37" s="910" t="s">
        <v>974</v>
      </c>
      <c r="O37" s="910" t="s">
        <v>975</v>
      </c>
      <c r="P37" s="910" t="s">
        <v>976</v>
      </c>
      <c r="Q37" s="910" t="s">
        <v>977</v>
      </c>
      <c r="R37" s="911" t="s">
        <v>849</v>
      </c>
      <c r="S37" s="909" t="s">
        <v>973</v>
      </c>
      <c r="T37" s="910" t="s">
        <v>974</v>
      </c>
      <c r="U37" s="910" t="s">
        <v>975</v>
      </c>
      <c r="V37" s="910" t="s">
        <v>976</v>
      </c>
      <c r="W37" s="910" t="s">
        <v>977</v>
      </c>
      <c r="X37" s="911" t="s">
        <v>849</v>
      </c>
      <c r="Y37" s="909" t="s">
        <v>973</v>
      </c>
      <c r="Z37" s="910" t="s">
        <v>974</v>
      </c>
      <c r="AA37" s="910" t="s">
        <v>975</v>
      </c>
      <c r="AB37" s="910" t="s">
        <v>976</v>
      </c>
      <c r="AC37" s="910" t="s">
        <v>977</v>
      </c>
      <c r="AD37" s="911" t="s">
        <v>849</v>
      </c>
      <c r="AE37" s="909" t="s">
        <v>973</v>
      </c>
      <c r="AF37" s="910" t="s">
        <v>974</v>
      </c>
      <c r="AG37" s="910" t="s">
        <v>975</v>
      </c>
      <c r="AH37" s="910" t="s">
        <v>976</v>
      </c>
      <c r="AI37" s="910" t="s">
        <v>977</v>
      </c>
      <c r="AJ37" s="911" t="s">
        <v>849</v>
      </c>
      <c r="AK37" s="909" t="s">
        <v>973</v>
      </c>
      <c r="AL37" s="910" t="s">
        <v>974</v>
      </c>
      <c r="AM37" s="910" t="s">
        <v>975</v>
      </c>
      <c r="AN37" s="910" t="s">
        <v>976</v>
      </c>
      <c r="AO37" s="910" t="s">
        <v>977</v>
      </c>
      <c r="AP37" s="911" t="s">
        <v>849</v>
      </c>
      <c r="AQ37" s="909" t="s">
        <v>973</v>
      </c>
      <c r="AR37" s="910" t="s">
        <v>974</v>
      </c>
      <c r="AS37" s="910" t="s">
        <v>975</v>
      </c>
      <c r="AT37" s="910" t="s">
        <v>976</v>
      </c>
      <c r="AU37" s="910" t="s">
        <v>977</v>
      </c>
      <c r="AV37" s="911" t="s">
        <v>849</v>
      </c>
      <c r="AW37" s="909" t="s">
        <v>973</v>
      </c>
      <c r="AX37" s="910" t="s">
        <v>974</v>
      </c>
      <c r="AY37" s="910" t="s">
        <v>975</v>
      </c>
      <c r="AZ37" s="910" t="s">
        <v>976</v>
      </c>
      <c r="BA37" s="910" t="s">
        <v>977</v>
      </c>
      <c r="BB37" s="911" t="s">
        <v>849</v>
      </c>
      <c r="BC37" s="909" t="s">
        <v>973</v>
      </c>
      <c r="BD37" s="910" t="s">
        <v>974</v>
      </c>
      <c r="BE37" s="910" t="s">
        <v>975</v>
      </c>
      <c r="BF37" s="910" t="s">
        <v>976</v>
      </c>
      <c r="BG37" s="910" t="s">
        <v>977</v>
      </c>
      <c r="BH37" s="911" t="s">
        <v>849</v>
      </c>
      <c r="BI37" s="909" t="s">
        <v>973</v>
      </c>
      <c r="BJ37" s="910" t="s">
        <v>974</v>
      </c>
      <c r="BK37" s="910" t="s">
        <v>975</v>
      </c>
      <c r="BL37" s="910" t="s">
        <v>976</v>
      </c>
      <c r="BM37" s="910" t="s">
        <v>977</v>
      </c>
      <c r="BN37" s="911" t="s">
        <v>849</v>
      </c>
      <c r="BO37" s="909" t="s">
        <v>973</v>
      </c>
      <c r="BP37" s="910" t="s">
        <v>974</v>
      </c>
      <c r="BQ37" s="910" t="s">
        <v>975</v>
      </c>
      <c r="BR37" s="910" t="s">
        <v>976</v>
      </c>
      <c r="BS37" s="910" t="s">
        <v>977</v>
      </c>
      <c r="BT37" s="911" t="s">
        <v>849</v>
      </c>
      <c r="BU37" s="909" t="s">
        <v>973</v>
      </c>
      <c r="BV37" s="910" t="s">
        <v>974</v>
      </c>
      <c r="BW37" s="910" t="s">
        <v>975</v>
      </c>
      <c r="BX37" s="910" t="s">
        <v>976</v>
      </c>
      <c r="BY37" s="910" t="s">
        <v>977</v>
      </c>
      <c r="BZ37" s="911" t="s">
        <v>849</v>
      </c>
      <c r="CA37" s="14"/>
    </row>
    <row r="38" spans="5:79" s="747" customFormat="1" ht="15">
      <c r="E38" s="986" t="s">
        <v>927</v>
      </c>
      <c r="F38" s="10"/>
      <c r="G38" s="936">
        <f>G4*$F4</f>
        <v>0</v>
      </c>
      <c r="H38" s="936">
        <f t="shared" ref="H38:BS38" si="3">H4*$F4</f>
        <v>0</v>
      </c>
      <c r="I38" s="936">
        <f t="shared" si="3"/>
        <v>0</v>
      </c>
      <c r="J38" s="936">
        <f t="shared" si="3"/>
        <v>0</v>
      </c>
      <c r="K38" s="936">
        <f t="shared" si="3"/>
        <v>0</v>
      </c>
      <c r="L38" s="936">
        <f t="shared" si="3"/>
        <v>0</v>
      </c>
      <c r="M38" s="936">
        <f t="shared" si="3"/>
        <v>0</v>
      </c>
      <c r="N38" s="936">
        <f t="shared" si="3"/>
        <v>0</v>
      </c>
      <c r="O38" s="936">
        <f t="shared" si="3"/>
        <v>0</v>
      </c>
      <c r="P38" s="936">
        <f t="shared" si="3"/>
        <v>0</v>
      </c>
      <c r="Q38" s="936">
        <f t="shared" si="3"/>
        <v>0</v>
      </c>
      <c r="R38" s="936">
        <f t="shared" si="3"/>
        <v>0</v>
      </c>
      <c r="S38" s="936">
        <f t="shared" si="3"/>
        <v>0</v>
      </c>
      <c r="T38" s="936">
        <f t="shared" si="3"/>
        <v>0</v>
      </c>
      <c r="U38" s="936">
        <f t="shared" si="3"/>
        <v>0</v>
      </c>
      <c r="V38" s="936">
        <f t="shared" si="3"/>
        <v>0</v>
      </c>
      <c r="W38" s="936">
        <f t="shared" si="3"/>
        <v>0</v>
      </c>
      <c r="X38" s="936">
        <f t="shared" si="3"/>
        <v>0</v>
      </c>
      <c r="Y38" s="936">
        <f t="shared" si="3"/>
        <v>0</v>
      </c>
      <c r="Z38" s="936">
        <f t="shared" si="3"/>
        <v>0</v>
      </c>
      <c r="AA38" s="936">
        <f t="shared" si="3"/>
        <v>0</v>
      </c>
      <c r="AB38" s="936">
        <f t="shared" si="3"/>
        <v>0</v>
      </c>
      <c r="AC38" s="936">
        <f t="shared" si="3"/>
        <v>0</v>
      </c>
      <c r="AD38" s="936">
        <f t="shared" si="3"/>
        <v>0</v>
      </c>
      <c r="AE38" s="936">
        <f t="shared" si="3"/>
        <v>0</v>
      </c>
      <c r="AF38" s="936">
        <f t="shared" si="3"/>
        <v>0</v>
      </c>
      <c r="AG38" s="936">
        <f t="shared" si="3"/>
        <v>0</v>
      </c>
      <c r="AH38" s="936">
        <f t="shared" si="3"/>
        <v>0</v>
      </c>
      <c r="AI38" s="936">
        <f t="shared" si="3"/>
        <v>0</v>
      </c>
      <c r="AJ38" s="936">
        <f t="shared" si="3"/>
        <v>0</v>
      </c>
      <c r="AK38" s="936">
        <f t="shared" si="3"/>
        <v>0</v>
      </c>
      <c r="AL38" s="936">
        <f t="shared" si="3"/>
        <v>0</v>
      </c>
      <c r="AM38" s="936">
        <f t="shared" si="3"/>
        <v>0</v>
      </c>
      <c r="AN38" s="936">
        <f t="shared" si="3"/>
        <v>0</v>
      </c>
      <c r="AO38" s="936">
        <f t="shared" si="3"/>
        <v>0</v>
      </c>
      <c r="AP38" s="936">
        <f t="shared" si="3"/>
        <v>0</v>
      </c>
      <c r="AQ38" s="936">
        <f t="shared" si="3"/>
        <v>0</v>
      </c>
      <c r="AR38" s="936">
        <f t="shared" si="3"/>
        <v>0</v>
      </c>
      <c r="AS38" s="936">
        <f t="shared" si="3"/>
        <v>0</v>
      </c>
      <c r="AT38" s="936">
        <f t="shared" si="3"/>
        <v>0</v>
      </c>
      <c r="AU38" s="936">
        <f t="shared" si="3"/>
        <v>0</v>
      </c>
      <c r="AV38" s="936">
        <f t="shared" si="3"/>
        <v>0</v>
      </c>
      <c r="AW38" s="936">
        <f t="shared" si="3"/>
        <v>0</v>
      </c>
      <c r="AX38" s="936">
        <f t="shared" si="3"/>
        <v>0</v>
      </c>
      <c r="AY38" s="936">
        <f t="shared" si="3"/>
        <v>0</v>
      </c>
      <c r="AZ38" s="936">
        <f t="shared" si="3"/>
        <v>0</v>
      </c>
      <c r="BA38" s="936">
        <f t="shared" si="3"/>
        <v>0</v>
      </c>
      <c r="BB38" s="936">
        <f t="shared" si="3"/>
        <v>0</v>
      </c>
      <c r="BC38" s="936">
        <f t="shared" si="3"/>
        <v>0</v>
      </c>
      <c r="BD38" s="936">
        <f t="shared" si="3"/>
        <v>0</v>
      </c>
      <c r="BE38" s="936">
        <f t="shared" si="3"/>
        <v>0</v>
      </c>
      <c r="BF38" s="936">
        <f t="shared" si="3"/>
        <v>0</v>
      </c>
      <c r="BG38" s="936">
        <f t="shared" si="3"/>
        <v>0</v>
      </c>
      <c r="BH38" s="936">
        <f t="shared" si="3"/>
        <v>0</v>
      </c>
      <c r="BI38" s="936">
        <f t="shared" si="3"/>
        <v>0</v>
      </c>
      <c r="BJ38" s="936">
        <f t="shared" si="3"/>
        <v>0</v>
      </c>
      <c r="BK38" s="936">
        <f t="shared" si="3"/>
        <v>0</v>
      </c>
      <c r="BL38" s="936">
        <f t="shared" si="3"/>
        <v>0</v>
      </c>
      <c r="BM38" s="936">
        <f t="shared" si="3"/>
        <v>0</v>
      </c>
      <c r="BN38" s="936">
        <f t="shared" si="3"/>
        <v>0</v>
      </c>
      <c r="BO38" s="936">
        <f t="shared" si="3"/>
        <v>0</v>
      </c>
      <c r="BP38" s="936">
        <f t="shared" si="3"/>
        <v>0</v>
      </c>
      <c r="BQ38" s="936">
        <f t="shared" si="3"/>
        <v>0</v>
      </c>
      <c r="BR38" s="936">
        <f t="shared" si="3"/>
        <v>0</v>
      </c>
      <c r="BS38" s="936">
        <f t="shared" si="3"/>
        <v>0</v>
      </c>
      <c r="BT38" s="936">
        <f t="shared" ref="BT38:BZ38" si="4">BT4*$F4</f>
        <v>0</v>
      </c>
      <c r="BU38" s="936">
        <f t="shared" si="4"/>
        <v>0</v>
      </c>
      <c r="BV38" s="936">
        <f t="shared" si="4"/>
        <v>0</v>
      </c>
      <c r="BW38" s="936">
        <f t="shared" si="4"/>
        <v>0</v>
      </c>
      <c r="BX38" s="936">
        <f t="shared" si="4"/>
        <v>0</v>
      </c>
      <c r="BY38" s="936">
        <f t="shared" si="4"/>
        <v>0</v>
      </c>
      <c r="BZ38" s="936">
        <f t="shared" si="4"/>
        <v>0</v>
      </c>
      <c r="CA38" s="14"/>
    </row>
    <row r="39" spans="5:79" s="747" customFormat="1" ht="15">
      <c r="E39" s="912" t="s">
        <v>928</v>
      </c>
      <c r="F39" s="10"/>
      <c r="G39" s="936">
        <f t="shared" ref="G39:BR39" si="5">G5*$F5</f>
        <v>0</v>
      </c>
      <c r="H39" s="936">
        <f t="shared" si="5"/>
        <v>0</v>
      </c>
      <c r="I39" s="936">
        <f t="shared" si="5"/>
        <v>0</v>
      </c>
      <c r="J39" s="936">
        <f t="shared" si="5"/>
        <v>0</v>
      </c>
      <c r="K39" s="936">
        <f t="shared" si="5"/>
        <v>0</v>
      </c>
      <c r="L39" s="936">
        <f t="shared" si="5"/>
        <v>0</v>
      </c>
      <c r="M39" s="936">
        <f t="shared" si="5"/>
        <v>0</v>
      </c>
      <c r="N39" s="936">
        <f t="shared" si="5"/>
        <v>0</v>
      </c>
      <c r="O39" s="936">
        <f t="shared" si="5"/>
        <v>0</v>
      </c>
      <c r="P39" s="936">
        <f t="shared" si="5"/>
        <v>0</v>
      </c>
      <c r="Q39" s="936">
        <f t="shared" si="5"/>
        <v>0</v>
      </c>
      <c r="R39" s="936">
        <f t="shared" si="5"/>
        <v>0</v>
      </c>
      <c r="S39" s="936">
        <f t="shared" si="5"/>
        <v>0</v>
      </c>
      <c r="T39" s="936">
        <f t="shared" si="5"/>
        <v>0</v>
      </c>
      <c r="U39" s="936">
        <f t="shared" si="5"/>
        <v>0</v>
      </c>
      <c r="V39" s="936">
        <f t="shared" si="5"/>
        <v>0</v>
      </c>
      <c r="W39" s="936">
        <f t="shared" si="5"/>
        <v>0</v>
      </c>
      <c r="X39" s="936">
        <f t="shared" si="5"/>
        <v>0</v>
      </c>
      <c r="Y39" s="936">
        <f t="shared" si="5"/>
        <v>0</v>
      </c>
      <c r="Z39" s="936">
        <f t="shared" si="5"/>
        <v>0</v>
      </c>
      <c r="AA39" s="936">
        <f t="shared" si="5"/>
        <v>0</v>
      </c>
      <c r="AB39" s="936">
        <f t="shared" si="5"/>
        <v>0</v>
      </c>
      <c r="AC39" s="936">
        <f t="shared" si="5"/>
        <v>0</v>
      </c>
      <c r="AD39" s="936">
        <f t="shared" si="5"/>
        <v>0</v>
      </c>
      <c r="AE39" s="936">
        <f t="shared" si="5"/>
        <v>0</v>
      </c>
      <c r="AF39" s="936">
        <f t="shared" si="5"/>
        <v>0</v>
      </c>
      <c r="AG39" s="936">
        <f t="shared" si="5"/>
        <v>0</v>
      </c>
      <c r="AH39" s="936">
        <f t="shared" si="5"/>
        <v>0</v>
      </c>
      <c r="AI39" s="936">
        <f t="shared" si="5"/>
        <v>0</v>
      </c>
      <c r="AJ39" s="936">
        <f t="shared" si="5"/>
        <v>0</v>
      </c>
      <c r="AK39" s="936">
        <f t="shared" si="5"/>
        <v>0</v>
      </c>
      <c r="AL39" s="936">
        <f t="shared" si="5"/>
        <v>0</v>
      </c>
      <c r="AM39" s="936">
        <f t="shared" si="5"/>
        <v>0</v>
      </c>
      <c r="AN39" s="936">
        <f t="shared" si="5"/>
        <v>0</v>
      </c>
      <c r="AO39" s="936">
        <f t="shared" si="5"/>
        <v>0</v>
      </c>
      <c r="AP39" s="936">
        <f t="shared" si="5"/>
        <v>0</v>
      </c>
      <c r="AQ39" s="936">
        <f t="shared" si="5"/>
        <v>0</v>
      </c>
      <c r="AR39" s="936">
        <f t="shared" si="5"/>
        <v>0</v>
      </c>
      <c r="AS39" s="936">
        <f t="shared" si="5"/>
        <v>0</v>
      </c>
      <c r="AT39" s="936">
        <f t="shared" si="5"/>
        <v>0</v>
      </c>
      <c r="AU39" s="936">
        <f t="shared" si="5"/>
        <v>0</v>
      </c>
      <c r="AV39" s="936">
        <f t="shared" si="5"/>
        <v>0</v>
      </c>
      <c r="AW39" s="936">
        <f t="shared" si="5"/>
        <v>0</v>
      </c>
      <c r="AX39" s="936">
        <f t="shared" si="5"/>
        <v>0</v>
      </c>
      <c r="AY39" s="936">
        <f t="shared" si="5"/>
        <v>0</v>
      </c>
      <c r="AZ39" s="936">
        <f t="shared" si="5"/>
        <v>0</v>
      </c>
      <c r="BA39" s="936">
        <f t="shared" si="5"/>
        <v>0</v>
      </c>
      <c r="BB39" s="936">
        <f t="shared" si="5"/>
        <v>0</v>
      </c>
      <c r="BC39" s="936">
        <f t="shared" si="5"/>
        <v>0</v>
      </c>
      <c r="BD39" s="936">
        <f t="shared" si="5"/>
        <v>0</v>
      </c>
      <c r="BE39" s="936">
        <f t="shared" si="5"/>
        <v>0</v>
      </c>
      <c r="BF39" s="936">
        <f t="shared" si="5"/>
        <v>0</v>
      </c>
      <c r="BG39" s="936">
        <f t="shared" si="5"/>
        <v>0</v>
      </c>
      <c r="BH39" s="936">
        <f t="shared" si="5"/>
        <v>0</v>
      </c>
      <c r="BI39" s="936">
        <f t="shared" si="5"/>
        <v>0</v>
      </c>
      <c r="BJ39" s="936">
        <f t="shared" si="5"/>
        <v>0</v>
      </c>
      <c r="BK39" s="936">
        <f t="shared" si="5"/>
        <v>0</v>
      </c>
      <c r="BL39" s="936">
        <f t="shared" si="5"/>
        <v>0</v>
      </c>
      <c r="BM39" s="936">
        <f t="shared" si="5"/>
        <v>0</v>
      </c>
      <c r="BN39" s="936">
        <f t="shared" si="5"/>
        <v>0</v>
      </c>
      <c r="BO39" s="936">
        <f t="shared" si="5"/>
        <v>0</v>
      </c>
      <c r="BP39" s="936">
        <f t="shared" si="5"/>
        <v>0</v>
      </c>
      <c r="BQ39" s="936">
        <f t="shared" si="5"/>
        <v>0</v>
      </c>
      <c r="BR39" s="936">
        <f t="shared" si="5"/>
        <v>0</v>
      </c>
      <c r="BS39" s="936">
        <f t="shared" ref="BS39:BZ39" si="6">BS5*$F5</f>
        <v>0</v>
      </c>
      <c r="BT39" s="936">
        <f t="shared" si="6"/>
        <v>0</v>
      </c>
      <c r="BU39" s="936">
        <f t="shared" si="6"/>
        <v>0</v>
      </c>
      <c r="BV39" s="936">
        <f t="shared" si="6"/>
        <v>0</v>
      </c>
      <c r="BW39" s="936">
        <f t="shared" si="6"/>
        <v>0</v>
      </c>
      <c r="BX39" s="936">
        <f t="shared" si="6"/>
        <v>0</v>
      </c>
      <c r="BY39" s="936">
        <f t="shared" si="6"/>
        <v>0</v>
      </c>
      <c r="BZ39" s="936">
        <f t="shared" si="6"/>
        <v>0</v>
      </c>
      <c r="CA39" s="14"/>
    </row>
    <row r="40" spans="5:79" s="747" customFormat="1" ht="15">
      <c r="E40" s="912" t="s">
        <v>929</v>
      </c>
      <c r="F40" s="10"/>
      <c r="G40" s="936">
        <f t="shared" ref="G40:BR40" si="7">G6*$F6</f>
        <v>0</v>
      </c>
      <c r="H40" s="936">
        <f t="shared" si="7"/>
        <v>0</v>
      </c>
      <c r="I40" s="936">
        <f t="shared" si="7"/>
        <v>0</v>
      </c>
      <c r="J40" s="936">
        <f t="shared" si="7"/>
        <v>0</v>
      </c>
      <c r="K40" s="936">
        <f t="shared" si="7"/>
        <v>0</v>
      </c>
      <c r="L40" s="936">
        <f t="shared" si="7"/>
        <v>0</v>
      </c>
      <c r="M40" s="936">
        <f t="shared" si="7"/>
        <v>0</v>
      </c>
      <c r="N40" s="936">
        <f t="shared" si="7"/>
        <v>0</v>
      </c>
      <c r="O40" s="936">
        <f t="shared" si="7"/>
        <v>0</v>
      </c>
      <c r="P40" s="936">
        <f t="shared" si="7"/>
        <v>0</v>
      </c>
      <c r="Q40" s="936">
        <f t="shared" si="7"/>
        <v>0</v>
      </c>
      <c r="R40" s="936">
        <f t="shared" si="7"/>
        <v>0</v>
      </c>
      <c r="S40" s="936">
        <f t="shared" si="7"/>
        <v>0</v>
      </c>
      <c r="T40" s="936">
        <f t="shared" si="7"/>
        <v>0</v>
      </c>
      <c r="U40" s="936">
        <f t="shared" si="7"/>
        <v>0</v>
      </c>
      <c r="V40" s="936">
        <f t="shared" si="7"/>
        <v>0</v>
      </c>
      <c r="W40" s="936">
        <f t="shared" si="7"/>
        <v>0</v>
      </c>
      <c r="X40" s="936">
        <f t="shared" si="7"/>
        <v>0</v>
      </c>
      <c r="Y40" s="936">
        <f t="shared" si="7"/>
        <v>0</v>
      </c>
      <c r="Z40" s="936">
        <f t="shared" si="7"/>
        <v>0</v>
      </c>
      <c r="AA40" s="936">
        <f t="shared" si="7"/>
        <v>0</v>
      </c>
      <c r="AB40" s="936">
        <f t="shared" si="7"/>
        <v>0</v>
      </c>
      <c r="AC40" s="936">
        <f t="shared" si="7"/>
        <v>0</v>
      </c>
      <c r="AD40" s="936">
        <f t="shared" si="7"/>
        <v>0</v>
      </c>
      <c r="AE40" s="936">
        <f t="shared" si="7"/>
        <v>0</v>
      </c>
      <c r="AF40" s="936">
        <f t="shared" si="7"/>
        <v>0</v>
      </c>
      <c r="AG40" s="936">
        <f t="shared" si="7"/>
        <v>0</v>
      </c>
      <c r="AH40" s="936">
        <f t="shared" si="7"/>
        <v>0</v>
      </c>
      <c r="AI40" s="936">
        <f t="shared" si="7"/>
        <v>0</v>
      </c>
      <c r="AJ40" s="936">
        <f t="shared" si="7"/>
        <v>0</v>
      </c>
      <c r="AK40" s="936">
        <f t="shared" si="7"/>
        <v>0</v>
      </c>
      <c r="AL40" s="936">
        <f t="shared" si="7"/>
        <v>0</v>
      </c>
      <c r="AM40" s="936">
        <f t="shared" si="7"/>
        <v>0</v>
      </c>
      <c r="AN40" s="936">
        <f t="shared" si="7"/>
        <v>0</v>
      </c>
      <c r="AO40" s="936">
        <f t="shared" si="7"/>
        <v>0</v>
      </c>
      <c r="AP40" s="936">
        <f t="shared" si="7"/>
        <v>0</v>
      </c>
      <c r="AQ40" s="936">
        <f t="shared" si="7"/>
        <v>0</v>
      </c>
      <c r="AR40" s="936">
        <f t="shared" si="7"/>
        <v>0</v>
      </c>
      <c r="AS40" s="936">
        <f t="shared" si="7"/>
        <v>0</v>
      </c>
      <c r="AT40" s="936">
        <f t="shared" si="7"/>
        <v>0</v>
      </c>
      <c r="AU40" s="936">
        <f t="shared" si="7"/>
        <v>0</v>
      </c>
      <c r="AV40" s="936">
        <f t="shared" si="7"/>
        <v>0</v>
      </c>
      <c r="AW40" s="936">
        <f t="shared" si="7"/>
        <v>0</v>
      </c>
      <c r="AX40" s="936">
        <f t="shared" si="7"/>
        <v>0</v>
      </c>
      <c r="AY40" s="936">
        <f t="shared" si="7"/>
        <v>0</v>
      </c>
      <c r="AZ40" s="936">
        <f t="shared" si="7"/>
        <v>0</v>
      </c>
      <c r="BA40" s="936">
        <f t="shared" si="7"/>
        <v>0</v>
      </c>
      <c r="BB40" s="936">
        <f t="shared" si="7"/>
        <v>0</v>
      </c>
      <c r="BC40" s="936">
        <f t="shared" si="7"/>
        <v>0</v>
      </c>
      <c r="BD40" s="936">
        <f t="shared" si="7"/>
        <v>0</v>
      </c>
      <c r="BE40" s="936">
        <f t="shared" si="7"/>
        <v>0</v>
      </c>
      <c r="BF40" s="936">
        <f t="shared" si="7"/>
        <v>0</v>
      </c>
      <c r="BG40" s="936">
        <f t="shared" si="7"/>
        <v>0</v>
      </c>
      <c r="BH40" s="936">
        <f t="shared" si="7"/>
        <v>0</v>
      </c>
      <c r="BI40" s="936">
        <f t="shared" si="7"/>
        <v>0</v>
      </c>
      <c r="BJ40" s="936">
        <f t="shared" si="7"/>
        <v>0</v>
      </c>
      <c r="BK40" s="936">
        <f t="shared" si="7"/>
        <v>0</v>
      </c>
      <c r="BL40" s="936">
        <f t="shared" si="7"/>
        <v>0</v>
      </c>
      <c r="BM40" s="936">
        <f t="shared" si="7"/>
        <v>0</v>
      </c>
      <c r="BN40" s="936">
        <f t="shared" si="7"/>
        <v>0</v>
      </c>
      <c r="BO40" s="936">
        <f t="shared" si="7"/>
        <v>0</v>
      </c>
      <c r="BP40" s="936">
        <f t="shared" si="7"/>
        <v>0</v>
      </c>
      <c r="BQ40" s="936">
        <f t="shared" si="7"/>
        <v>0</v>
      </c>
      <c r="BR40" s="936">
        <f t="shared" si="7"/>
        <v>0</v>
      </c>
      <c r="BS40" s="936">
        <f t="shared" ref="BS40:BZ40" si="8">BS6*$F6</f>
        <v>0</v>
      </c>
      <c r="BT40" s="936">
        <f t="shared" si="8"/>
        <v>0</v>
      </c>
      <c r="BU40" s="936">
        <f t="shared" si="8"/>
        <v>0</v>
      </c>
      <c r="BV40" s="936">
        <f t="shared" si="8"/>
        <v>0</v>
      </c>
      <c r="BW40" s="936">
        <f t="shared" si="8"/>
        <v>0</v>
      </c>
      <c r="BX40" s="936">
        <f t="shared" si="8"/>
        <v>0</v>
      </c>
      <c r="BY40" s="936">
        <f t="shared" si="8"/>
        <v>0</v>
      </c>
      <c r="BZ40" s="936">
        <f t="shared" si="8"/>
        <v>0</v>
      </c>
      <c r="CA40" s="14"/>
    </row>
    <row r="41" spans="5:79" s="747" customFormat="1" ht="15">
      <c r="E41" s="912" t="s">
        <v>930</v>
      </c>
      <c r="F41" s="10"/>
      <c r="G41" s="936">
        <f t="shared" ref="G41:BR41" si="9">G7*$F7</f>
        <v>0</v>
      </c>
      <c r="H41" s="936">
        <f t="shared" si="9"/>
        <v>0</v>
      </c>
      <c r="I41" s="936">
        <f t="shared" si="9"/>
        <v>0</v>
      </c>
      <c r="J41" s="936">
        <f t="shared" si="9"/>
        <v>0</v>
      </c>
      <c r="K41" s="936">
        <f t="shared" si="9"/>
        <v>0</v>
      </c>
      <c r="L41" s="936">
        <f t="shared" si="9"/>
        <v>0</v>
      </c>
      <c r="M41" s="936">
        <f t="shared" si="9"/>
        <v>0</v>
      </c>
      <c r="N41" s="936">
        <f t="shared" si="9"/>
        <v>0</v>
      </c>
      <c r="O41" s="936">
        <f t="shared" si="9"/>
        <v>0</v>
      </c>
      <c r="P41" s="936">
        <f t="shared" si="9"/>
        <v>0</v>
      </c>
      <c r="Q41" s="936">
        <f t="shared" si="9"/>
        <v>0</v>
      </c>
      <c r="R41" s="936">
        <f t="shared" si="9"/>
        <v>0</v>
      </c>
      <c r="S41" s="936">
        <f t="shared" si="9"/>
        <v>0</v>
      </c>
      <c r="T41" s="936">
        <f t="shared" si="9"/>
        <v>0</v>
      </c>
      <c r="U41" s="936">
        <f t="shared" si="9"/>
        <v>0</v>
      </c>
      <c r="V41" s="936">
        <f t="shared" si="9"/>
        <v>0</v>
      </c>
      <c r="W41" s="936">
        <f t="shared" si="9"/>
        <v>0</v>
      </c>
      <c r="X41" s="936">
        <f t="shared" si="9"/>
        <v>0</v>
      </c>
      <c r="Y41" s="936">
        <f t="shared" si="9"/>
        <v>0</v>
      </c>
      <c r="Z41" s="936">
        <f t="shared" si="9"/>
        <v>0</v>
      </c>
      <c r="AA41" s="936">
        <f t="shared" si="9"/>
        <v>0</v>
      </c>
      <c r="AB41" s="936">
        <f t="shared" si="9"/>
        <v>0</v>
      </c>
      <c r="AC41" s="936">
        <f t="shared" si="9"/>
        <v>0</v>
      </c>
      <c r="AD41" s="936">
        <f t="shared" si="9"/>
        <v>0</v>
      </c>
      <c r="AE41" s="936">
        <f t="shared" si="9"/>
        <v>0</v>
      </c>
      <c r="AF41" s="936">
        <f t="shared" si="9"/>
        <v>0</v>
      </c>
      <c r="AG41" s="936">
        <f t="shared" si="9"/>
        <v>0</v>
      </c>
      <c r="AH41" s="936">
        <f t="shared" si="9"/>
        <v>0</v>
      </c>
      <c r="AI41" s="936">
        <f t="shared" si="9"/>
        <v>0</v>
      </c>
      <c r="AJ41" s="936">
        <f t="shared" si="9"/>
        <v>0</v>
      </c>
      <c r="AK41" s="936">
        <f t="shared" si="9"/>
        <v>0</v>
      </c>
      <c r="AL41" s="936">
        <f t="shared" si="9"/>
        <v>0</v>
      </c>
      <c r="AM41" s="936">
        <f t="shared" si="9"/>
        <v>0</v>
      </c>
      <c r="AN41" s="936">
        <f t="shared" si="9"/>
        <v>0</v>
      </c>
      <c r="AO41" s="936">
        <f t="shared" si="9"/>
        <v>0</v>
      </c>
      <c r="AP41" s="936">
        <f t="shared" si="9"/>
        <v>0</v>
      </c>
      <c r="AQ41" s="936">
        <f t="shared" si="9"/>
        <v>0</v>
      </c>
      <c r="AR41" s="936">
        <f t="shared" si="9"/>
        <v>0</v>
      </c>
      <c r="AS41" s="936">
        <f t="shared" si="9"/>
        <v>0</v>
      </c>
      <c r="AT41" s="936">
        <f t="shared" si="9"/>
        <v>0</v>
      </c>
      <c r="AU41" s="936">
        <f t="shared" si="9"/>
        <v>0</v>
      </c>
      <c r="AV41" s="936">
        <f t="shared" si="9"/>
        <v>0</v>
      </c>
      <c r="AW41" s="936">
        <f t="shared" si="9"/>
        <v>0</v>
      </c>
      <c r="AX41" s="936">
        <f t="shared" si="9"/>
        <v>0</v>
      </c>
      <c r="AY41" s="936">
        <f t="shared" si="9"/>
        <v>0</v>
      </c>
      <c r="AZ41" s="936">
        <f t="shared" si="9"/>
        <v>0</v>
      </c>
      <c r="BA41" s="936">
        <f t="shared" si="9"/>
        <v>0</v>
      </c>
      <c r="BB41" s="936">
        <f t="shared" si="9"/>
        <v>0</v>
      </c>
      <c r="BC41" s="936">
        <f t="shared" si="9"/>
        <v>0</v>
      </c>
      <c r="BD41" s="936">
        <f t="shared" si="9"/>
        <v>0</v>
      </c>
      <c r="BE41" s="936">
        <f t="shared" si="9"/>
        <v>0</v>
      </c>
      <c r="BF41" s="936">
        <f t="shared" si="9"/>
        <v>0</v>
      </c>
      <c r="BG41" s="936">
        <f t="shared" si="9"/>
        <v>0</v>
      </c>
      <c r="BH41" s="936">
        <f t="shared" si="9"/>
        <v>0</v>
      </c>
      <c r="BI41" s="936">
        <f t="shared" si="9"/>
        <v>0</v>
      </c>
      <c r="BJ41" s="936">
        <f t="shared" si="9"/>
        <v>0</v>
      </c>
      <c r="BK41" s="936">
        <f t="shared" si="9"/>
        <v>0</v>
      </c>
      <c r="BL41" s="936">
        <f t="shared" si="9"/>
        <v>0</v>
      </c>
      <c r="BM41" s="936">
        <f t="shared" si="9"/>
        <v>0</v>
      </c>
      <c r="BN41" s="936">
        <f t="shared" si="9"/>
        <v>0</v>
      </c>
      <c r="BO41" s="936">
        <f t="shared" si="9"/>
        <v>0</v>
      </c>
      <c r="BP41" s="936">
        <f t="shared" si="9"/>
        <v>0</v>
      </c>
      <c r="BQ41" s="936">
        <f t="shared" si="9"/>
        <v>0</v>
      </c>
      <c r="BR41" s="936">
        <f t="shared" si="9"/>
        <v>0</v>
      </c>
      <c r="BS41" s="936">
        <f t="shared" ref="BS41:BZ41" si="10">BS7*$F7</f>
        <v>0</v>
      </c>
      <c r="BT41" s="936">
        <f t="shared" si="10"/>
        <v>0</v>
      </c>
      <c r="BU41" s="936">
        <f t="shared" si="10"/>
        <v>0</v>
      </c>
      <c r="BV41" s="936">
        <f t="shared" si="10"/>
        <v>0</v>
      </c>
      <c r="BW41" s="936">
        <f t="shared" si="10"/>
        <v>0</v>
      </c>
      <c r="BX41" s="936">
        <f t="shared" si="10"/>
        <v>0</v>
      </c>
      <c r="BY41" s="936">
        <f t="shared" si="10"/>
        <v>0</v>
      </c>
      <c r="BZ41" s="936">
        <f t="shared" si="10"/>
        <v>0</v>
      </c>
      <c r="CA41" s="14"/>
    </row>
    <row r="42" spans="5:79" s="747" customFormat="1" ht="15">
      <c r="E42" s="912" t="s">
        <v>931</v>
      </c>
      <c r="F42" s="10"/>
      <c r="G42" s="936">
        <f t="shared" ref="G42:BR42" si="11">G8*$F8</f>
        <v>0</v>
      </c>
      <c r="H42" s="936">
        <f t="shared" si="11"/>
        <v>0</v>
      </c>
      <c r="I42" s="936">
        <f t="shared" si="11"/>
        <v>0</v>
      </c>
      <c r="J42" s="936">
        <f t="shared" si="11"/>
        <v>0</v>
      </c>
      <c r="K42" s="936">
        <f t="shared" si="11"/>
        <v>0</v>
      </c>
      <c r="L42" s="936">
        <f t="shared" si="11"/>
        <v>0</v>
      </c>
      <c r="M42" s="936">
        <f t="shared" si="11"/>
        <v>0</v>
      </c>
      <c r="N42" s="936">
        <f t="shared" si="11"/>
        <v>0</v>
      </c>
      <c r="O42" s="936">
        <f t="shared" si="11"/>
        <v>0</v>
      </c>
      <c r="P42" s="936">
        <f t="shared" si="11"/>
        <v>0</v>
      </c>
      <c r="Q42" s="936">
        <f t="shared" si="11"/>
        <v>0</v>
      </c>
      <c r="R42" s="936">
        <f t="shared" si="11"/>
        <v>0</v>
      </c>
      <c r="S42" s="936">
        <f t="shared" si="11"/>
        <v>0</v>
      </c>
      <c r="T42" s="936">
        <f t="shared" si="11"/>
        <v>0</v>
      </c>
      <c r="U42" s="936">
        <f t="shared" si="11"/>
        <v>0</v>
      </c>
      <c r="V42" s="936">
        <f t="shared" si="11"/>
        <v>0</v>
      </c>
      <c r="W42" s="936">
        <f t="shared" si="11"/>
        <v>0</v>
      </c>
      <c r="X42" s="936">
        <f t="shared" si="11"/>
        <v>0</v>
      </c>
      <c r="Y42" s="936">
        <f t="shared" si="11"/>
        <v>0</v>
      </c>
      <c r="Z42" s="936">
        <f t="shared" si="11"/>
        <v>0</v>
      </c>
      <c r="AA42" s="936">
        <f t="shared" si="11"/>
        <v>0</v>
      </c>
      <c r="AB42" s="936">
        <f t="shared" si="11"/>
        <v>0</v>
      </c>
      <c r="AC42" s="936">
        <f t="shared" si="11"/>
        <v>0</v>
      </c>
      <c r="AD42" s="936">
        <f t="shared" si="11"/>
        <v>0</v>
      </c>
      <c r="AE42" s="936">
        <f t="shared" si="11"/>
        <v>0</v>
      </c>
      <c r="AF42" s="936">
        <f t="shared" si="11"/>
        <v>0</v>
      </c>
      <c r="AG42" s="936">
        <f t="shared" si="11"/>
        <v>0</v>
      </c>
      <c r="AH42" s="936">
        <f t="shared" si="11"/>
        <v>0</v>
      </c>
      <c r="AI42" s="936">
        <f t="shared" si="11"/>
        <v>0</v>
      </c>
      <c r="AJ42" s="936">
        <f t="shared" si="11"/>
        <v>0</v>
      </c>
      <c r="AK42" s="936">
        <f t="shared" si="11"/>
        <v>0</v>
      </c>
      <c r="AL42" s="936">
        <f t="shared" si="11"/>
        <v>0</v>
      </c>
      <c r="AM42" s="936">
        <f t="shared" si="11"/>
        <v>0</v>
      </c>
      <c r="AN42" s="936">
        <f t="shared" si="11"/>
        <v>0</v>
      </c>
      <c r="AO42" s="936">
        <f t="shared" si="11"/>
        <v>0</v>
      </c>
      <c r="AP42" s="936">
        <f t="shared" si="11"/>
        <v>0</v>
      </c>
      <c r="AQ42" s="936">
        <f t="shared" si="11"/>
        <v>0</v>
      </c>
      <c r="AR42" s="936">
        <f t="shared" si="11"/>
        <v>0</v>
      </c>
      <c r="AS42" s="936">
        <f t="shared" si="11"/>
        <v>0</v>
      </c>
      <c r="AT42" s="936">
        <f t="shared" si="11"/>
        <v>0</v>
      </c>
      <c r="AU42" s="936">
        <f t="shared" si="11"/>
        <v>0</v>
      </c>
      <c r="AV42" s="936">
        <f t="shared" si="11"/>
        <v>0</v>
      </c>
      <c r="AW42" s="936">
        <f t="shared" si="11"/>
        <v>0</v>
      </c>
      <c r="AX42" s="936">
        <f t="shared" si="11"/>
        <v>0</v>
      </c>
      <c r="AY42" s="936">
        <f t="shared" si="11"/>
        <v>0</v>
      </c>
      <c r="AZ42" s="936">
        <f t="shared" si="11"/>
        <v>0</v>
      </c>
      <c r="BA42" s="936">
        <f t="shared" si="11"/>
        <v>0</v>
      </c>
      <c r="BB42" s="936">
        <f t="shared" si="11"/>
        <v>0</v>
      </c>
      <c r="BC42" s="936">
        <f t="shared" si="11"/>
        <v>0</v>
      </c>
      <c r="BD42" s="936">
        <f t="shared" si="11"/>
        <v>0</v>
      </c>
      <c r="BE42" s="936">
        <f t="shared" si="11"/>
        <v>0</v>
      </c>
      <c r="BF42" s="936">
        <f t="shared" si="11"/>
        <v>0</v>
      </c>
      <c r="BG42" s="936">
        <f t="shared" si="11"/>
        <v>0</v>
      </c>
      <c r="BH42" s="936">
        <f t="shared" si="11"/>
        <v>0</v>
      </c>
      <c r="BI42" s="936">
        <f t="shared" si="11"/>
        <v>0</v>
      </c>
      <c r="BJ42" s="936">
        <f t="shared" si="11"/>
        <v>0</v>
      </c>
      <c r="BK42" s="936">
        <f t="shared" si="11"/>
        <v>0</v>
      </c>
      <c r="BL42" s="936">
        <f t="shared" si="11"/>
        <v>0</v>
      </c>
      <c r="BM42" s="936">
        <f t="shared" si="11"/>
        <v>0</v>
      </c>
      <c r="BN42" s="936">
        <f t="shared" si="11"/>
        <v>0</v>
      </c>
      <c r="BO42" s="936">
        <f t="shared" si="11"/>
        <v>0</v>
      </c>
      <c r="BP42" s="936">
        <f t="shared" si="11"/>
        <v>0</v>
      </c>
      <c r="BQ42" s="936">
        <f t="shared" si="11"/>
        <v>0</v>
      </c>
      <c r="BR42" s="936">
        <f t="shared" si="11"/>
        <v>0</v>
      </c>
      <c r="BS42" s="936">
        <f t="shared" ref="BS42:BZ42" si="12">BS8*$F8</f>
        <v>0</v>
      </c>
      <c r="BT42" s="936">
        <f t="shared" si="12"/>
        <v>0</v>
      </c>
      <c r="BU42" s="936">
        <f t="shared" si="12"/>
        <v>0</v>
      </c>
      <c r="BV42" s="936">
        <f t="shared" si="12"/>
        <v>0</v>
      </c>
      <c r="BW42" s="936">
        <f t="shared" si="12"/>
        <v>0</v>
      </c>
      <c r="BX42" s="936">
        <f t="shared" si="12"/>
        <v>0</v>
      </c>
      <c r="BY42" s="936">
        <f t="shared" si="12"/>
        <v>0</v>
      </c>
      <c r="BZ42" s="936">
        <f t="shared" si="12"/>
        <v>0</v>
      </c>
      <c r="CA42" s="14"/>
    </row>
    <row r="43" spans="5:79" s="747" customFormat="1" ht="15">
      <c r="E43" s="912" t="s">
        <v>932</v>
      </c>
      <c r="F43" s="10"/>
      <c r="G43" s="936">
        <f t="shared" ref="G43:BR43" si="13">G9*$F9</f>
        <v>0</v>
      </c>
      <c r="H43" s="936">
        <f t="shared" si="13"/>
        <v>0</v>
      </c>
      <c r="I43" s="936">
        <f t="shared" si="13"/>
        <v>0</v>
      </c>
      <c r="J43" s="936">
        <f t="shared" si="13"/>
        <v>0</v>
      </c>
      <c r="K43" s="936">
        <f t="shared" si="13"/>
        <v>0</v>
      </c>
      <c r="L43" s="936">
        <f t="shared" si="13"/>
        <v>0</v>
      </c>
      <c r="M43" s="936">
        <f t="shared" si="13"/>
        <v>0</v>
      </c>
      <c r="N43" s="936">
        <f t="shared" si="13"/>
        <v>0</v>
      </c>
      <c r="O43" s="936">
        <f t="shared" si="13"/>
        <v>0</v>
      </c>
      <c r="P43" s="936">
        <f t="shared" si="13"/>
        <v>0</v>
      </c>
      <c r="Q43" s="936">
        <f t="shared" si="13"/>
        <v>0</v>
      </c>
      <c r="R43" s="936">
        <f t="shared" si="13"/>
        <v>0</v>
      </c>
      <c r="S43" s="936">
        <f t="shared" si="13"/>
        <v>0</v>
      </c>
      <c r="T43" s="936">
        <f t="shared" si="13"/>
        <v>0</v>
      </c>
      <c r="U43" s="936">
        <f t="shared" si="13"/>
        <v>0</v>
      </c>
      <c r="V43" s="936">
        <f t="shared" si="13"/>
        <v>0</v>
      </c>
      <c r="W43" s="936">
        <f t="shared" si="13"/>
        <v>0</v>
      </c>
      <c r="X43" s="936">
        <f t="shared" si="13"/>
        <v>0</v>
      </c>
      <c r="Y43" s="936">
        <f t="shared" si="13"/>
        <v>0</v>
      </c>
      <c r="Z43" s="936">
        <f t="shared" si="13"/>
        <v>0</v>
      </c>
      <c r="AA43" s="936">
        <f t="shared" si="13"/>
        <v>0</v>
      </c>
      <c r="AB43" s="936">
        <f t="shared" si="13"/>
        <v>0</v>
      </c>
      <c r="AC43" s="936">
        <f t="shared" si="13"/>
        <v>0</v>
      </c>
      <c r="AD43" s="936">
        <f t="shared" si="13"/>
        <v>0</v>
      </c>
      <c r="AE43" s="936">
        <f t="shared" si="13"/>
        <v>0</v>
      </c>
      <c r="AF43" s="936">
        <f t="shared" si="13"/>
        <v>0</v>
      </c>
      <c r="AG43" s="936">
        <f t="shared" si="13"/>
        <v>0</v>
      </c>
      <c r="AH43" s="936">
        <f t="shared" si="13"/>
        <v>0</v>
      </c>
      <c r="AI43" s="936">
        <f t="shared" si="13"/>
        <v>0</v>
      </c>
      <c r="AJ43" s="936">
        <f t="shared" si="13"/>
        <v>0</v>
      </c>
      <c r="AK43" s="936">
        <f t="shared" si="13"/>
        <v>0</v>
      </c>
      <c r="AL43" s="936">
        <f t="shared" si="13"/>
        <v>0</v>
      </c>
      <c r="AM43" s="936">
        <f t="shared" si="13"/>
        <v>0</v>
      </c>
      <c r="AN43" s="936">
        <f t="shared" si="13"/>
        <v>0</v>
      </c>
      <c r="AO43" s="936">
        <f t="shared" si="13"/>
        <v>0</v>
      </c>
      <c r="AP43" s="936">
        <f t="shared" si="13"/>
        <v>0</v>
      </c>
      <c r="AQ43" s="936">
        <f t="shared" si="13"/>
        <v>0</v>
      </c>
      <c r="AR43" s="936">
        <f t="shared" si="13"/>
        <v>0</v>
      </c>
      <c r="AS43" s="936">
        <f t="shared" si="13"/>
        <v>0</v>
      </c>
      <c r="AT43" s="936">
        <f t="shared" si="13"/>
        <v>0</v>
      </c>
      <c r="AU43" s="936">
        <f t="shared" si="13"/>
        <v>0</v>
      </c>
      <c r="AV43" s="936">
        <f t="shared" si="13"/>
        <v>0</v>
      </c>
      <c r="AW43" s="936">
        <f t="shared" si="13"/>
        <v>0</v>
      </c>
      <c r="AX43" s="936">
        <f t="shared" si="13"/>
        <v>0</v>
      </c>
      <c r="AY43" s="936">
        <f t="shared" si="13"/>
        <v>0</v>
      </c>
      <c r="AZ43" s="936">
        <f t="shared" si="13"/>
        <v>0</v>
      </c>
      <c r="BA43" s="936">
        <f t="shared" si="13"/>
        <v>0</v>
      </c>
      <c r="BB43" s="936">
        <f t="shared" si="13"/>
        <v>0</v>
      </c>
      <c r="BC43" s="936">
        <f t="shared" si="13"/>
        <v>0</v>
      </c>
      <c r="BD43" s="936">
        <f t="shared" si="13"/>
        <v>0</v>
      </c>
      <c r="BE43" s="936">
        <f t="shared" si="13"/>
        <v>0</v>
      </c>
      <c r="BF43" s="936">
        <f t="shared" si="13"/>
        <v>0</v>
      </c>
      <c r="BG43" s="936">
        <f t="shared" si="13"/>
        <v>0</v>
      </c>
      <c r="BH43" s="936">
        <f t="shared" si="13"/>
        <v>0</v>
      </c>
      <c r="BI43" s="936">
        <f t="shared" si="13"/>
        <v>0</v>
      </c>
      <c r="BJ43" s="936">
        <f t="shared" si="13"/>
        <v>0</v>
      </c>
      <c r="BK43" s="936">
        <f t="shared" si="13"/>
        <v>0</v>
      </c>
      <c r="BL43" s="936">
        <f t="shared" si="13"/>
        <v>0</v>
      </c>
      <c r="BM43" s="936">
        <f t="shared" si="13"/>
        <v>0</v>
      </c>
      <c r="BN43" s="936">
        <f t="shared" si="13"/>
        <v>0</v>
      </c>
      <c r="BO43" s="936">
        <f t="shared" si="13"/>
        <v>0</v>
      </c>
      <c r="BP43" s="936">
        <f t="shared" si="13"/>
        <v>0</v>
      </c>
      <c r="BQ43" s="936">
        <f t="shared" si="13"/>
        <v>0</v>
      </c>
      <c r="BR43" s="936">
        <f t="shared" si="13"/>
        <v>0</v>
      </c>
      <c r="BS43" s="936">
        <f t="shared" ref="BS43:BZ43" si="14">BS9*$F9</f>
        <v>0</v>
      </c>
      <c r="BT43" s="936">
        <f t="shared" si="14"/>
        <v>0</v>
      </c>
      <c r="BU43" s="936">
        <f t="shared" si="14"/>
        <v>0</v>
      </c>
      <c r="BV43" s="936">
        <f t="shared" si="14"/>
        <v>0</v>
      </c>
      <c r="BW43" s="936">
        <f t="shared" si="14"/>
        <v>0</v>
      </c>
      <c r="BX43" s="936">
        <f t="shared" si="14"/>
        <v>0</v>
      </c>
      <c r="BY43" s="936">
        <f t="shared" si="14"/>
        <v>0</v>
      </c>
      <c r="BZ43" s="936">
        <f t="shared" si="14"/>
        <v>0</v>
      </c>
      <c r="CA43" s="14"/>
    </row>
    <row r="44" spans="5:79" s="747" customFormat="1" ht="15">
      <c r="E44" s="912" t="s">
        <v>933</v>
      </c>
      <c r="F44" s="10"/>
      <c r="G44" s="936">
        <f t="shared" ref="G44:BR44" si="15">G10*$F10</f>
        <v>0</v>
      </c>
      <c r="H44" s="936">
        <f t="shared" si="15"/>
        <v>0</v>
      </c>
      <c r="I44" s="936">
        <f t="shared" si="15"/>
        <v>0</v>
      </c>
      <c r="J44" s="936">
        <f t="shared" si="15"/>
        <v>0</v>
      </c>
      <c r="K44" s="936">
        <f t="shared" si="15"/>
        <v>0</v>
      </c>
      <c r="L44" s="936">
        <f t="shared" si="15"/>
        <v>0</v>
      </c>
      <c r="M44" s="936">
        <f t="shared" si="15"/>
        <v>0</v>
      </c>
      <c r="N44" s="936">
        <f t="shared" si="15"/>
        <v>0</v>
      </c>
      <c r="O44" s="936">
        <f t="shared" si="15"/>
        <v>0</v>
      </c>
      <c r="P44" s="936">
        <f t="shared" si="15"/>
        <v>0</v>
      </c>
      <c r="Q44" s="936">
        <f t="shared" si="15"/>
        <v>0</v>
      </c>
      <c r="R44" s="936">
        <f t="shared" si="15"/>
        <v>0</v>
      </c>
      <c r="S44" s="936">
        <f t="shared" si="15"/>
        <v>0</v>
      </c>
      <c r="T44" s="936">
        <f t="shared" si="15"/>
        <v>0</v>
      </c>
      <c r="U44" s="936">
        <f t="shared" si="15"/>
        <v>0</v>
      </c>
      <c r="V44" s="936">
        <f t="shared" si="15"/>
        <v>0</v>
      </c>
      <c r="W44" s="936">
        <f t="shared" si="15"/>
        <v>0</v>
      </c>
      <c r="X44" s="936">
        <f t="shared" si="15"/>
        <v>0</v>
      </c>
      <c r="Y44" s="936">
        <f t="shared" si="15"/>
        <v>0</v>
      </c>
      <c r="Z44" s="936">
        <f t="shared" si="15"/>
        <v>0</v>
      </c>
      <c r="AA44" s="936">
        <f t="shared" si="15"/>
        <v>0</v>
      </c>
      <c r="AB44" s="936">
        <f t="shared" si="15"/>
        <v>0</v>
      </c>
      <c r="AC44" s="936">
        <f t="shared" si="15"/>
        <v>0</v>
      </c>
      <c r="AD44" s="936">
        <f t="shared" si="15"/>
        <v>0</v>
      </c>
      <c r="AE44" s="936">
        <f t="shared" si="15"/>
        <v>0</v>
      </c>
      <c r="AF44" s="936">
        <f t="shared" si="15"/>
        <v>0</v>
      </c>
      <c r="AG44" s="936">
        <f t="shared" si="15"/>
        <v>0</v>
      </c>
      <c r="AH44" s="936">
        <f t="shared" si="15"/>
        <v>0</v>
      </c>
      <c r="AI44" s="936">
        <f t="shared" si="15"/>
        <v>0</v>
      </c>
      <c r="AJ44" s="936">
        <f t="shared" si="15"/>
        <v>0</v>
      </c>
      <c r="AK44" s="936">
        <f t="shared" si="15"/>
        <v>0</v>
      </c>
      <c r="AL44" s="936">
        <f t="shared" si="15"/>
        <v>0</v>
      </c>
      <c r="AM44" s="936">
        <f t="shared" si="15"/>
        <v>0</v>
      </c>
      <c r="AN44" s="936">
        <f t="shared" si="15"/>
        <v>0</v>
      </c>
      <c r="AO44" s="936">
        <f t="shared" si="15"/>
        <v>0</v>
      </c>
      <c r="AP44" s="936">
        <f t="shared" si="15"/>
        <v>0</v>
      </c>
      <c r="AQ44" s="936">
        <f t="shared" si="15"/>
        <v>0</v>
      </c>
      <c r="AR44" s="936">
        <f t="shared" si="15"/>
        <v>0</v>
      </c>
      <c r="AS44" s="936">
        <f t="shared" si="15"/>
        <v>0</v>
      </c>
      <c r="AT44" s="936">
        <f t="shared" si="15"/>
        <v>0</v>
      </c>
      <c r="AU44" s="936">
        <f t="shared" si="15"/>
        <v>0</v>
      </c>
      <c r="AV44" s="936">
        <f t="shared" si="15"/>
        <v>0</v>
      </c>
      <c r="AW44" s="936">
        <f t="shared" si="15"/>
        <v>0</v>
      </c>
      <c r="AX44" s="936">
        <f t="shared" si="15"/>
        <v>0</v>
      </c>
      <c r="AY44" s="936">
        <f t="shared" si="15"/>
        <v>0</v>
      </c>
      <c r="AZ44" s="936">
        <f t="shared" si="15"/>
        <v>0</v>
      </c>
      <c r="BA44" s="936">
        <f t="shared" si="15"/>
        <v>0</v>
      </c>
      <c r="BB44" s="936">
        <f t="shared" si="15"/>
        <v>0</v>
      </c>
      <c r="BC44" s="936">
        <f t="shared" si="15"/>
        <v>0</v>
      </c>
      <c r="BD44" s="936">
        <f t="shared" si="15"/>
        <v>0</v>
      </c>
      <c r="BE44" s="936">
        <f t="shared" si="15"/>
        <v>0</v>
      </c>
      <c r="BF44" s="936">
        <f t="shared" si="15"/>
        <v>0</v>
      </c>
      <c r="BG44" s="936">
        <f t="shared" si="15"/>
        <v>0</v>
      </c>
      <c r="BH44" s="936">
        <f t="shared" si="15"/>
        <v>0</v>
      </c>
      <c r="BI44" s="936">
        <f t="shared" si="15"/>
        <v>0</v>
      </c>
      <c r="BJ44" s="936">
        <f t="shared" si="15"/>
        <v>0</v>
      </c>
      <c r="BK44" s="936">
        <f t="shared" si="15"/>
        <v>0</v>
      </c>
      <c r="BL44" s="936">
        <f t="shared" si="15"/>
        <v>0</v>
      </c>
      <c r="BM44" s="936">
        <f t="shared" si="15"/>
        <v>0</v>
      </c>
      <c r="BN44" s="936">
        <f t="shared" si="15"/>
        <v>0</v>
      </c>
      <c r="BO44" s="936">
        <f t="shared" si="15"/>
        <v>0</v>
      </c>
      <c r="BP44" s="936">
        <f t="shared" si="15"/>
        <v>0</v>
      </c>
      <c r="BQ44" s="936">
        <f t="shared" si="15"/>
        <v>0</v>
      </c>
      <c r="BR44" s="936">
        <f t="shared" si="15"/>
        <v>0</v>
      </c>
      <c r="BS44" s="936">
        <f t="shared" ref="BS44:BZ44" si="16">BS10*$F10</f>
        <v>0</v>
      </c>
      <c r="BT44" s="936">
        <f t="shared" si="16"/>
        <v>0</v>
      </c>
      <c r="BU44" s="936">
        <f t="shared" si="16"/>
        <v>0</v>
      </c>
      <c r="BV44" s="936">
        <f t="shared" si="16"/>
        <v>0</v>
      </c>
      <c r="BW44" s="936">
        <f t="shared" si="16"/>
        <v>0</v>
      </c>
      <c r="BX44" s="936">
        <f t="shared" si="16"/>
        <v>0</v>
      </c>
      <c r="BY44" s="936">
        <f t="shared" si="16"/>
        <v>0</v>
      </c>
      <c r="BZ44" s="936">
        <f t="shared" si="16"/>
        <v>0</v>
      </c>
      <c r="CA44" s="14"/>
    </row>
    <row r="45" spans="5:79" s="747" customFormat="1" ht="15">
      <c r="E45" s="912" t="s">
        <v>934</v>
      </c>
      <c r="F45" s="10"/>
      <c r="G45" s="936">
        <f t="shared" ref="G45:BR45" si="17">G11*$F11</f>
        <v>0</v>
      </c>
      <c r="H45" s="936">
        <f t="shared" si="17"/>
        <v>0</v>
      </c>
      <c r="I45" s="936">
        <f t="shared" si="17"/>
        <v>0</v>
      </c>
      <c r="J45" s="936">
        <f t="shared" si="17"/>
        <v>0</v>
      </c>
      <c r="K45" s="936">
        <f t="shared" si="17"/>
        <v>0</v>
      </c>
      <c r="L45" s="936">
        <f t="shared" si="17"/>
        <v>0</v>
      </c>
      <c r="M45" s="936">
        <f t="shared" si="17"/>
        <v>0</v>
      </c>
      <c r="N45" s="936">
        <f t="shared" si="17"/>
        <v>0</v>
      </c>
      <c r="O45" s="936">
        <f t="shared" si="17"/>
        <v>0</v>
      </c>
      <c r="P45" s="936">
        <f t="shared" si="17"/>
        <v>0</v>
      </c>
      <c r="Q45" s="936">
        <f t="shared" si="17"/>
        <v>0</v>
      </c>
      <c r="R45" s="936">
        <f t="shared" si="17"/>
        <v>0</v>
      </c>
      <c r="S45" s="936">
        <f t="shared" si="17"/>
        <v>0</v>
      </c>
      <c r="T45" s="936">
        <f t="shared" si="17"/>
        <v>0</v>
      </c>
      <c r="U45" s="936">
        <f t="shared" si="17"/>
        <v>0</v>
      </c>
      <c r="V45" s="936">
        <f t="shared" si="17"/>
        <v>0</v>
      </c>
      <c r="W45" s="936">
        <f t="shared" si="17"/>
        <v>0</v>
      </c>
      <c r="X45" s="936">
        <f t="shared" si="17"/>
        <v>0</v>
      </c>
      <c r="Y45" s="936">
        <f t="shared" si="17"/>
        <v>0</v>
      </c>
      <c r="Z45" s="936">
        <f t="shared" si="17"/>
        <v>0</v>
      </c>
      <c r="AA45" s="936">
        <f t="shared" si="17"/>
        <v>0</v>
      </c>
      <c r="AB45" s="936">
        <f t="shared" si="17"/>
        <v>0</v>
      </c>
      <c r="AC45" s="936">
        <f t="shared" si="17"/>
        <v>0</v>
      </c>
      <c r="AD45" s="936">
        <f t="shared" si="17"/>
        <v>0</v>
      </c>
      <c r="AE45" s="936">
        <f t="shared" si="17"/>
        <v>0</v>
      </c>
      <c r="AF45" s="936">
        <f t="shared" si="17"/>
        <v>0</v>
      </c>
      <c r="AG45" s="936">
        <f t="shared" si="17"/>
        <v>0</v>
      </c>
      <c r="AH45" s="936">
        <f t="shared" si="17"/>
        <v>0</v>
      </c>
      <c r="AI45" s="936">
        <f t="shared" si="17"/>
        <v>0</v>
      </c>
      <c r="AJ45" s="936">
        <f t="shared" si="17"/>
        <v>0</v>
      </c>
      <c r="AK45" s="936">
        <f t="shared" si="17"/>
        <v>0</v>
      </c>
      <c r="AL45" s="936">
        <f t="shared" si="17"/>
        <v>0</v>
      </c>
      <c r="AM45" s="936">
        <f t="shared" si="17"/>
        <v>0</v>
      </c>
      <c r="AN45" s="936">
        <f t="shared" si="17"/>
        <v>0</v>
      </c>
      <c r="AO45" s="936">
        <f t="shared" si="17"/>
        <v>0</v>
      </c>
      <c r="AP45" s="936">
        <f t="shared" si="17"/>
        <v>0</v>
      </c>
      <c r="AQ45" s="936">
        <f t="shared" si="17"/>
        <v>0</v>
      </c>
      <c r="AR45" s="936">
        <f t="shared" si="17"/>
        <v>0</v>
      </c>
      <c r="AS45" s="936">
        <f t="shared" si="17"/>
        <v>0</v>
      </c>
      <c r="AT45" s="936">
        <f t="shared" si="17"/>
        <v>0</v>
      </c>
      <c r="AU45" s="936">
        <f t="shared" si="17"/>
        <v>0</v>
      </c>
      <c r="AV45" s="936">
        <f t="shared" si="17"/>
        <v>0</v>
      </c>
      <c r="AW45" s="936">
        <f t="shared" si="17"/>
        <v>0</v>
      </c>
      <c r="AX45" s="936">
        <f t="shared" si="17"/>
        <v>0</v>
      </c>
      <c r="AY45" s="936">
        <f t="shared" si="17"/>
        <v>0</v>
      </c>
      <c r="AZ45" s="936">
        <f t="shared" si="17"/>
        <v>0</v>
      </c>
      <c r="BA45" s="936">
        <f t="shared" si="17"/>
        <v>0</v>
      </c>
      <c r="BB45" s="936">
        <f t="shared" si="17"/>
        <v>0</v>
      </c>
      <c r="BC45" s="936">
        <f t="shared" si="17"/>
        <v>0</v>
      </c>
      <c r="BD45" s="936">
        <f t="shared" si="17"/>
        <v>0</v>
      </c>
      <c r="BE45" s="936">
        <f t="shared" si="17"/>
        <v>0</v>
      </c>
      <c r="BF45" s="936">
        <f t="shared" si="17"/>
        <v>0</v>
      </c>
      <c r="BG45" s="936">
        <f t="shared" si="17"/>
        <v>0</v>
      </c>
      <c r="BH45" s="936">
        <f t="shared" si="17"/>
        <v>0</v>
      </c>
      <c r="BI45" s="936">
        <f t="shared" si="17"/>
        <v>0</v>
      </c>
      <c r="BJ45" s="936">
        <f t="shared" si="17"/>
        <v>0</v>
      </c>
      <c r="BK45" s="936">
        <f t="shared" si="17"/>
        <v>0</v>
      </c>
      <c r="BL45" s="936">
        <f t="shared" si="17"/>
        <v>0</v>
      </c>
      <c r="BM45" s="936">
        <f t="shared" si="17"/>
        <v>0</v>
      </c>
      <c r="BN45" s="936">
        <f t="shared" si="17"/>
        <v>0</v>
      </c>
      <c r="BO45" s="936">
        <f t="shared" si="17"/>
        <v>0</v>
      </c>
      <c r="BP45" s="936">
        <f t="shared" si="17"/>
        <v>0</v>
      </c>
      <c r="BQ45" s="936">
        <f t="shared" si="17"/>
        <v>0</v>
      </c>
      <c r="BR45" s="936">
        <f t="shared" si="17"/>
        <v>0</v>
      </c>
      <c r="BS45" s="936">
        <f t="shared" ref="BS45:BZ45" si="18">BS11*$F11</f>
        <v>0</v>
      </c>
      <c r="BT45" s="936">
        <f t="shared" si="18"/>
        <v>0</v>
      </c>
      <c r="BU45" s="936">
        <f t="shared" si="18"/>
        <v>0</v>
      </c>
      <c r="BV45" s="936">
        <f t="shared" si="18"/>
        <v>0</v>
      </c>
      <c r="BW45" s="936">
        <f t="shared" si="18"/>
        <v>0</v>
      </c>
      <c r="BX45" s="936">
        <f t="shared" si="18"/>
        <v>0</v>
      </c>
      <c r="BY45" s="936">
        <f t="shared" si="18"/>
        <v>0</v>
      </c>
      <c r="BZ45" s="936">
        <f t="shared" si="18"/>
        <v>0</v>
      </c>
      <c r="CA45" s="14"/>
    </row>
    <row r="46" spans="5:79" s="747" customFormat="1" ht="15">
      <c r="E46" s="912" t="s">
        <v>935</v>
      </c>
      <c r="F46" s="10"/>
      <c r="G46" s="936">
        <f t="shared" ref="G46:BR46" si="19">G12*$F12</f>
        <v>0</v>
      </c>
      <c r="H46" s="936">
        <f t="shared" si="19"/>
        <v>0</v>
      </c>
      <c r="I46" s="936">
        <f t="shared" si="19"/>
        <v>0</v>
      </c>
      <c r="J46" s="936">
        <f t="shared" si="19"/>
        <v>0</v>
      </c>
      <c r="K46" s="936">
        <f t="shared" si="19"/>
        <v>0</v>
      </c>
      <c r="L46" s="936">
        <f t="shared" si="19"/>
        <v>0</v>
      </c>
      <c r="M46" s="936">
        <f t="shared" si="19"/>
        <v>0</v>
      </c>
      <c r="N46" s="936">
        <f t="shared" si="19"/>
        <v>0</v>
      </c>
      <c r="O46" s="936">
        <f t="shared" si="19"/>
        <v>0</v>
      </c>
      <c r="P46" s="936">
        <f t="shared" si="19"/>
        <v>0</v>
      </c>
      <c r="Q46" s="936">
        <f t="shared" si="19"/>
        <v>0</v>
      </c>
      <c r="R46" s="936">
        <f t="shared" si="19"/>
        <v>0</v>
      </c>
      <c r="S46" s="936">
        <f t="shared" si="19"/>
        <v>0</v>
      </c>
      <c r="T46" s="936">
        <f t="shared" si="19"/>
        <v>0</v>
      </c>
      <c r="U46" s="936">
        <f t="shared" si="19"/>
        <v>0</v>
      </c>
      <c r="V46" s="936">
        <f t="shared" si="19"/>
        <v>0</v>
      </c>
      <c r="W46" s="936">
        <f t="shared" si="19"/>
        <v>0</v>
      </c>
      <c r="X46" s="936">
        <f t="shared" si="19"/>
        <v>0</v>
      </c>
      <c r="Y46" s="936">
        <f t="shared" si="19"/>
        <v>0</v>
      </c>
      <c r="Z46" s="936">
        <f t="shared" si="19"/>
        <v>0</v>
      </c>
      <c r="AA46" s="936">
        <f t="shared" si="19"/>
        <v>0</v>
      </c>
      <c r="AB46" s="936">
        <f t="shared" si="19"/>
        <v>0</v>
      </c>
      <c r="AC46" s="936">
        <f t="shared" si="19"/>
        <v>0</v>
      </c>
      <c r="AD46" s="936">
        <f t="shared" si="19"/>
        <v>0</v>
      </c>
      <c r="AE46" s="936">
        <f t="shared" si="19"/>
        <v>0</v>
      </c>
      <c r="AF46" s="936">
        <f t="shared" si="19"/>
        <v>0</v>
      </c>
      <c r="AG46" s="936">
        <f t="shared" si="19"/>
        <v>0</v>
      </c>
      <c r="AH46" s="936">
        <f t="shared" si="19"/>
        <v>0</v>
      </c>
      <c r="AI46" s="936">
        <f t="shared" si="19"/>
        <v>0</v>
      </c>
      <c r="AJ46" s="936">
        <f t="shared" si="19"/>
        <v>0</v>
      </c>
      <c r="AK46" s="936">
        <f t="shared" si="19"/>
        <v>0</v>
      </c>
      <c r="AL46" s="936">
        <f t="shared" si="19"/>
        <v>0</v>
      </c>
      <c r="AM46" s="936">
        <f t="shared" si="19"/>
        <v>0</v>
      </c>
      <c r="AN46" s="936">
        <f t="shared" si="19"/>
        <v>0</v>
      </c>
      <c r="AO46" s="936">
        <f t="shared" si="19"/>
        <v>0</v>
      </c>
      <c r="AP46" s="936">
        <f t="shared" si="19"/>
        <v>0</v>
      </c>
      <c r="AQ46" s="936">
        <f t="shared" si="19"/>
        <v>0</v>
      </c>
      <c r="AR46" s="936">
        <f t="shared" si="19"/>
        <v>0</v>
      </c>
      <c r="AS46" s="936">
        <f t="shared" si="19"/>
        <v>0</v>
      </c>
      <c r="AT46" s="936">
        <f t="shared" si="19"/>
        <v>0</v>
      </c>
      <c r="AU46" s="936">
        <f t="shared" si="19"/>
        <v>0</v>
      </c>
      <c r="AV46" s="936">
        <f t="shared" si="19"/>
        <v>0</v>
      </c>
      <c r="AW46" s="936">
        <f t="shared" si="19"/>
        <v>0</v>
      </c>
      <c r="AX46" s="936">
        <f t="shared" si="19"/>
        <v>0</v>
      </c>
      <c r="AY46" s="936">
        <f t="shared" si="19"/>
        <v>0</v>
      </c>
      <c r="AZ46" s="936">
        <f t="shared" si="19"/>
        <v>0</v>
      </c>
      <c r="BA46" s="936">
        <f t="shared" si="19"/>
        <v>0</v>
      </c>
      <c r="BB46" s="936">
        <f t="shared" si="19"/>
        <v>0</v>
      </c>
      <c r="BC46" s="936">
        <f t="shared" si="19"/>
        <v>0</v>
      </c>
      <c r="BD46" s="936">
        <f t="shared" si="19"/>
        <v>0</v>
      </c>
      <c r="BE46" s="936">
        <f t="shared" si="19"/>
        <v>0</v>
      </c>
      <c r="BF46" s="936">
        <f t="shared" si="19"/>
        <v>0</v>
      </c>
      <c r="BG46" s="936">
        <f t="shared" si="19"/>
        <v>0</v>
      </c>
      <c r="BH46" s="936">
        <f t="shared" si="19"/>
        <v>0</v>
      </c>
      <c r="BI46" s="936">
        <f t="shared" si="19"/>
        <v>0</v>
      </c>
      <c r="BJ46" s="936">
        <f t="shared" si="19"/>
        <v>0</v>
      </c>
      <c r="BK46" s="936">
        <f t="shared" si="19"/>
        <v>0</v>
      </c>
      <c r="BL46" s="936">
        <f t="shared" si="19"/>
        <v>0</v>
      </c>
      <c r="BM46" s="936">
        <f t="shared" si="19"/>
        <v>0</v>
      </c>
      <c r="BN46" s="936">
        <f t="shared" si="19"/>
        <v>0</v>
      </c>
      <c r="BO46" s="936">
        <f t="shared" si="19"/>
        <v>0</v>
      </c>
      <c r="BP46" s="936">
        <f t="shared" si="19"/>
        <v>0</v>
      </c>
      <c r="BQ46" s="936">
        <f t="shared" si="19"/>
        <v>0</v>
      </c>
      <c r="BR46" s="936">
        <f t="shared" si="19"/>
        <v>0</v>
      </c>
      <c r="BS46" s="936">
        <f t="shared" ref="BS46:BZ46" si="20">BS12*$F12</f>
        <v>0</v>
      </c>
      <c r="BT46" s="936">
        <f t="shared" si="20"/>
        <v>0</v>
      </c>
      <c r="BU46" s="936">
        <f t="shared" si="20"/>
        <v>0</v>
      </c>
      <c r="BV46" s="936">
        <f t="shared" si="20"/>
        <v>0</v>
      </c>
      <c r="BW46" s="936">
        <f t="shared" si="20"/>
        <v>0</v>
      </c>
      <c r="BX46" s="936">
        <f t="shared" si="20"/>
        <v>0</v>
      </c>
      <c r="BY46" s="936">
        <f t="shared" si="20"/>
        <v>0</v>
      </c>
      <c r="BZ46" s="936">
        <f t="shared" si="20"/>
        <v>0</v>
      </c>
      <c r="CA46" s="14"/>
    </row>
    <row r="47" spans="5:79" s="747" customFormat="1" ht="15">
      <c r="E47" s="912" t="s">
        <v>936</v>
      </c>
      <c r="F47" s="10"/>
      <c r="G47" s="936">
        <f t="shared" ref="G47:BR47" si="21">G13*$F13</f>
        <v>0</v>
      </c>
      <c r="H47" s="936">
        <f t="shared" si="21"/>
        <v>0</v>
      </c>
      <c r="I47" s="936">
        <f t="shared" si="21"/>
        <v>0</v>
      </c>
      <c r="J47" s="936">
        <f t="shared" si="21"/>
        <v>0</v>
      </c>
      <c r="K47" s="936">
        <f t="shared" si="21"/>
        <v>0</v>
      </c>
      <c r="L47" s="936">
        <f t="shared" si="21"/>
        <v>0</v>
      </c>
      <c r="M47" s="936">
        <f t="shared" si="21"/>
        <v>0</v>
      </c>
      <c r="N47" s="936">
        <f t="shared" si="21"/>
        <v>0</v>
      </c>
      <c r="O47" s="936">
        <f t="shared" si="21"/>
        <v>0</v>
      </c>
      <c r="P47" s="936">
        <f t="shared" si="21"/>
        <v>0</v>
      </c>
      <c r="Q47" s="936">
        <f t="shared" si="21"/>
        <v>0</v>
      </c>
      <c r="R47" s="936">
        <f t="shared" si="21"/>
        <v>0</v>
      </c>
      <c r="S47" s="936">
        <f t="shared" si="21"/>
        <v>0</v>
      </c>
      <c r="T47" s="936">
        <f t="shared" si="21"/>
        <v>0</v>
      </c>
      <c r="U47" s="936">
        <f t="shared" si="21"/>
        <v>0</v>
      </c>
      <c r="V47" s="936">
        <f t="shared" si="21"/>
        <v>0</v>
      </c>
      <c r="W47" s="936">
        <f t="shared" si="21"/>
        <v>0</v>
      </c>
      <c r="X47" s="936">
        <f t="shared" si="21"/>
        <v>0</v>
      </c>
      <c r="Y47" s="936">
        <f t="shared" si="21"/>
        <v>0</v>
      </c>
      <c r="Z47" s="936">
        <f t="shared" si="21"/>
        <v>0</v>
      </c>
      <c r="AA47" s="936">
        <f t="shared" si="21"/>
        <v>0</v>
      </c>
      <c r="AB47" s="936">
        <f t="shared" si="21"/>
        <v>0</v>
      </c>
      <c r="AC47" s="936">
        <f t="shared" si="21"/>
        <v>0</v>
      </c>
      <c r="AD47" s="936">
        <f t="shared" si="21"/>
        <v>0</v>
      </c>
      <c r="AE47" s="936">
        <f t="shared" si="21"/>
        <v>0</v>
      </c>
      <c r="AF47" s="936">
        <f t="shared" si="21"/>
        <v>0</v>
      </c>
      <c r="AG47" s="936">
        <f t="shared" si="21"/>
        <v>0</v>
      </c>
      <c r="AH47" s="936">
        <f t="shared" si="21"/>
        <v>0</v>
      </c>
      <c r="AI47" s="936">
        <f t="shared" si="21"/>
        <v>0</v>
      </c>
      <c r="AJ47" s="936">
        <f t="shared" si="21"/>
        <v>0</v>
      </c>
      <c r="AK47" s="936">
        <f t="shared" si="21"/>
        <v>0</v>
      </c>
      <c r="AL47" s="936">
        <f t="shared" si="21"/>
        <v>0</v>
      </c>
      <c r="AM47" s="936">
        <f t="shared" si="21"/>
        <v>0</v>
      </c>
      <c r="AN47" s="936">
        <f t="shared" si="21"/>
        <v>0</v>
      </c>
      <c r="AO47" s="936">
        <f t="shared" si="21"/>
        <v>0</v>
      </c>
      <c r="AP47" s="936">
        <f t="shared" si="21"/>
        <v>0</v>
      </c>
      <c r="AQ47" s="936">
        <f t="shared" si="21"/>
        <v>0</v>
      </c>
      <c r="AR47" s="936">
        <f t="shared" si="21"/>
        <v>0</v>
      </c>
      <c r="AS47" s="936">
        <f t="shared" si="21"/>
        <v>0</v>
      </c>
      <c r="AT47" s="936">
        <f t="shared" si="21"/>
        <v>0</v>
      </c>
      <c r="AU47" s="936">
        <f t="shared" si="21"/>
        <v>0</v>
      </c>
      <c r="AV47" s="936">
        <f t="shared" si="21"/>
        <v>0</v>
      </c>
      <c r="AW47" s="936">
        <f t="shared" si="21"/>
        <v>0</v>
      </c>
      <c r="AX47" s="936">
        <f t="shared" si="21"/>
        <v>0</v>
      </c>
      <c r="AY47" s="936">
        <f t="shared" si="21"/>
        <v>0</v>
      </c>
      <c r="AZ47" s="936">
        <f t="shared" si="21"/>
        <v>0</v>
      </c>
      <c r="BA47" s="936">
        <f t="shared" si="21"/>
        <v>0</v>
      </c>
      <c r="BB47" s="936">
        <f t="shared" si="21"/>
        <v>0</v>
      </c>
      <c r="BC47" s="936">
        <f t="shared" si="21"/>
        <v>0</v>
      </c>
      <c r="BD47" s="936">
        <f t="shared" si="21"/>
        <v>0</v>
      </c>
      <c r="BE47" s="936">
        <f t="shared" si="21"/>
        <v>0</v>
      </c>
      <c r="BF47" s="936">
        <f t="shared" si="21"/>
        <v>0</v>
      </c>
      <c r="BG47" s="936">
        <f t="shared" si="21"/>
        <v>0</v>
      </c>
      <c r="BH47" s="936">
        <f t="shared" si="21"/>
        <v>0</v>
      </c>
      <c r="BI47" s="936">
        <f t="shared" si="21"/>
        <v>0</v>
      </c>
      <c r="BJ47" s="936">
        <f t="shared" si="21"/>
        <v>0</v>
      </c>
      <c r="BK47" s="936">
        <f t="shared" si="21"/>
        <v>0</v>
      </c>
      <c r="BL47" s="936">
        <f t="shared" si="21"/>
        <v>0</v>
      </c>
      <c r="BM47" s="936">
        <f t="shared" si="21"/>
        <v>0</v>
      </c>
      <c r="BN47" s="936">
        <f t="shared" si="21"/>
        <v>0</v>
      </c>
      <c r="BO47" s="936">
        <f t="shared" si="21"/>
        <v>0</v>
      </c>
      <c r="BP47" s="936">
        <f t="shared" si="21"/>
        <v>0</v>
      </c>
      <c r="BQ47" s="936">
        <f t="shared" si="21"/>
        <v>0</v>
      </c>
      <c r="BR47" s="936">
        <f t="shared" si="21"/>
        <v>0</v>
      </c>
      <c r="BS47" s="936">
        <f t="shared" ref="BS47:BZ47" si="22">BS13*$F13</f>
        <v>0</v>
      </c>
      <c r="BT47" s="936">
        <f t="shared" si="22"/>
        <v>0</v>
      </c>
      <c r="BU47" s="936">
        <f t="shared" si="22"/>
        <v>0</v>
      </c>
      <c r="BV47" s="936">
        <f t="shared" si="22"/>
        <v>0</v>
      </c>
      <c r="BW47" s="936">
        <f t="shared" si="22"/>
        <v>0</v>
      </c>
      <c r="BX47" s="936">
        <f t="shared" si="22"/>
        <v>0</v>
      </c>
      <c r="BY47" s="936">
        <f t="shared" si="22"/>
        <v>0</v>
      </c>
      <c r="BZ47" s="936">
        <f t="shared" si="22"/>
        <v>0</v>
      </c>
      <c r="CA47" s="14"/>
    </row>
    <row r="48" spans="5:79" s="747" customFormat="1" ht="15">
      <c r="E48" s="912" t="s">
        <v>937</v>
      </c>
      <c r="F48" s="10"/>
      <c r="G48" s="936">
        <f t="shared" ref="G48:BR48" si="23">G14*$F14</f>
        <v>0</v>
      </c>
      <c r="H48" s="936">
        <f t="shared" si="23"/>
        <v>0</v>
      </c>
      <c r="I48" s="936">
        <f t="shared" si="23"/>
        <v>0</v>
      </c>
      <c r="J48" s="936">
        <f t="shared" si="23"/>
        <v>0</v>
      </c>
      <c r="K48" s="936">
        <f t="shared" si="23"/>
        <v>0</v>
      </c>
      <c r="L48" s="936">
        <f t="shared" si="23"/>
        <v>0</v>
      </c>
      <c r="M48" s="936">
        <f t="shared" si="23"/>
        <v>0</v>
      </c>
      <c r="N48" s="936">
        <f t="shared" si="23"/>
        <v>0</v>
      </c>
      <c r="O48" s="936">
        <f t="shared" si="23"/>
        <v>0</v>
      </c>
      <c r="P48" s="936">
        <f t="shared" si="23"/>
        <v>0</v>
      </c>
      <c r="Q48" s="936">
        <f t="shared" si="23"/>
        <v>0</v>
      </c>
      <c r="R48" s="936">
        <f t="shared" si="23"/>
        <v>0</v>
      </c>
      <c r="S48" s="936">
        <f t="shared" si="23"/>
        <v>0</v>
      </c>
      <c r="T48" s="936">
        <f t="shared" si="23"/>
        <v>0</v>
      </c>
      <c r="U48" s="936">
        <f t="shared" si="23"/>
        <v>0</v>
      </c>
      <c r="V48" s="936">
        <f t="shared" si="23"/>
        <v>0</v>
      </c>
      <c r="W48" s="936">
        <f t="shared" si="23"/>
        <v>0</v>
      </c>
      <c r="X48" s="936">
        <f t="shared" si="23"/>
        <v>0</v>
      </c>
      <c r="Y48" s="936">
        <f t="shared" si="23"/>
        <v>0</v>
      </c>
      <c r="Z48" s="936">
        <f t="shared" si="23"/>
        <v>0</v>
      </c>
      <c r="AA48" s="936">
        <f t="shared" si="23"/>
        <v>0</v>
      </c>
      <c r="AB48" s="936">
        <f t="shared" si="23"/>
        <v>0</v>
      </c>
      <c r="AC48" s="936">
        <f t="shared" si="23"/>
        <v>0</v>
      </c>
      <c r="AD48" s="936">
        <f t="shared" si="23"/>
        <v>0</v>
      </c>
      <c r="AE48" s="936">
        <f t="shared" si="23"/>
        <v>0</v>
      </c>
      <c r="AF48" s="936">
        <f t="shared" si="23"/>
        <v>0</v>
      </c>
      <c r="AG48" s="936">
        <f t="shared" si="23"/>
        <v>0</v>
      </c>
      <c r="AH48" s="936">
        <f t="shared" si="23"/>
        <v>0</v>
      </c>
      <c r="AI48" s="936">
        <f t="shared" si="23"/>
        <v>0</v>
      </c>
      <c r="AJ48" s="936">
        <f t="shared" si="23"/>
        <v>0</v>
      </c>
      <c r="AK48" s="936">
        <f t="shared" si="23"/>
        <v>0</v>
      </c>
      <c r="AL48" s="936">
        <f t="shared" si="23"/>
        <v>0</v>
      </c>
      <c r="AM48" s="936">
        <f t="shared" si="23"/>
        <v>0</v>
      </c>
      <c r="AN48" s="936">
        <f t="shared" si="23"/>
        <v>0</v>
      </c>
      <c r="AO48" s="936">
        <f t="shared" si="23"/>
        <v>0</v>
      </c>
      <c r="AP48" s="936">
        <f t="shared" si="23"/>
        <v>0</v>
      </c>
      <c r="AQ48" s="936">
        <f t="shared" si="23"/>
        <v>0</v>
      </c>
      <c r="AR48" s="936">
        <f t="shared" si="23"/>
        <v>0</v>
      </c>
      <c r="AS48" s="936">
        <f t="shared" si="23"/>
        <v>0</v>
      </c>
      <c r="AT48" s="936">
        <f t="shared" si="23"/>
        <v>0</v>
      </c>
      <c r="AU48" s="936">
        <f t="shared" si="23"/>
        <v>0</v>
      </c>
      <c r="AV48" s="936">
        <f t="shared" si="23"/>
        <v>0</v>
      </c>
      <c r="AW48" s="936">
        <f t="shared" si="23"/>
        <v>0</v>
      </c>
      <c r="AX48" s="936">
        <f t="shared" si="23"/>
        <v>0</v>
      </c>
      <c r="AY48" s="936">
        <f t="shared" si="23"/>
        <v>0</v>
      </c>
      <c r="AZ48" s="936">
        <f t="shared" si="23"/>
        <v>0</v>
      </c>
      <c r="BA48" s="936">
        <f t="shared" si="23"/>
        <v>0</v>
      </c>
      <c r="BB48" s="936">
        <f t="shared" si="23"/>
        <v>0</v>
      </c>
      <c r="BC48" s="936">
        <f t="shared" si="23"/>
        <v>0</v>
      </c>
      <c r="BD48" s="936">
        <f t="shared" si="23"/>
        <v>0</v>
      </c>
      <c r="BE48" s="936">
        <f t="shared" si="23"/>
        <v>0</v>
      </c>
      <c r="BF48" s="936">
        <f t="shared" si="23"/>
        <v>0</v>
      </c>
      <c r="BG48" s="936">
        <f t="shared" si="23"/>
        <v>0</v>
      </c>
      <c r="BH48" s="936">
        <f t="shared" si="23"/>
        <v>0</v>
      </c>
      <c r="BI48" s="936">
        <f t="shared" si="23"/>
        <v>0</v>
      </c>
      <c r="BJ48" s="936">
        <f t="shared" si="23"/>
        <v>0</v>
      </c>
      <c r="BK48" s="936">
        <f t="shared" si="23"/>
        <v>0</v>
      </c>
      <c r="BL48" s="936">
        <f t="shared" si="23"/>
        <v>0</v>
      </c>
      <c r="BM48" s="936">
        <f t="shared" si="23"/>
        <v>0</v>
      </c>
      <c r="BN48" s="936">
        <f t="shared" si="23"/>
        <v>0</v>
      </c>
      <c r="BO48" s="936">
        <f t="shared" si="23"/>
        <v>0</v>
      </c>
      <c r="BP48" s="936">
        <f t="shared" si="23"/>
        <v>0</v>
      </c>
      <c r="BQ48" s="936">
        <f t="shared" si="23"/>
        <v>0</v>
      </c>
      <c r="BR48" s="936">
        <f t="shared" si="23"/>
        <v>0</v>
      </c>
      <c r="BS48" s="936">
        <f t="shared" ref="BS48:BZ48" si="24">BS14*$F14</f>
        <v>0</v>
      </c>
      <c r="BT48" s="936">
        <f t="shared" si="24"/>
        <v>0</v>
      </c>
      <c r="BU48" s="936">
        <f t="shared" si="24"/>
        <v>0</v>
      </c>
      <c r="BV48" s="936">
        <f t="shared" si="24"/>
        <v>0</v>
      </c>
      <c r="BW48" s="936">
        <f t="shared" si="24"/>
        <v>0</v>
      </c>
      <c r="BX48" s="936">
        <f t="shared" si="24"/>
        <v>0</v>
      </c>
      <c r="BY48" s="936">
        <f t="shared" si="24"/>
        <v>0</v>
      </c>
      <c r="BZ48" s="936">
        <f t="shared" si="24"/>
        <v>0</v>
      </c>
      <c r="CA48" s="14"/>
    </row>
    <row r="49" spans="5:79" s="747" customFormat="1" ht="15">
      <c r="E49" s="912" t="s">
        <v>938</v>
      </c>
      <c r="F49" s="10"/>
      <c r="G49" s="936">
        <f t="shared" ref="G49:BR49" si="25">G15*$F15</f>
        <v>0</v>
      </c>
      <c r="H49" s="936">
        <f t="shared" si="25"/>
        <v>0</v>
      </c>
      <c r="I49" s="936">
        <f t="shared" si="25"/>
        <v>0</v>
      </c>
      <c r="J49" s="936">
        <f t="shared" si="25"/>
        <v>0</v>
      </c>
      <c r="K49" s="936">
        <f t="shared" si="25"/>
        <v>0</v>
      </c>
      <c r="L49" s="936">
        <f t="shared" si="25"/>
        <v>0</v>
      </c>
      <c r="M49" s="936">
        <f t="shared" si="25"/>
        <v>0</v>
      </c>
      <c r="N49" s="936">
        <f t="shared" si="25"/>
        <v>0</v>
      </c>
      <c r="O49" s="936">
        <f t="shared" si="25"/>
        <v>0</v>
      </c>
      <c r="P49" s="936">
        <f t="shared" si="25"/>
        <v>0</v>
      </c>
      <c r="Q49" s="936">
        <f t="shared" si="25"/>
        <v>0</v>
      </c>
      <c r="R49" s="936">
        <f t="shared" si="25"/>
        <v>0</v>
      </c>
      <c r="S49" s="936">
        <f t="shared" si="25"/>
        <v>0</v>
      </c>
      <c r="T49" s="936">
        <f t="shared" si="25"/>
        <v>0</v>
      </c>
      <c r="U49" s="936">
        <f t="shared" si="25"/>
        <v>0</v>
      </c>
      <c r="V49" s="936">
        <f t="shared" si="25"/>
        <v>0</v>
      </c>
      <c r="W49" s="936">
        <f t="shared" si="25"/>
        <v>0</v>
      </c>
      <c r="X49" s="936">
        <f t="shared" si="25"/>
        <v>0</v>
      </c>
      <c r="Y49" s="936">
        <f t="shared" si="25"/>
        <v>0</v>
      </c>
      <c r="Z49" s="936">
        <f t="shared" si="25"/>
        <v>0</v>
      </c>
      <c r="AA49" s="936">
        <f t="shared" si="25"/>
        <v>0</v>
      </c>
      <c r="AB49" s="936">
        <f t="shared" si="25"/>
        <v>0</v>
      </c>
      <c r="AC49" s="936">
        <f t="shared" si="25"/>
        <v>0</v>
      </c>
      <c r="AD49" s="936">
        <f t="shared" si="25"/>
        <v>0</v>
      </c>
      <c r="AE49" s="936">
        <f t="shared" si="25"/>
        <v>0</v>
      </c>
      <c r="AF49" s="936">
        <f t="shared" si="25"/>
        <v>0</v>
      </c>
      <c r="AG49" s="936">
        <f t="shared" si="25"/>
        <v>0</v>
      </c>
      <c r="AH49" s="936">
        <f t="shared" si="25"/>
        <v>0</v>
      </c>
      <c r="AI49" s="936">
        <f t="shared" si="25"/>
        <v>0</v>
      </c>
      <c r="AJ49" s="936">
        <f t="shared" si="25"/>
        <v>0</v>
      </c>
      <c r="AK49" s="936">
        <f t="shared" si="25"/>
        <v>0</v>
      </c>
      <c r="AL49" s="936">
        <f t="shared" si="25"/>
        <v>0</v>
      </c>
      <c r="AM49" s="936">
        <f t="shared" si="25"/>
        <v>0</v>
      </c>
      <c r="AN49" s="936">
        <f t="shared" si="25"/>
        <v>0</v>
      </c>
      <c r="AO49" s="936">
        <f t="shared" si="25"/>
        <v>0</v>
      </c>
      <c r="AP49" s="936">
        <f t="shared" si="25"/>
        <v>0</v>
      </c>
      <c r="AQ49" s="936">
        <f t="shared" si="25"/>
        <v>0</v>
      </c>
      <c r="AR49" s="936">
        <f t="shared" si="25"/>
        <v>0</v>
      </c>
      <c r="AS49" s="936">
        <f t="shared" si="25"/>
        <v>0</v>
      </c>
      <c r="AT49" s="936">
        <f t="shared" si="25"/>
        <v>0</v>
      </c>
      <c r="AU49" s="936">
        <f t="shared" si="25"/>
        <v>0</v>
      </c>
      <c r="AV49" s="936">
        <f t="shared" si="25"/>
        <v>0</v>
      </c>
      <c r="AW49" s="936">
        <f t="shared" si="25"/>
        <v>0</v>
      </c>
      <c r="AX49" s="936">
        <f t="shared" si="25"/>
        <v>0</v>
      </c>
      <c r="AY49" s="936">
        <f t="shared" si="25"/>
        <v>0</v>
      </c>
      <c r="AZ49" s="936">
        <f t="shared" si="25"/>
        <v>0</v>
      </c>
      <c r="BA49" s="936">
        <f t="shared" si="25"/>
        <v>0</v>
      </c>
      <c r="BB49" s="936">
        <f t="shared" si="25"/>
        <v>0</v>
      </c>
      <c r="BC49" s="936">
        <f t="shared" si="25"/>
        <v>0</v>
      </c>
      <c r="BD49" s="936">
        <f t="shared" si="25"/>
        <v>0</v>
      </c>
      <c r="BE49" s="936">
        <f t="shared" si="25"/>
        <v>0</v>
      </c>
      <c r="BF49" s="936">
        <f t="shared" si="25"/>
        <v>0</v>
      </c>
      <c r="BG49" s="936">
        <f t="shared" si="25"/>
        <v>0</v>
      </c>
      <c r="BH49" s="936">
        <f t="shared" si="25"/>
        <v>0</v>
      </c>
      <c r="BI49" s="936">
        <f t="shared" si="25"/>
        <v>0</v>
      </c>
      <c r="BJ49" s="936">
        <f t="shared" si="25"/>
        <v>0</v>
      </c>
      <c r="BK49" s="936">
        <f t="shared" si="25"/>
        <v>0</v>
      </c>
      <c r="BL49" s="936">
        <f t="shared" si="25"/>
        <v>0</v>
      </c>
      <c r="BM49" s="936">
        <f t="shared" si="25"/>
        <v>0</v>
      </c>
      <c r="BN49" s="936">
        <f t="shared" si="25"/>
        <v>0</v>
      </c>
      <c r="BO49" s="936">
        <f t="shared" si="25"/>
        <v>0</v>
      </c>
      <c r="BP49" s="936">
        <f t="shared" si="25"/>
        <v>0</v>
      </c>
      <c r="BQ49" s="936">
        <f t="shared" si="25"/>
        <v>0</v>
      </c>
      <c r="BR49" s="936">
        <f t="shared" si="25"/>
        <v>0</v>
      </c>
      <c r="BS49" s="936">
        <f t="shared" ref="BS49:BZ49" si="26">BS15*$F15</f>
        <v>0</v>
      </c>
      <c r="BT49" s="936">
        <f t="shared" si="26"/>
        <v>0</v>
      </c>
      <c r="BU49" s="936">
        <f t="shared" si="26"/>
        <v>0</v>
      </c>
      <c r="BV49" s="936">
        <f t="shared" si="26"/>
        <v>0</v>
      </c>
      <c r="BW49" s="936">
        <f t="shared" si="26"/>
        <v>0</v>
      </c>
      <c r="BX49" s="936">
        <f t="shared" si="26"/>
        <v>0</v>
      </c>
      <c r="BY49" s="936">
        <f t="shared" si="26"/>
        <v>0</v>
      </c>
      <c r="BZ49" s="936">
        <f t="shared" si="26"/>
        <v>0</v>
      </c>
      <c r="CA49" s="14"/>
    </row>
    <row r="50" spans="5:79" s="747" customFormat="1" ht="15">
      <c r="E50" s="912" t="s">
        <v>939</v>
      </c>
      <c r="F50" s="10"/>
      <c r="G50" s="936">
        <f t="shared" ref="G50:BR50" si="27">G16*$F16</f>
        <v>0</v>
      </c>
      <c r="H50" s="936">
        <f t="shared" si="27"/>
        <v>0</v>
      </c>
      <c r="I50" s="936">
        <f t="shared" si="27"/>
        <v>0</v>
      </c>
      <c r="J50" s="936">
        <f t="shared" si="27"/>
        <v>0</v>
      </c>
      <c r="K50" s="936">
        <f t="shared" si="27"/>
        <v>0</v>
      </c>
      <c r="L50" s="936">
        <f t="shared" si="27"/>
        <v>0</v>
      </c>
      <c r="M50" s="936">
        <f t="shared" si="27"/>
        <v>0</v>
      </c>
      <c r="N50" s="936">
        <f t="shared" si="27"/>
        <v>0</v>
      </c>
      <c r="O50" s="936">
        <f t="shared" si="27"/>
        <v>0</v>
      </c>
      <c r="P50" s="936">
        <f t="shared" si="27"/>
        <v>0</v>
      </c>
      <c r="Q50" s="936">
        <f t="shared" si="27"/>
        <v>0</v>
      </c>
      <c r="R50" s="936">
        <f t="shared" si="27"/>
        <v>0</v>
      </c>
      <c r="S50" s="936">
        <f t="shared" si="27"/>
        <v>0</v>
      </c>
      <c r="T50" s="936">
        <f t="shared" si="27"/>
        <v>0</v>
      </c>
      <c r="U50" s="936">
        <f t="shared" si="27"/>
        <v>0</v>
      </c>
      <c r="V50" s="936">
        <f t="shared" si="27"/>
        <v>0</v>
      </c>
      <c r="W50" s="936">
        <f t="shared" si="27"/>
        <v>0</v>
      </c>
      <c r="X50" s="936">
        <f t="shared" si="27"/>
        <v>0</v>
      </c>
      <c r="Y50" s="936">
        <f t="shared" si="27"/>
        <v>0</v>
      </c>
      <c r="Z50" s="936">
        <f t="shared" si="27"/>
        <v>0</v>
      </c>
      <c r="AA50" s="936">
        <f t="shared" si="27"/>
        <v>0</v>
      </c>
      <c r="AB50" s="936">
        <f t="shared" si="27"/>
        <v>0</v>
      </c>
      <c r="AC50" s="936">
        <f t="shared" si="27"/>
        <v>0</v>
      </c>
      <c r="AD50" s="936">
        <f t="shared" si="27"/>
        <v>0</v>
      </c>
      <c r="AE50" s="936">
        <f t="shared" si="27"/>
        <v>0</v>
      </c>
      <c r="AF50" s="936">
        <f t="shared" si="27"/>
        <v>0</v>
      </c>
      <c r="AG50" s="936">
        <f t="shared" si="27"/>
        <v>0</v>
      </c>
      <c r="AH50" s="936">
        <f t="shared" si="27"/>
        <v>0</v>
      </c>
      <c r="AI50" s="936">
        <f t="shared" si="27"/>
        <v>0</v>
      </c>
      <c r="AJ50" s="936">
        <f t="shared" si="27"/>
        <v>0</v>
      </c>
      <c r="AK50" s="936">
        <f t="shared" si="27"/>
        <v>0</v>
      </c>
      <c r="AL50" s="936">
        <f t="shared" si="27"/>
        <v>0</v>
      </c>
      <c r="AM50" s="936">
        <f t="shared" si="27"/>
        <v>0</v>
      </c>
      <c r="AN50" s="936">
        <f t="shared" si="27"/>
        <v>0</v>
      </c>
      <c r="AO50" s="936">
        <f t="shared" si="27"/>
        <v>0</v>
      </c>
      <c r="AP50" s="936">
        <f t="shared" si="27"/>
        <v>0</v>
      </c>
      <c r="AQ50" s="936">
        <f t="shared" si="27"/>
        <v>0</v>
      </c>
      <c r="AR50" s="936">
        <f t="shared" si="27"/>
        <v>0</v>
      </c>
      <c r="AS50" s="936">
        <f t="shared" si="27"/>
        <v>0</v>
      </c>
      <c r="AT50" s="936">
        <f t="shared" si="27"/>
        <v>0</v>
      </c>
      <c r="AU50" s="936">
        <f t="shared" si="27"/>
        <v>0</v>
      </c>
      <c r="AV50" s="936">
        <f t="shared" si="27"/>
        <v>0</v>
      </c>
      <c r="AW50" s="936">
        <f t="shared" si="27"/>
        <v>0</v>
      </c>
      <c r="AX50" s="936">
        <f t="shared" si="27"/>
        <v>0</v>
      </c>
      <c r="AY50" s="936">
        <f t="shared" si="27"/>
        <v>0</v>
      </c>
      <c r="AZ50" s="936">
        <f t="shared" si="27"/>
        <v>0</v>
      </c>
      <c r="BA50" s="936">
        <f t="shared" si="27"/>
        <v>0</v>
      </c>
      <c r="BB50" s="936">
        <f t="shared" si="27"/>
        <v>0</v>
      </c>
      <c r="BC50" s="936">
        <f t="shared" si="27"/>
        <v>0</v>
      </c>
      <c r="BD50" s="936">
        <f t="shared" si="27"/>
        <v>0</v>
      </c>
      <c r="BE50" s="936">
        <f t="shared" si="27"/>
        <v>0</v>
      </c>
      <c r="BF50" s="936">
        <f t="shared" si="27"/>
        <v>0</v>
      </c>
      <c r="BG50" s="936">
        <f t="shared" si="27"/>
        <v>0</v>
      </c>
      <c r="BH50" s="936">
        <f t="shared" si="27"/>
        <v>0</v>
      </c>
      <c r="BI50" s="936">
        <f t="shared" si="27"/>
        <v>0</v>
      </c>
      <c r="BJ50" s="936">
        <f t="shared" si="27"/>
        <v>0</v>
      </c>
      <c r="BK50" s="936">
        <f t="shared" si="27"/>
        <v>0</v>
      </c>
      <c r="BL50" s="936">
        <f t="shared" si="27"/>
        <v>0</v>
      </c>
      <c r="BM50" s="936">
        <f t="shared" si="27"/>
        <v>0</v>
      </c>
      <c r="BN50" s="936">
        <f t="shared" si="27"/>
        <v>0</v>
      </c>
      <c r="BO50" s="936">
        <f t="shared" si="27"/>
        <v>0</v>
      </c>
      <c r="BP50" s="936">
        <f t="shared" si="27"/>
        <v>0</v>
      </c>
      <c r="BQ50" s="936">
        <f t="shared" si="27"/>
        <v>0</v>
      </c>
      <c r="BR50" s="936">
        <f t="shared" si="27"/>
        <v>0</v>
      </c>
      <c r="BS50" s="936">
        <f t="shared" ref="BS50:BZ50" si="28">BS16*$F16</f>
        <v>0</v>
      </c>
      <c r="BT50" s="936">
        <f t="shared" si="28"/>
        <v>0</v>
      </c>
      <c r="BU50" s="936">
        <f t="shared" si="28"/>
        <v>0</v>
      </c>
      <c r="BV50" s="936">
        <f t="shared" si="28"/>
        <v>0</v>
      </c>
      <c r="BW50" s="936">
        <f t="shared" si="28"/>
        <v>0</v>
      </c>
      <c r="BX50" s="936">
        <f t="shared" si="28"/>
        <v>0</v>
      </c>
      <c r="BY50" s="936">
        <f t="shared" si="28"/>
        <v>0</v>
      </c>
      <c r="BZ50" s="936">
        <f t="shared" si="28"/>
        <v>0</v>
      </c>
      <c r="CA50" s="14"/>
    </row>
    <row r="51" spans="5:79" s="747" customFormat="1" ht="15">
      <c r="E51" s="912" t="s">
        <v>940</v>
      </c>
      <c r="F51" s="10"/>
      <c r="G51" s="936">
        <f t="shared" ref="G51:BR51" si="29">G17*$F17</f>
        <v>0</v>
      </c>
      <c r="H51" s="936">
        <f t="shared" si="29"/>
        <v>0</v>
      </c>
      <c r="I51" s="936">
        <f t="shared" si="29"/>
        <v>0</v>
      </c>
      <c r="J51" s="936">
        <f t="shared" si="29"/>
        <v>0</v>
      </c>
      <c r="K51" s="936">
        <f t="shared" si="29"/>
        <v>0</v>
      </c>
      <c r="L51" s="936">
        <f t="shared" si="29"/>
        <v>0</v>
      </c>
      <c r="M51" s="936">
        <f t="shared" si="29"/>
        <v>0</v>
      </c>
      <c r="N51" s="936">
        <f t="shared" si="29"/>
        <v>0</v>
      </c>
      <c r="O51" s="936">
        <f t="shared" si="29"/>
        <v>0</v>
      </c>
      <c r="P51" s="936">
        <f t="shared" si="29"/>
        <v>0</v>
      </c>
      <c r="Q51" s="936">
        <f t="shared" si="29"/>
        <v>0</v>
      </c>
      <c r="R51" s="936">
        <f t="shared" si="29"/>
        <v>0</v>
      </c>
      <c r="S51" s="936">
        <f t="shared" si="29"/>
        <v>0</v>
      </c>
      <c r="T51" s="936">
        <f t="shared" si="29"/>
        <v>0</v>
      </c>
      <c r="U51" s="936">
        <f t="shared" si="29"/>
        <v>0</v>
      </c>
      <c r="V51" s="936">
        <f t="shared" si="29"/>
        <v>0</v>
      </c>
      <c r="W51" s="936">
        <f t="shared" si="29"/>
        <v>0</v>
      </c>
      <c r="X51" s="936">
        <f t="shared" si="29"/>
        <v>0</v>
      </c>
      <c r="Y51" s="936">
        <f t="shared" si="29"/>
        <v>0</v>
      </c>
      <c r="Z51" s="936">
        <f t="shared" si="29"/>
        <v>0</v>
      </c>
      <c r="AA51" s="936">
        <f t="shared" si="29"/>
        <v>0</v>
      </c>
      <c r="AB51" s="936">
        <f t="shared" si="29"/>
        <v>0</v>
      </c>
      <c r="AC51" s="936">
        <f t="shared" si="29"/>
        <v>0</v>
      </c>
      <c r="AD51" s="936">
        <f t="shared" si="29"/>
        <v>0</v>
      </c>
      <c r="AE51" s="936">
        <f t="shared" si="29"/>
        <v>0</v>
      </c>
      <c r="AF51" s="936">
        <f t="shared" si="29"/>
        <v>0</v>
      </c>
      <c r="AG51" s="936">
        <f t="shared" si="29"/>
        <v>0</v>
      </c>
      <c r="AH51" s="936">
        <f t="shared" si="29"/>
        <v>0</v>
      </c>
      <c r="AI51" s="936">
        <f t="shared" si="29"/>
        <v>0</v>
      </c>
      <c r="AJ51" s="936">
        <f t="shared" si="29"/>
        <v>0</v>
      </c>
      <c r="AK51" s="936">
        <f t="shared" si="29"/>
        <v>0</v>
      </c>
      <c r="AL51" s="936">
        <f t="shared" si="29"/>
        <v>0</v>
      </c>
      <c r="AM51" s="936">
        <f t="shared" si="29"/>
        <v>0</v>
      </c>
      <c r="AN51" s="936">
        <f t="shared" si="29"/>
        <v>0</v>
      </c>
      <c r="AO51" s="936">
        <f t="shared" si="29"/>
        <v>0</v>
      </c>
      <c r="AP51" s="936">
        <f t="shared" si="29"/>
        <v>0</v>
      </c>
      <c r="AQ51" s="936">
        <f t="shared" si="29"/>
        <v>0</v>
      </c>
      <c r="AR51" s="936">
        <f t="shared" si="29"/>
        <v>0</v>
      </c>
      <c r="AS51" s="936">
        <f t="shared" si="29"/>
        <v>0</v>
      </c>
      <c r="AT51" s="936">
        <f t="shared" si="29"/>
        <v>0</v>
      </c>
      <c r="AU51" s="936">
        <f t="shared" si="29"/>
        <v>0</v>
      </c>
      <c r="AV51" s="936">
        <f t="shared" si="29"/>
        <v>0</v>
      </c>
      <c r="AW51" s="936">
        <f t="shared" si="29"/>
        <v>0</v>
      </c>
      <c r="AX51" s="936">
        <f t="shared" si="29"/>
        <v>0</v>
      </c>
      <c r="AY51" s="936">
        <f t="shared" si="29"/>
        <v>0</v>
      </c>
      <c r="AZ51" s="936">
        <f t="shared" si="29"/>
        <v>0</v>
      </c>
      <c r="BA51" s="936">
        <f t="shared" si="29"/>
        <v>0</v>
      </c>
      <c r="BB51" s="936">
        <f t="shared" si="29"/>
        <v>0</v>
      </c>
      <c r="BC51" s="936">
        <f t="shared" si="29"/>
        <v>0</v>
      </c>
      <c r="BD51" s="936">
        <f t="shared" si="29"/>
        <v>0</v>
      </c>
      <c r="BE51" s="936">
        <f t="shared" si="29"/>
        <v>0</v>
      </c>
      <c r="BF51" s="936">
        <f t="shared" si="29"/>
        <v>0</v>
      </c>
      <c r="BG51" s="936">
        <f t="shared" si="29"/>
        <v>0</v>
      </c>
      <c r="BH51" s="936">
        <f t="shared" si="29"/>
        <v>0</v>
      </c>
      <c r="BI51" s="936">
        <f t="shared" si="29"/>
        <v>0</v>
      </c>
      <c r="BJ51" s="936">
        <f t="shared" si="29"/>
        <v>0</v>
      </c>
      <c r="BK51" s="936">
        <f t="shared" si="29"/>
        <v>0</v>
      </c>
      <c r="BL51" s="936">
        <f t="shared" si="29"/>
        <v>0</v>
      </c>
      <c r="BM51" s="936">
        <f t="shared" si="29"/>
        <v>0</v>
      </c>
      <c r="BN51" s="936">
        <f t="shared" si="29"/>
        <v>0</v>
      </c>
      <c r="BO51" s="936">
        <f t="shared" si="29"/>
        <v>0</v>
      </c>
      <c r="BP51" s="936">
        <f t="shared" si="29"/>
        <v>0</v>
      </c>
      <c r="BQ51" s="936">
        <f t="shared" si="29"/>
        <v>0</v>
      </c>
      <c r="BR51" s="936">
        <f t="shared" si="29"/>
        <v>0</v>
      </c>
      <c r="BS51" s="936">
        <f t="shared" ref="BS51:BZ51" si="30">BS17*$F17</f>
        <v>0</v>
      </c>
      <c r="BT51" s="936">
        <f t="shared" si="30"/>
        <v>0</v>
      </c>
      <c r="BU51" s="936">
        <f t="shared" si="30"/>
        <v>0</v>
      </c>
      <c r="BV51" s="936">
        <f t="shared" si="30"/>
        <v>0</v>
      </c>
      <c r="BW51" s="936">
        <f t="shared" si="30"/>
        <v>0</v>
      </c>
      <c r="BX51" s="936">
        <f t="shared" si="30"/>
        <v>0</v>
      </c>
      <c r="BY51" s="936">
        <f t="shared" si="30"/>
        <v>0</v>
      </c>
      <c r="BZ51" s="936">
        <f t="shared" si="30"/>
        <v>0</v>
      </c>
      <c r="CA51" s="14"/>
    </row>
    <row r="52" spans="5:79" s="747" customFormat="1" ht="15">
      <c r="E52" s="912" t="s">
        <v>941</v>
      </c>
      <c r="F52" s="10"/>
      <c r="G52" s="936">
        <f t="shared" ref="G52:BR52" si="31">G18*$F18</f>
        <v>0</v>
      </c>
      <c r="H52" s="936">
        <f t="shared" si="31"/>
        <v>0</v>
      </c>
      <c r="I52" s="936">
        <f t="shared" si="31"/>
        <v>0</v>
      </c>
      <c r="J52" s="936">
        <f t="shared" si="31"/>
        <v>0</v>
      </c>
      <c r="K52" s="936">
        <f t="shared" si="31"/>
        <v>0</v>
      </c>
      <c r="L52" s="936">
        <f t="shared" si="31"/>
        <v>0</v>
      </c>
      <c r="M52" s="936">
        <f t="shared" si="31"/>
        <v>0</v>
      </c>
      <c r="N52" s="936">
        <f t="shared" si="31"/>
        <v>0</v>
      </c>
      <c r="O52" s="936">
        <f t="shared" si="31"/>
        <v>0</v>
      </c>
      <c r="P52" s="936">
        <f t="shared" si="31"/>
        <v>0</v>
      </c>
      <c r="Q52" s="936">
        <f t="shared" si="31"/>
        <v>0</v>
      </c>
      <c r="R52" s="936">
        <f t="shared" si="31"/>
        <v>0</v>
      </c>
      <c r="S52" s="936">
        <f t="shared" si="31"/>
        <v>0</v>
      </c>
      <c r="T52" s="936">
        <f t="shared" si="31"/>
        <v>0</v>
      </c>
      <c r="U52" s="936">
        <f t="shared" si="31"/>
        <v>0</v>
      </c>
      <c r="V52" s="936">
        <f t="shared" si="31"/>
        <v>0</v>
      </c>
      <c r="W52" s="936">
        <f t="shared" si="31"/>
        <v>0</v>
      </c>
      <c r="X52" s="936">
        <f t="shared" si="31"/>
        <v>0</v>
      </c>
      <c r="Y52" s="936">
        <f t="shared" si="31"/>
        <v>0</v>
      </c>
      <c r="Z52" s="936">
        <f t="shared" si="31"/>
        <v>0</v>
      </c>
      <c r="AA52" s="936">
        <f t="shared" si="31"/>
        <v>0</v>
      </c>
      <c r="AB52" s="936">
        <f t="shared" si="31"/>
        <v>0</v>
      </c>
      <c r="AC52" s="936">
        <f t="shared" si="31"/>
        <v>0</v>
      </c>
      <c r="AD52" s="936">
        <f t="shared" si="31"/>
        <v>0</v>
      </c>
      <c r="AE52" s="936">
        <f t="shared" si="31"/>
        <v>0</v>
      </c>
      <c r="AF52" s="936">
        <f t="shared" si="31"/>
        <v>0</v>
      </c>
      <c r="AG52" s="936">
        <f t="shared" si="31"/>
        <v>0</v>
      </c>
      <c r="AH52" s="936">
        <f t="shared" si="31"/>
        <v>0</v>
      </c>
      <c r="AI52" s="936">
        <f t="shared" si="31"/>
        <v>0</v>
      </c>
      <c r="AJ52" s="936">
        <f t="shared" si="31"/>
        <v>0</v>
      </c>
      <c r="AK52" s="936">
        <f t="shared" si="31"/>
        <v>0</v>
      </c>
      <c r="AL52" s="936">
        <f t="shared" si="31"/>
        <v>0</v>
      </c>
      <c r="AM52" s="936">
        <f t="shared" si="31"/>
        <v>0</v>
      </c>
      <c r="AN52" s="936">
        <f t="shared" si="31"/>
        <v>0</v>
      </c>
      <c r="AO52" s="936">
        <f t="shared" si="31"/>
        <v>0</v>
      </c>
      <c r="AP52" s="936">
        <f t="shared" si="31"/>
        <v>0</v>
      </c>
      <c r="AQ52" s="936">
        <f t="shared" si="31"/>
        <v>0</v>
      </c>
      <c r="AR52" s="936">
        <f t="shared" si="31"/>
        <v>0</v>
      </c>
      <c r="AS52" s="936">
        <f t="shared" si="31"/>
        <v>0</v>
      </c>
      <c r="AT52" s="936">
        <f t="shared" si="31"/>
        <v>0</v>
      </c>
      <c r="AU52" s="936">
        <f t="shared" si="31"/>
        <v>0</v>
      </c>
      <c r="AV52" s="936">
        <f t="shared" si="31"/>
        <v>0</v>
      </c>
      <c r="AW52" s="936">
        <f t="shared" si="31"/>
        <v>0</v>
      </c>
      <c r="AX52" s="936">
        <f t="shared" si="31"/>
        <v>0</v>
      </c>
      <c r="AY52" s="936">
        <f t="shared" si="31"/>
        <v>0</v>
      </c>
      <c r="AZ52" s="936">
        <f t="shared" si="31"/>
        <v>0</v>
      </c>
      <c r="BA52" s="936">
        <f t="shared" si="31"/>
        <v>0</v>
      </c>
      <c r="BB52" s="936">
        <f t="shared" si="31"/>
        <v>0</v>
      </c>
      <c r="BC52" s="936">
        <f t="shared" si="31"/>
        <v>0</v>
      </c>
      <c r="BD52" s="936">
        <f t="shared" si="31"/>
        <v>0</v>
      </c>
      <c r="BE52" s="936">
        <f t="shared" si="31"/>
        <v>0</v>
      </c>
      <c r="BF52" s="936">
        <f t="shared" si="31"/>
        <v>0</v>
      </c>
      <c r="BG52" s="936">
        <f t="shared" si="31"/>
        <v>0</v>
      </c>
      <c r="BH52" s="936">
        <f t="shared" si="31"/>
        <v>0</v>
      </c>
      <c r="BI52" s="936">
        <f t="shared" si="31"/>
        <v>0</v>
      </c>
      <c r="BJ52" s="936">
        <f t="shared" si="31"/>
        <v>0</v>
      </c>
      <c r="BK52" s="936">
        <f t="shared" si="31"/>
        <v>0</v>
      </c>
      <c r="BL52" s="936">
        <f t="shared" si="31"/>
        <v>0</v>
      </c>
      <c r="BM52" s="936">
        <f t="shared" si="31"/>
        <v>0</v>
      </c>
      <c r="BN52" s="936">
        <f t="shared" si="31"/>
        <v>0</v>
      </c>
      <c r="BO52" s="936">
        <f t="shared" si="31"/>
        <v>0</v>
      </c>
      <c r="BP52" s="936">
        <f t="shared" si="31"/>
        <v>0</v>
      </c>
      <c r="BQ52" s="936">
        <f t="shared" si="31"/>
        <v>0</v>
      </c>
      <c r="BR52" s="936">
        <f t="shared" si="31"/>
        <v>0</v>
      </c>
      <c r="BS52" s="936">
        <f t="shared" ref="BS52:BZ52" si="32">BS18*$F18</f>
        <v>0</v>
      </c>
      <c r="BT52" s="936">
        <f t="shared" si="32"/>
        <v>0</v>
      </c>
      <c r="BU52" s="936">
        <f t="shared" si="32"/>
        <v>0</v>
      </c>
      <c r="BV52" s="936">
        <f t="shared" si="32"/>
        <v>0</v>
      </c>
      <c r="BW52" s="936">
        <f t="shared" si="32"/>
        <v>0</v>
      </c>
      <c r="BX52" s="936">
        <f t="shared" si="32"/>
        <v>0</v>
      </c>
      <c r="BY52" s="936">
        <f t="shared" si="32"/>
        <v>0</v>
      </c>
      <c r="BZ52" s="936">
        <f t="shared" si="32"/>
        <v>0</v>
      </c>
      <c r="CA52" s="14"/>
    </row>
    <row r="53" spans="5:79" s="747" customFormat="1" ht="15">
      <c r="E53" s="912" t="s">
        <v>942</v>
      </c>
      <c r="F53" s="10"/>
      <c r="G53" s="936">
        <f t="shared" ref="G53:BR53" si="33">G19*$F19</f>
        <v>0</v>
      </c>
      <c r="H53" s="936">
        <f t="shared" si="33"/>
        <v>0</v>
      </c>
      <c r="I53" s="936">
        <f t="shared" si="33"/>
        <v>0</v>
      </c>
      <c r="J53" s="936">
        <f t="shared" si="33"/>
        <v>0</v>
      </c>
      <c r="K53" s="936">
        <f t="shared" si="33"/>
        <v>0</v>
      </c>
      <c r="L53" s="936">
        <f t="shared" si="33"/>
        <v>0</v>
      </c>
      <c r="M53" s="936">
        <f t="shared" si="33"/>
        <v>0</v>
      </c>
      <c r="N53" s="936">
        <f t="shared" si="33"/>
        <v>0</v>
      </c>
      <c r="O53" s="936">
        <f t="shared" si="33"/>
        <v>0</v>
      </c>
      <c r="P53" s="936">
        <f t="shared" si="33"/>
        <v>0</v>
      </c>
      <c r="Q53" s="936">
        <f t="shared" si="33"/>
        <v>0</v>
      </c>
      <c r="R53" s="936">
        <f t="shared" si="33"/>
        <v>0</v>
      </c>
      <c r="S53" s="936">
        <f t="shared" si="33"/>
        <v>0</v>
      </c>
      <c r="T53" s="936">
        <f t="shared" si="33"/>
        <v>0</v>
      </c>
      <c r="U53" s="936">
        <f t="shared" si="33"/>
        <v>0</v>
      </c>
      <c r="V53" s="936">
        <f t="shared" si="33"/>
        <v>0</v>
      </c>
      <c r="W53" s="936">
        <f t="shared" si="33"/>
        <v>0</v>
      </c>
      <c r="X53" s="936">
        <f t="shared" si="33"/>
        <v>0</v>
      </c>
      <c r="Y53" s="936">
        <f t="shared" si="33"/>
        <v>0</v>
      </c>
      <c r="Z53" s="936">
        <f t="shared" si="33"/>
        <v>0</v>
      </c>
      <c r="AA53" s="936">
        <f t="shared" si="33"/>
        <v>0</v>
      </c>
      <c r="AB53" s="936">
        <f t="shared" si="33"/>
        <v>0</v>
      </c>
      <c r="AC53" s="936">
        <f t="shared" si="33"/>
        <v>0</v>
      </c>
      <c r="AD53" s="936">
        <f t="shared" si="33"/>
        <v>0</v>
      </c>
      <c r="AE53" s="936">
        <f t="shared" si="33"/>
        <v>0</v>
      </c>
      <c r="AF53" s="936">
        <f t="shared" si="33"/>
        <v>0</v>
      </c>
      <c r="AG53" s="936">
        <f t="shared" si="33"/>
        <v>0</v>
      </c>
      <c r="AH53" s="936">
        <f t="shared" si="33"/>
        <v>0</v>
      </c>
      <c r="AI53" s="936">
        <f t="shared" si="33"/>
        <v>0</v>
      </c>
      <c r="AJ53" s="936">
        <f t="shared" si="33"/>
        <v>0</v>
      </c>
      <c r="AK53" s="936">
        <f t="shared" si="33"/>
        <v>0</v>
      </c>
      <c r="AL53" s="936">
        <f t="shared" si="33"/>
        <v>0</v>
      </c>
      <c r="AM53" s="936">
        <f t="shared" si="33"/>
        <v>0</v>
      </c>
      <c r="AN53" s="936">
        <f t="shared" si="33"/>
        <v>0</v>
      </c>
      <c r="AO53" s="936">
        <f t="shared" si="33"/>
        <v>0</v>
      </c>
      <c r="AP53" s="936">
        <f t="shared" si="33"/>
        <v>0</v>
      </c>
      <c r="AQ53" s="936">
        <f t="shared" si="33"/>
        <v>0</v>
      </c>
      <c r="AR53" s="936">
        <f t="shared" si="33"/>
        <v>0</v>
      </c>
      <c r="AS53" s="936">
        <f t="shared" si="33"/>
        <v>0</v>
      </c>
      <c r="AT53" s="936">
        <f t="shared" si="33"/>
        <v>0</v>
      </c>
      <c r="AU53" s="936">
        <f t="shared" si="33"/>
        <v>0</v>
      </c>
      <c r="AV53" s="936">
        <f t="shared" si="33"/>
        <v>0</v>
      </c>
      <c r="AW53" s="936">
        <f t="shared" si="33"/>
        <v>0</v>
      </c>
      <c r="AX53" s="936">
        <f t="shared" si="33"/>
        <v>0</v>
      </c>
      <c r="AY53" s="936">
        <f t="shared" si="33"/>
        <v>0</v>
      </c>
      <c r="AZ53" s="936">
        <f t="shared" si="33"/>
        <v>0</v>
      </c>
      <c r="BA53" s="936">
        <f t="shared" si="33"/>
        <v>0</v>
      </c>
      <c r="BB53" s="936">
        <f t="shared" si="33"/>
        <v>0</v>
      </c>
      <c r="BC53" s="936">
        <f t="shared" si="33"/>
        <v>0</v>
      </c>
      <c r="BD53" s="936">
        <f t="shared" si="33"/>
        <v>0</v>
      </c>
      <c r="BE53" s="936">
        <f t="shared" si="33"/>
        <v>0</v>
      </c>
      <c r="BF53" s="936">
        <f t="shared" si="33"/>
        <v>0</v>
      </c>
      <c r="BG53" s="936">
        <f t="shared" si="33"/>
        <v>0</v>
      </c>
      <c r="BH53" s="936">
        <f t="shared" si="33"/>
        <v>0</v>
      </c>
      <c r="BI53" s="936">
        <f t="shared" si="33"/>
        <v>0</v>
      </c>
      <c r="BJ53" s="936">
        <f t="shared" si="33"/>
        <v>0</v>
      </c>
      <c r="BK53" s="936">
        <f t="shared" si="33"/>
        <v>0</v>
      </c>
      <c r="BL53" s="936">
        <f t="shared" si="33"/>
        <v>0</v>
      </c>
      <c r="BM53" s="936">
        <f t="shared" si="33"/>
        <v>0</v>
      </c>
      <c r="BN53" s="936">
        <f t="shared" si="33"/>
        <v>0</v>
      </c>
      <c r="BO53" s="936">
        <f t="shared" si="33"/>
        <v>0</v>
      </c>
      <c r="BP53" s="936">
        <f t="shared" si="33"/>
        <v>0</v>
      </c>
      <c r="BQ53" s="936">
        <f t="shared" si="33"/>
        <v>0</v>
      </c>
      <c r="BR53" s="936">
        <f t="shared" si="33"/>
        <v>0</v>
      </c>
      <c r="BS53" s="936">
        <f t="shared" ref="BS53:BZ53" si="34">BS19*$F19</f>
        <v>0</v>
      </c>
      <c r="BT53" s="936">
        <f t="shared" si="34"/>
        <v>0</v>
      </c>
      <c r="BU53" s="936">
        <f t="shared" si="34"/>
        <v>0</v>
      </c>
      <c r="BV53" s="936">
        <f t="shared" si="34"/>
        <v>0</v>
      </c>
      <c r="BW53" s="936">
        <f t="shared" si="34"/>
        <v>0</v>
      </c>
      <c r="BX53" s="936">
        <f t="shared" si="34"/>
        <v>0</v>
      </c>
      <c r="BY53" s="936">
        <f t="shared" si="34"/>
        <v>0</v>
      </c>
      <c r="BZ53" s="936">
        <f t="shared" si="34"/>
        <v>0</v>
      </c>
      <c r="CA53" s="14"/>
    </row>
    <row r="54" spans="5:79" s="747" customFormat="1" ht="15">
      <c r="E54" s="912" t="s">
        <v>943</v>
      </c>
      <c r="F54" s="10"/>
      <c r="G54" s="936">
        <f t="shared" ref="G54:BR54" si="35">G20*$F20</f>
        <v>0</v>
      </c>
      <c r="H54" s="936">
        <f t="shared" si="35"/>
        <v>0</v>
      </c>
      <c r="I54" s="936">
        <f t="shared" si="35"/>
        <v>0</v>
      </c>
      <c r="J54" s="936">
        <f t="shared" si="35"/>
        <v>0</v>
      </c>
      <c r="K54" s="936">
        <f t="shared" si="35"/>
        <v>0</v>
      </c>
      <c r="L54" s="936">
        <f t="shared" si="35"/>
        <v>0</v>
      </c>
      <c r="M54" s="936">
        <f t="shared" si="35"/>
        <v>0</v>
      </c>
      <c r="N54" s="936">
        <f t="shared" si="35"/>
        <v>0</v>
      </c>
      <c r="O54" s="936">
        <f t="shared" si="35"/>
        <v>0</v>
      </c>
      <c r="P54" s="936">
        <f t="shared" si="35"/>
        <v>0</v>
      </c>
      <c r="Q54" s="936">
        <f t="shared" si="35"/>
        <v>0</v>
      </c>
      <c r="R54" s="936">
        <f t="shared" si="35"/>
        <v>0</v>
      </c>
      <c r="S54" s="936">
        <f t="shared" si="35"/>
        <v>0</v>
      </c>
      <c r="T54" s="936">
        <f t="shared" si="35"/>
        <v>0</v>
      </c>
      <c r="U54" s="936">
        <f t="shared" si="35"/>
        <v>0</v>
      </c>
      <c r="V54" s="936">
        <f t="shared" si="35"/>
        <v>0</v>
      </c>
      <c r="W54" s="936">
        <f t="shared" si="35"/>
        <v>0</v>
      </c>
      <c r="X54" s="936">
        <f t="shared" si="35"/>
        <v>0</v>
      </c>
      <c r="Y54" s="936">
        <f t="shared" si="35"/>
        <v>0</v>
      </c>
      <c r="Z54" s="936">
        <f t="shared" si="35"/>
        <v>0</v>
      </c>
      <c r="AA54" s="936">
        <f t="shared" si="35"/>
        <v>0</v>
      </c>
      <c r="AB54" s="936">
        <f t="shared" si="35"/>
        <v>0</v>
      </c>
      <c r="AC54" s="936">
        <f t="shared" si="35"/>
        <v>0</v>
      </c>
      <c r="AD54" s="936">
        <f t="shared" si="35"/>
        <v>0</v>
      </c>
      <c r="AE54" s="936">
        <f t="shared" si="35"/>
        <v>0</v>
      </c>
      <c r="AF54" s="936">
        <f t="shared" si="35"/>
        <v>0</v>
      </c>
      <c r="AG54" s="936">
        <f t="shared" si="35"/>
        <v>0</v>
      </c>
      <c r="AH54" s="936">
        <f t="shared" si="35"/>
        <v>0</v>
      </c>
      <c r="AI54" s="936">
        <f t="shared" si="35"/>
        <v>0</v>
      </c>
      <c r="AJ54" s="936">
        <f t="shared" si="35"/>
        <v>0</v>
      </c>
      <c r="AK54" s="936">
        <f t="shared" si="35"/>
        <v>0</v>
      </c>
      <c r="AL54" s="936">
        <f t="shared" si="35"/>
        <v>0</v>
      </c>
      <c r="AM54" s="936">
        <f t="shared" si="35"/>
        <v>0</v>
      </c>
      <c r="AN54" s="936">
        <f t="shared" si="35"/>
        <v>0</v>
      </c>
      <c r="AO54" s="936">
        <f t="shared" si="35"/>
        <v>0</v>
      </c>
      <c r="AP54" s="936">
        <f t="shared" si="35"/>
        <v>0</v>
      </c>
      <c r="AQ54" s="936">
        <f t="shared" si="35"/>
        <v>0</v>
      </c>
      <c r="AR54" s="936">
        <f t="shared" si="35"/>
        <v>0</v>
      </c>
      <c r="AS54" s="936">
        <f t="shared" si="35"/>
        <v>0</v>
      </c>
      <c r="AT54" s="936">
        <f t="shared" si="35"/>
        <v>0</v>
      </c>
      <c r="AU54" s="936">
        <f t="shared" si="35"/>
        <v>0</v>
      </c>
      <c r="AV54" s="936">
        <f t="shared" si="35"/>
        <v>0</v>
      </c>
      <c r="AW54" s="936">
        <f t="shared" si="35"/>
        <v>0</v>
      </c>
      <c r="AX54" s="936">
        <f t="shared" si="35"/>
        <v>0</v>
      </c>
      <c r="AY54" s="936">
        <f t="shared" si="35"/>
        <v>0</v>
      </c>
      <c r="AZ54" s="936">
        <f t="shared" si="35"/>
        <v>0</v>
      </c>
      <c r="BA54" s="936">
        <f t="shared" si="35"/>
        <v>0</v>
      </c>
      <c r="BB54" s="936">
        <f t="shared" si="35"/>
        <v>0</v>
      </c>
      <c r="BC54" s="936">
        <f t="shared" si="35"/>
        <v>0</v>
      </c>
      <c r="BD54" s="936">
        <f t="shared" si="35"/>
        <v>0</v>
      </c>
      <c r="BE54" s="936">
        <f t="shared" si="35"/>
        <v>0</v>
      </c>
      <c r="BF54" s="936">
        <f t="shared" si="35"/>
        <v>0</v>
      </c>
      <c r="BG54" s="936">
        <f t="shared" si="35"/>
        <v>0</v>
      </c>
      <c r="BH54" s="936">
        <f t="shared" si="35"/>
        <v>0</v>
      </c>
      <c r="BI54" s="936">
        <f t="shared" si="35"/>
        <v>0</v>
      </c>
      <c r="BJ54" s="936">
        <f t="shared" si="35"/>
        <v>0</v>
      </c>
      <c r="BK54" s="936">
        <f t="shared" si="35"/>
        <v>0</v>
      </c>
      <c r="BL54" s="936">
        <f t="shared" si="35"/>
        <v>0</v>
      </c>
      <c r="BM54" s="936">
        <f t="shared" si="35"/>
        <v>0</v>
      </c>
      <c r="BN54" s="936">
        <f t="shared" si="35"/>
        <v>0</v>
      </c>
      <c r="BO54" s="936">
        <f t="shared" si="35"/>
        <v>0</v>
      </c>
      <c r="BP54" s="936">
        <f t="shared" si="35"/>
        <v>0</v>
      </c>
      <c r="BQ54" s="936">
        <f t="shared" si="35"/>
        <v>0</v>
      </c>
      <c r="BR54" s="936">
        <f t="shared" si="35"/>
        <v>0</v>
      </c>
      <c r="BS54" s="936">
        <f t="shared" ref="BS54:BZ54" si="36">BS20*$F20</f>
        <v>0</v>
      </c>
      <c r="BT54" s="936">
        <f t="shared" si="36"/>
        <v>0</v>
      </c>
      <c r="BU54" s="936">
        <f t="shared" si="36"/>
        <v>0</v>
      </c>
      <c r="BV54" s="936">
        <f t="shared" si="36"/>
        <v>0</v>
      </c>
      <c r="BW54" s="936">
        <f t="shared" si="36"/>
        <v>0</v>
      </c>
      <c r="BX54" s="936">
        <f t="shared" si="36"/>
        <v>0</v>
      </c>
      <c r="BY54" s="936">
        <f t="shared" si="36"/>
        <v>0</v>
      </c>
      <c r="BZ54" s="936">
        <f t="shared" si="36"/>
        <v>0</v>
      </c>
      <c r="CA54" s="14"/>
    </row>
    <row r="55" spans="5:79" s="747" customFormat="1" ht="15">
      <c r="E55" s="912" t="s">
        <v>944</v>
      </c>
      <c r="F55" s="10"/>
      <c r="G55" s="936">
        <f t="shared" ref="G55:BR55" si="37">G21*$F21</f>
        <v>0</v>
      </c>
      <c r="H55" s="936">
        <f t="shared" si="37"/>
        <v>0</v>
      </c>
      <c r="I55" s="936">
        <f t="shared" si="37"/>
        <v>0</v>
      </c>
      <c r="J55" s="936">
        <f t="shared" si="37"/>
        <v>0</v>
      </c>
      <c r="K55" s="936">
        <f t="shared" si="37"/>
        <v>0</v>
      </c>
      <c r="L55" s="936">
        <f t="shared" si="37"/>
        <v>0</v>
      </c>
      <c r="M55" s="936">
        <f t="shared" si="37"/>
        <v>0</v>
      </c>
      <c r="N55" s="936">
        <f t="shared" si="37"/>
        <v>0</v>
      </c>
      <c r="O55" s="936">
        <f t="shared" si="37"/>
        <v>0</v>
      </c>
      <c r="P55" s="936">
        <f t="shared" si="37"/>
        <v>0</v>
      </c>
      <c r="Q55" s="936">
        <f t="shared" si="37"/>
        <v>0</v>
      </c>
      <c r="R55" s="936">
        <f t="shared" si="37"/>
        <v>0</v>
      </c>
      <c r="S55" s="936">
        <f t="shared" si="37"/>
        <v>0</v>
      </c>
      <c r="T55" s="936">
        <f t="shared" si="37"/>
        <v>0</v>
      </c>
      <c r="U55" s="936">
        <f t="shared" si="37"/>
        <v>0</v>
      </c>
      <c r="V55" s="936">
        <f t="shared" si="37"/>
        <v>0</v>
      </c>
      <c r="W55" s="936">
        <f t="shared" si="37"/>
        <v>0</v>
      </c>
      <c r="X55" s="936">
        <f t="shared" si="37"/>
        <v>0</v>
      </c>
      <c r="Y55" s="936">
        <f t="shared" si="37"/>
        <v>0</v>
      </c>
      <c r="Z55" s="936">
        <f t="shared" si="37"/>
        <v>0</v>
      </c>
      <c r="AA55" s="936">
        <f t="shared" si="37"/>
        <v>0</v>
      </c>
      <c r="AB55" s="936">
        <f t="shared" si="37"/>
        <v>0</v>
      </c>
      <c r="AC55" s="936">
        <f t="shared" si="37"/>
        <v>0</v>
      </c>
      <c r="AD55" s="936">
        <f t="shared" si="37"/>
        <v>0</v>
      </c>
      <c r="AE55" s="936">
        <f t="shared" si="37"/>
        <v>0</v>
      </c>
      <c r="AF55" s="936">
        <f t="shared" si="37"/>
        <v>0</v>
      </c>
      <c r="AG55" s="936">
        <f t="shared" si="37"/>
        <v>0</v>
      </c>
      <c r="AH55" s="936">
        <f t="shared" si="37"/>
        <v>0</v>
      </c>
      <c r="AI55" s="936">
        <f t="shared" si="37"/>
        <v>0</v>
      </c>
      <c r="AJ55" s="936">
        <f t="shared" si="37"/>
        <v>0</v>
      </c>
      <c r="AK55" s="936">
        <f t="shared" si="37"/>
        <v>0</v>
      </c>
      <c r="AL55" s="936">
        <f t="shared" si="37"/>
        <v>0</v>
      </c>
      <c r="AM55" s="936">
        <f t="shared" si="37"/>
        <v>0</v>
      </c>
      <c r="AN55" s="936">
        <f t="shared" si="37"/>
        <v>0</v>
      </c>
      <c r="AO55" s="936">
        <f t="shared" si="37"/>
        <v>0</v>
      </c>
      <c r="AP55" s="936">
        <f t="shared" si="37"/>
        <v>0</v>
      </c>
      <c r="AQ55" s="936">
        <f t="shared" si="37"/>
        <v>0</v>
      </c>
      <c r="AR55" s="936">
        <f t="shared" si="37"/>
        <v>0</v>
      </c>
      <c r="AS55" s="936">
        <f t="shared" si="37"/>
        <v>0</v>
      </c>
      <c r="AT55" s="936">
        <f t="shared" si="37"/>
        <v>0</v>
      </c>
      <c r="AU55" s="936">
        <f t="shared" si="37"/>
        <v>0</v>
      </c>
      <c r="AV55" s="936">
        <f t="shared" si="37"/>
        <v>0</v>
      </c>
      <c r="AW55" s="936">
        <f t="shared" si="37"/>
        <v>0</v>
      </c>
      <c r="AX55" s="936">
        <f t="shared" si="37"/>
        <v>0</v>
      </c>
      <c r="AY55" s="936">
        <f t="shared" si="37"/>
        <v>0</v>
      </c>
      <c r="AZ55" s="936">
        <f t="shared" si="37"/>
        <v>0</v>
      </c>
      <c r="BA55" s="936">
        <f t="shared" si="37"/>
        <v>0</v>
      </c>
      <c r="BB55" s="936">
        <f t="shared" si="37"/>
        <v>0</v>
      </c>
      <c r="BC55" s="936">
        <f t="shared" si="37"/>
        <v>0</v>
      </c>
      <c r="BD55" s="936">
        <f t="shared" si="37"/>
        <v>0</v>
      </c>
      <c r="BE55" s="936">
        <f t="shared" si="37"/>
        <v>0</v>
      </c>
      <c r="BF55" s="936">
        <f t="shared" si="37"/>
        <v>0</v>
      </c>
      <c r="BG55" s="936">
        <f t="shared" si="37"/>
        <v>0</v>
      </c>
      <c r="BH55" s="936">
        <f t="shared" si="37"/>
        <v>0</v>
      </c>
      <c r="BI55" s="936">
        <f t="shared" si="37"/>
        <v>0</v>
      </c>
      <c r="BJ55" s="936">
        <f t="shared" si="37"/>
        <v>0</v>
      </c>
      <c r="BK55" s="936">
        <f t="shared" si="37"/>
        <v>0</v>
      </c>
      <c r="BL55" s="936">
        <f t="shared" si="37"/>
        <v>0</v>
      </c>
      <c r="BM55" s="936">
        <f t="shared" si="37"/>
        <v>0</v>
      </c>
      <c r="BN55" s="936">
        <f t="shared" si="37"/>
        <v>0</v>
      </c>
      <c r="BO55" s="936">
        <f t="shared" si="37"/>
        <v>0</v>
      </c>
      <c r="BP55" s="936">
        <f t="shared" si="37"/>
        <v>0</v>
      </c>
      <c r="BQ55" s="936">
        <f t="shared" si="37"/>
        <v>0</v>
      </c>
      <c r="BR55" s="936">
        <f t="shared" si="37"/>
        <v>0</v>
      </c>
      <c r="BS55" s="936">
        <f t="shared" ref="BS55:BZ55" si="38">BS21*$F21</f>
        <v>0</v>
      </c>
      <c r="BT55" s="936">
        <f t="shared" si="38"/>
        <v>0</v>
      </c>
      <c r="BU55" s="936">
        <f t="shared" si="38"/>
        <v>0</v>
      </c>
      <c r="BV55" s="936">
        <f t="shared" si="38"/>
        <v>0</v>
      </c>
      <c r="BW55" s="936">
        <f t="shared" si="38"/>
        <v>0</v>
      </c>
      <c r="BX55" s="936">
        <f t="shared" si="38"/>
        <v>0</v>
      </c>
      <c r="BY55" s="936">
        <f t="shared" si="38"/>
        <v>0</v>
      </c>
      <c r="BZ55" s="936">
        <f t="shared" si="38"/>
        <v>0</v>
      </c>
      <c r="CA55" s="14"/>
    </row>
    <row r="56" spans="5:79" s="747" customFormat="1" ht="15">
      <c r="E56" s="912" t="s">
        <v>945</v>
      </c>
      <c r="F56" s="10"/>
      <c r="G56" s="936">
        <f t="shared" ref="G56:BR56" si="39">G22*$F22</f>
        <v>0</v>
      </c>
      <c r="H56" s="936">
        <f t="shared" si="39"/>
        <v>0</v>
      </c>
      <c r="I56" s="936">
        <f t="shared" si="39"/>
        <v>0</v>
      </c>
      <c r="J56" s="936">
        <f t="shared" si="39"/>
        <v>0</v>
      </c>
      <c r="K56" s="936">
        <f t="shared" si="39"/>
        <v>0</v>
      </c>
      <c r="L56" s="936">
        <f t="shared" si="39"/>
        <v>0</v>
      </c>
      <c r="M56" s="936">
        <f t="shared" si="39"/>
        <v>0</v>
      </c>
      <c r="N56" s="936">
        <f t="shared" si="39"/>
        <v>0</v>
      </c>
      <c r="O56" s="936">
        <f t="shared" si="39"/>
        <v>0</v>
      </c>
      <c r="P56" s="936">
        <f t="shared" si="39"/>
        <v>0</v>
      </c>
      <c r="Q56" s="936">
        <f t="shared" si="39"/>
        <v>0</v>
      </c>
      <c r="R56" s="936">
        <f t="shared" si="39"/>
        <v>0</v>
      </c>
      <c r="S56" s="936">
        <f t="shared" si="39"/>
        <v>0</v>
      </c>
      <c r="T56" s="936">
        <f t="shared" si="39"/>
        <v>0</v>
      </c>
      <c r="U56" s="936">
        <f t="shared" si="39"/>
        <v>0</v>
      </c>
      <c r="V56" s="936">
        <f t="shared" si="39"/>
        <v>0</v>
      </c>
      <c r="W56" s="936">
        <f t="shared" si="39"/>
        <v>0</v>
      </c>
      <c r="X56" s="936">
        <f t="shared" si="39"/>
        <v>0</v>
      </c>
      <c r="Y56" s="936">
        <f t="shared" si="39"/>
        <v>0</v>
      </c>
      <c r="Z56" s="936">
        <f t="shared" si="39"/>
        <v>0</v>
      </c>
      <c r="AA56" s="936">
        <f t="shared" si="39"/>
        <v>0</v>
      </c>
      <c r="AB56" s="936">
        <f t="shared" si="39"/>
        <v>0</v>
      </c>
      <c r="AC56" s="936">
        <f t="shared" si="39"/>
        <v>0</v>
      </c>
      <c r="AD56" s="936">
        <f t="shared" si="39"/>
        <v>0</v>
      </c>
      <c r="AE56" s="936">
        <f t="shared" si="39"/>
        <v>0</v>
      </c>
      <c r="AF56" s="936">
        <f t="shared" si="39"/>
        <v>0</v>
      </c>
      <c r="AG56" s="936">
        <f t="shared" si="39"/>
        <v>0</v>
      </c>
      <c r="AH56" s="936">
        <f t="shared" si="39"/>
        <v>0</v>
      </c>
      <c r="AI56" s="936">
        <f t="shared" si="39"/>
        <v>0</v>
      </c>
      <c r="AJ56" s="936">
        <f t="shared" si="39"/>
        <v>0</v>
      </c>
      <c r="AK56" s="936">
        <f t="shared" si="39"/>
        <v>0</v>
      </c>
      <c r="AL56" s="936">
        <f t="shared" si="39"/>
        <v>0</v>
      </c>
      <c r="AM56" s="936">
        <f t="shared" si="39"/>
        <v>0</v>
      </c>
      <c r="AN56" s="936">
        <f t="shared" si="39"/>
        <v>0</v>
      </c>
      <c r="AO56" s="936">
        <f t="shared" si="39"/>
        <v>0</v>
      </c>
      <c r="AP56" s="936">
        <f t="shared" si="39"/>
        <v>0</v>
      </c>
      <c r="AQ56" s="936">
        <f t="shared" si="39"/>
        <v>0</v>
      </c>
      <c r="AR56" s="936">
        <f t="shared" si="39"/>
        <v>0</v>
      </c>
      <c r="AS56" s="936">
        <f t="shared" si="39"/>
        <v>0</v>
      </c>
      <c r="AT56" s="936">
        <f t="shared" si="39"/>
        <v>0</v>
      </c>
      <c r="AU56" s="936">
        <f t="shared" si="39"/>
        <v>0</v>
      </c>
      <c r="AV56" s="936">
        <f t="shared" si="39"/>
        <v>0</v>
      </c>
      <c r="AW56" s="936">
        <f t="shared" si="39"/>
        <v>0</v>
      </c>
      <c r="AX56" s="936">
        <f t="shared" si="39"/>
        <v>0</v>
      </c>
      <c r="AY56" s="936">
        <f t="shared" si="39"/>
        <v>0</v>
      </c>
      <c r="AZ56" s="936">
        <f t="shared" si="39"/>
        <v>0</v>
      </c>
      <c r="BA56" s="936">
        <f t="shared" si="39"/>
        <v>0</v>
      </c>
      <c r="BB56" s="936">
        <f t="shared" si="39"/>
        <v>0</v>
      </c>
      <c r="BC56" s="936">
        <f t="shared" si="39"/>
        <v>0</v>
      </c>
      <c r="BD56" s="936">
        <f t="shared" si="39"/>
        <v>0</v>
      </c>
      <c r="BE56" s="936">
        <f t="shared" si="39"/>
        <v>0</v>
      </c>
      <c r="BF56" s="936">
        <f t="shared" si="39"/>
        <v>0</v>
      </c>
      <c r="BG56" s="936">
        <f t="shared" si="39"/>
        <v>0</v>
      </c>
      <c r="BH56" s="936">
        <f t="shared" si="39"/>
        <v>0</v>
      </c>
      <c r="BI56" s="936">
        <f t="shared" si="39"/>
        <v>0</v>
      </c>
      <c r="BJ56" s="936">
        <f t="shared" si="39"/>
        <v>0</v>
      </c>
      <c r="BK56" s="936">
        <f t="shared" si="39"/>
        <v>0</v>
      </c>
      <c r="BL56" s="936">
        <f t="shared" si="39"/>
        <v>0</v>
      </c>
      <c r="BM56" s="936">
        <f t="shared" si="39"/>
        <v>0</v>
      </c>
      <c r="BN56" s="936">
        <f t="shared" si="39"/>
        <v>0</v>
      </c>
      <c r="BO56" s="936">
        <f t="shared" si="39"/>
        <v>0</v>
      </c>
      <c r="BP56" s="936">
        <f t="shared" si="39"/>
        <v>0</v>
      </c>
      <c r="BQ56" s="936">
        <f t="shared" si="39"/>
        <v>0</v>
      </c>
      <c r="BR56" s="936">
        <f t="shared" si="39"/>
        <v>0</v>
      </c>
      <c r="BS56" s="936">
        <f t="shared" ref="BS56:BZ56" si="40">BS22*$F22</f>
        <v>0</v>
      </c>
      <c r="BT56" s="936">
        <f t="shared" si="40"/>
        <v>0</v>
      </c>
      <c r="BU56" s="936">
        <f t="shared" si="40"/>
        <v>0</v>
      </c>
      <c r="BV56" s="936">
        <f t="shared" si="40"/>
        <v>0</v>
      </c>
      <c r="BW56" s="936">
        <f t="shared" si="40"/>
        <v>0</v>
      </c>
      <c r="BX56" s="936">
        <f t="shared" si="40"/>
        <v>0</v>
      </c>
      <c r="BY56" s="936">
        <f t="shared" si="40"/>
        <v>0</v>
      </c>
      <c r="BZ56" s="936">
        <f t="shared" si="40"/>
        <v>0</v>
      </c>
      <c r="CA56" s="14"/>
    </row>
    <row r="57" spans="5:79" s="747" customFormat="1" ht="15">
      <c r="E57" s="912" t="s">
        <v>946</v>
      </c>
      <c r="F57" s="10"/>
      <c r="G57" s="936">
        <f t="shared" ref="G57:BR57" si="41">G23*$F23</f>
        <v>0</v>
      </c>
      <c r="H57" s="936">
        <f t="shared" si="41"/>
        <v>0</v>
      </c>
      <c r="I57" s="936">
        <f t="shared" si="41"/>
        <v>0</v>
      </c>
      <c r="J57" s="936">
        <f t="shared" si="41"/>
        <v>0</v>
      </c>
      <c r="K57" s="936">
        <f t="shared" si="41"/>
        <v>0</v>
      </c>
      <c r="L57" s="936">
        <f t="shared" si="41"/>
        <v>0</v>
      </c>
      <c r="M57" s="936">
        <f t="shared" si="41"/>
        <v>0</v>
      </c>
      <c r="N57" s="936">
        <f t="shared" si="41"/>
        <v>0</v>
      </c>
      <c r="O57" s="936">
        <f t="shared" si="41"/>
        <v>0</v>
      </c>
      <c r="P57" s="936">
        <f t="shared" si="41"/>
        <v>0</v>
      </c>
      <c r="Q57" s="936">
        <f t="shared" si="41"/>
        <v>0</v>
      </c>
      <c r="R57" s="936">
        <f t="shared" si="41"/>
        <v>0</v>
      </c>
      <c r="S57" s="936">
        <f t="shared" si="41"/>
        <v>0</v>
      </c>
      <c r="T57" s="936">
        <f t="shared" si="41"/>
        <v>0</v>
      </c>
      <c r="U57" s="936">
        <f t="shared" si="41"/>
        <v>0</v>
      </c>
      <c r="V57" s="936">
        <f t="shared" si="41"/>
        <v>0</v>
      </c>
      <c r="W57" s="936">
        <f t="shared" si="41"/>
        <v>0</v>
      </c>
      <c r="X57" s="936">
        <f t="shared" si="41"/>
        <v>0</v>
      </c>
      <c r="Y57" s="936">
        <f t="shared" si="41"/>
        <v>0</v>
      </c>
      <c r="Z57" s="936">
        <f t="shared" si="41"/>
        <v>0</v>
      </c>
      <c r="AA57" s="936">
        <f t="shared" si="41"/>
        <v>0</v>
      </c>
      <c r="AB57" s="936">
        <f t="shared" si="41"/>
        <v>0</v>
      </c>
      <c r="AC57" s="936">
        <f t="shared" si="41"/>
        <v>0</v>
      </c>
      <c r="AD57" s="936">
        <f t="shared" si="41"/>
        <v>0</v>
      </c>
      <c r="AE57" s="936">
        <f t="shared" si="41"/>
        <v>0</v>
      </c>
      <c r="AF57" s="936">
        <f t="shared" si="41"/>
        <v>0</v>
      </c>
      <c r="AG57" s="936">
        <f t="shared" si="41"/>
        <v>0</v>
      </c>
      <c r="AH57" s="936">
        <f t="shared" si="41"/>
        <v>0</v>
      </c>
      <c r="AI57" s="936">
        <f t="shared" si="41"/>
        <v>0</v>
      </c>
      <c r="AJ57" s="936">
        <f t="shared" si="41"/>
        <v>0</v>
      </c>
      <c r="AK57" s="936">
        <f t="shared" si="41"/>
        <v>0</v>
      </c>
      <c r="AL57" s="936">
        <f t="shared" si="41"/>
        <v>0</v>
      </c>
      <c r="AM57" s="936">
        <f t="shared" si="41"/>
        <v>0</v>
      </c>
      <c r="AN57" s="936">
        <f t="shared" si="41"/>
        <v>0</v>
      </c>
      <c r="AO57" s="936">
        <f t="shared" si="41"/>
        <v>0</v>
      </c>
      <c r="AP57" s="936">
        <f t="shared" si="41"/>
        <v>0</v>
      </c>
      <c r="AQ57" s="936">
        <f t="shared" si="41"/>
        <v>0</v>
      </c>
      <c r="AR57" s="936">
        <f t="shared" si="41"/>
        <v>0</v>
      </c>
      <c r="AS57" s="936">
        <f t="shared" si="41"/>
        <v>0</v>
      </c>
      <c r="AT57" s="936">
        <f t="shared" si="41"/>
        <v>0</v>
      </c>
      <c r="AU57" s="936">
        <f t="shared" si="41"/>
        <v>0</v>
      </c>
      <c r="AV57" s="936">
        <f t="shared" si="41"/>
        <v>0</v>
      </c>
      <c r="AW57" s="936">
        <f t="shared" si="41"/>
        <v>0</v>
      </c>
      <c r="AX57" s="936">
        <f t="shared" si="41"/>
        <v>0</v>
      </c>
      <c r="AY57" s="936">
        <f t="shared" si="41"/>
        <v>0</v>
      </c>
      <c r="AZ57" s="936">
        <f t="shared" si="41"/>
        <v>0</v>
      </c>
      <c r="BA57" s="936">
        <f t="shared" si="41"/>
        <v>0</v>
      </c>
      <c r="BB57" s="936">
        <f t="shared" si="41"/>
        <v>0</v>
      </c>
      <c r="BC57" s="936">
        <f t="shared" si="41"/>
        <v>0</v>
      </c>
      <c r="BD57" s="936">
        <f t="shared" si="41"/>
        <v>0</v>
      </c>
      <c r="BE57" s="936">
        <f t="shared" si="41"/>
        <v>0</v>
      </c>
      <c r="BF57" s="936">
        <f t="shared" si="41"/>
        <v>0</v>
      </c>
      <c r="BG57" s="936">
        <f t="shared" si="41"/>
        <v>0</v>
      </c>
      <c r="BH57" s="936">
        <f t="shared" si="41"/>
        <v>0</v>
      </c>
      <c r="BI57" s="936">
        <f t="shared" si="41"/>
        <v>0</v>
      </c>
      <c r="BJ57" s="936">
        <f t="shared" si="41"/>
        <v>0</v>
      </c>
      <c r="BK57" s="936">
        <f t="shared" si="41"/>
        <v>0</v>
      </c>
      <c r="BL57" s="936">
        <f t="shared" si="41"/>
        <v>0</v>
      </c>
      <c r="BM57" s="936">
        <f t="shared" si="41"/>
        <v>0</v>
      </c>
      <c r="BN57" s="936">
        <f t="shared" si="41"/>
        <v>0</v>
      </c>
      <c r="BO57" s="936">
        <f t="shared" si="41"/>
        <v>0</v>
      </c>
      <c r="BP57" s="936">
        <f t="shared" si="41"/>
        <v>0</v>
      </c>
      <c r="BQ57" s="936">
        <f t="shared" si="41"/>
        <v>0</v>
      </c>
      <c r="BR57" s="936">
        <f t="shared" si="41"/>
        <v>0</v>
      </c>
      <c r="BS57" s="936">
        <f t="shared" ref="BS57:BZ57" si="42">BS23*$F23</f>
        <v>0</v>
      </c>
      <c r="BT57" s="936">
        <f t="shared" si="42"/>
        <v>0</v>
      </c>
      <c r="BU57" s="936">
        <f t="shared" si="42"/>
        <v>0</v>
      </c>
      <c r="BV57" s="936">
        <f t="shared" si="42"/>
        <v>0</v>
      </c>
      <c r="BW57" s="936">
        <f t="shared" si="42"/>
        <v>0</v>
      </c>
      <c r="BX57" s="936">
        <f t="shared" si="42"/>
        <v>0</v>
      </c>
      <c r="BY57" s="936">
        <f t="shared" si="42"/>
        <v>0</v>
      </c>
      <c r="BZ57" s="936">
        <f t="shared" si="42"/>
        <v>0</v>
      </c>
      <c r="CA57" s="14"/>
    </row>
    <row r="58" spans="5:79" s="747" customFormat="1" ht="15">
      <c r="E58" s="912" t="s">
        <v>947</v>
      </c>
      <c r="F58" s="10"/>
      <c r="G58" s="936">
        <f t="shared" ref="G58:BR58" si="43">G24*$F24</f>
        <v>0</v>
      </c>
      <c r="H58" s="936">
        <f t="shared" si="43"/>
        <v>0</v>
      </c>
      <c r="I58" s="936">
        <f t="shared" si="43"/>
        <v>0</v>
      </c>
      <c r="J58" s="936">
        <f t="shared" si="43"/>
        <v>0</v>
      </c>
      <c r="K58" s="936">
        <f t="shared" si="43"/>
        <v>0</v>
      </c>
      <c r="L58" s="936">
        <f t="shared" si="43"/>
        <v>0</v>
      </c>
      <c r="M58" s="936">
        <f t="shared" si="43"/>
        <v>0</v>
      </c>
      <c r="N58" s="936">
        <f t="shared" si="43"/>
        <v>0</v>
      </c>
      <c r="O58" s="936">
        <f t="shared" si="43"/>
        <v>0</v>
      </c>
      <c r="P58" s="936">
        <f t="shared" si="43"/>
        <v>0</v>
      </c>
      <c r="Q58" s="936">
        <f t="shared" si="43"/>
        <v>0</v>
      </c>
      <c r="R58" s="936">
        <f t="shared" si="43"/>
        <v>0</v>
      </c>
      <c r="S58" s="936">
        <f t="shared" si="43"/>
        <v>0</v>
      </c>
      <c r="T58" s="936">
        <f t="shared" si="43"/>
        <v>0</v>
      </c>
      <c r="U58" s="936">
        <f t="shared" si="43"/>
        <v>0</v>
      </c>
      <c r="V58" s="936">
        <f t="shared" si="43"/>
        <v>0</v>
      </c>
      <c r="W58" s="936">
        <f t="shared" si="43"/>
        <v>0</v>
      </c>
      <c r="X58" s="936">
        <f t="shared" si="43"/>
        <v>0</v>
      </c>
      <c r="Y58" s="936">
        <f t="shared" si="43"/>
        <v>0</v>
      </c>
      <c r="Z58" s="936">
        <f t="shared" si="43"/>
        <v>0</v>
      </c>
      <c r="AA58" s="936">
        <f t="shared" si="43"/>
        <v>0</v>
      </c>
      <c r="AB58" s="936">
        <f t="shared" si="43"/>
        <v>0</v>
      </c>
      <c r="AC58" s="936">
        <f t="shared" si="43"/>
        <v>0</v>
      </c>
      <c r="AD58" s="936">
        <f t="shared" si="43"/>
        <v>0</v>
      </c>
      <c r="AE58" s="936">
        <f t="shared" si="43"/>
        <v>0</v>
      </c>
      <c r="AF58" s="936">
        <f t="shared" si="43"/>
        <v>0</v>
      </c>
      <c r="AG58" s="936">
        <f t="shared" si="43"/>
        <v>0</v>
      </c>
      <c r="AH58" s="936">
        <f t="shared" si="43"/>
        <v>0</v>
      </c>
      <c r="AI58" s="936">
        <f t="shared" si="43"/>
        <v>0</v>
      </c>
      <c r="AJ58" s="936">
        <f t="shared" si="43"/>
        <v>0</v>
      </c>
      <c r="AK58" s="936">
        <f t="shared" si="43"/>
        <v>0</v>
      </c>
      <c r="AL58" s="936">
        <f t="shared" si="43"/>
        <v>0</v>
      </c>
      <c r="AM58" s="936">
        <f t="shared" si="43"/>
        <v>0</v>
      </c>
      <c r="AN58" s="936">
        <f t="shared" si="43"/>
        <v>0</v>
      </c>
      <c r="AO58" s="936">
        <f t="shared" si="43"/>
        <v>0</v>
      </c>
      <c r="AP58" s="936">
        <f t="shared" si="43"/>
        <v>0</v>
      </c>
      <c r="AQ58" s="936">
        <f t="shared" si="43"/>
        <v>0</v>
      </c>
      <c r="AR58" s="936">
        <f t="shared" si="43"/>
        <v>0</v>
      </c>
      <c r="AS58" s="936">
        <f t="shared" si="43"/>
        <v>0</v>
      </c>
      <c r="AT58" s="936">
        <f t="shared" si="43"/>
        <v>0</v>
      </c>
      <c r="AU58" s="936">
        <f t="shared" si="43"/>
        <v>0</v>
      </c>
      <c r="AV58" s="936">
        <f t="shared" si="43"/>
        <v>0</v>
      </c>
      <c r="AW58" s="936">
        <f t="shared" si="43"/>
        <v>0</v>
      </c>
      <c r="AX58" s="936">
        <f t="shared" si="43"/>
        <v>0</v>
      </c>
      <c r="AY58" s="936">
        <f t="shared" si="43"/>
        <v>0</v>
      </c>
      <c r="AZ58" s="936">
        <f t="shared" si="43"/>
        <v>0</v>
      </c>
      <c r="BA58" s="936">
        <f t="shared" si="43"/>
        <v>0</v>
      </c>
      <c r="BB58" s="936">
        <f t="shared" si="43"/>
        <v>0</v>
      </c>
      <c r="BC58" s="936">
        <f t="shared" si="43"/>
        <v>0</v>
      </c>
      <c r="BD58" s="936">
        <f t="shared" si="43"/>
        <v>0</v>
      </c>
      <c r="BE58" s="936">
        <f t="shared" si="43"/>
        <v>0</v>
      </c>
      <c r="BF58" s="936">
        <f t="shared" si="43"/>
        <v>0</v>
      </c>
      <c r="BG58" s="936">
        <f t="shared" si="43"/>
        <v>0</v>
      </c>
      <c r="BH58" s="936">
        <f t="shared" si="43"/>
        <v>0</v>
      </c>
      <c r="BI58" s="936">
        <f t="shared" si="43"/>
        <v>0</v>
      </c>
      <c r="BJ58" s="936">
        <f t="shared" si="43"/>
        <v>0</v>
      </c>
      <c r="BK58" s="936">
        <f t="shared" si="43"/>
        <v>0</v>
      </c>
      <c r="BL58" s="936">
        <f t="shared" si="43"/>
        <v>0</v>
      </c>
      <c r="BM58" s="936">
        <f t="shared" si="43"/>
        <v>0</v>
      </c>
      <c r="BN58" s="936">
        <f t="shared" si="43"/>
        <v>0</v>
      </c>
      <c r="BO58" s="936">
        <f t="shared" si="43"/>
        <v>0</v>
      </c>
      <c r="BP58" s="936">
        <f t="shared" si="43"/>
        <v>0</v>
      </c>
      <c r="BQ58" s="936">
        <f t="shared" si="43"/>
        <v>0</v>
      </c>
      <c r="BR58" s="936">
        <f t="shared" si="43"/>
        <v>0</v>
      </c>
      <c r="BS58" s="936">
        <f t="shared" ref="BS58:BZ58" si="44">BS24*$F24</f>
        <v>0</v>
      </c>
      <c r="BT58" s="936">
        <f t="shared" si="44"/>
        <v>0</v>
      </c>
      <c r="BU58" s="936">
        <f t="shared" si="44"/>
        <v>0</v>
      </c>
      <c r="BV58" s="936">
        <f t="shared" si="44"/>
        <v>0</v>
      </c>
      <c r="BW58" s="936">
        <f t="shared" si="44"/>
        <v>0</v>
      </c>
      <c r="BX58" s="936">
        <f t="shared" si="44"/>
        <v>0</v>
      </c>
      <c r="BY58" s="936">
        <f t="shared" si="44"/>
        <v>0</v>
      </c>
      <c r="BZ58" s="936">
        <f t="shared" si="44"/>
        <v>0</v>
      </c>
      <c r="CA58" s="14"/>
    </row>
    <row r="59" spans="5:79" s="747" customFormat="1" ht="15">
      <c r="E59" s="912" t="s">
        <v>948</v>
      </c>
      <c r="F59" s="10"/>
      <c r="G59" s="936">
        <f t="shared" ref="G59:BR59" si="45">G25*$F25</f>
        <v>0</v>
      </c>
      <c r="H59" s="936">
        <f t="shared" si="45"/>
        <v>0</v>
      </c>
      <c r="I59" s="936">
        <f t="shared" si="45"/>
        <v>0</v>
      </c>
      <c r="J59" s="936">
        <f t="shared" si="45"/>
        <v>0</v>
      </c>
      <c r="K59" s="936">
        <f t="shared" si="45"/>
        <v>0</v>
      </c>
      <c r="L59" s="936">
        <f t="shared" si="45"/>
        <v>0</v>
      </c>
      <c r="M59" s="936">
        <f t="shared" si="45"/>
        <v>0</v>
      </c>
      <c r="N59" s="936">
        <f t="shared" si="45"/>
        <v>0</v>
      </c>
      <c r="O59" s="936">
        <f t="shared" si="45"/>
        <v>0</v>
      </c>
      <c r="P59" s="936">
        <f t="shared" si="45"/>
        <v>0</v>
      </c>
      <c r="Q59" s="936">
        <f t="shared" si="45"/>
        <v>0</v>
      </c>
      <c r="R59" s="936">
        <f t="shared" si="45"/>
        <v>0</v>
      </c>
      <c r="S59" s="936">
        <f t="shared" si="45"/>
        <v>0</v>
      </c>
      <c r="T59" s="936">
        <f t="shared" si="45"/>
        <v>0</v>
      </c>
      <c r="U59" s="936">
        <f t="shared" si="45"/>
        <v>0</v>
      </c>
      <c r="V59" s="936">
        <f t="shared" si="45"/>
        <v>0</v>
      </c>
      <c r="W59" s="936">
        <f t="shared" si="45"/>
        <v>0</v>
      </c>
      <c r="X59" s="936">
        <f t="shared" si="45"/>
        <v>0</v>
      </c>
      <c r="Y59" s="936">
        <f t="shared" si="45"/>
        <v>0</v>
      </c>
      <c r="Z59" s="936">
        <f t="shared" si="45"/>
        <v>0</v>
      </c>
      <c r="AA59" s="936">
        <f t="shared" si="45"/>
        <v>0</v>
      </c>
      <c r="AB59" s="936">
        <f t="shared" si="45"/>
        <v>0</v>
      </c>
      <c r="AC59" s="936">
        <f t="shared" si="45"/>
        <v>0</v>
      </c>
      <c r="AD59" s="936">
        <f t="shared" si="45"/>
        <v>0</v>
      </c>
      <c r="AE59" s="936">
        <f t="shared" si="45"/>
        <v>0</v>
      </c>
      <c r="AF59" s="936">
        <f t="shared" si="45"/>
        <v>0</v>
      </c>
      <c r="AG59" s="936">
        <f t="shared" si="45"/>
        <v>0</v>
      </c>
      <c r="AH59" s="936">
        <f t="shared" si="45"/>
        <v>0</v>
      </c>
      <c r="AI59" s="936">
        <f t="shared" si="45"/>
        <v>0</v>
      </c>
      <c r="AJ59" s="936">
        <f t="shared" si="45"/>
        <v>0</v>
      </c>
      <c r="AK59" s="936">
        <f t="shared" si="45"/>
        <v>0</v>
      </c>
      <c r="AL59" s="936">
        <f t="shared" si="45"/>
        <v>0</v>
      </c>
      <c r="AM59" s="936">
        <f t="shared" si="45"/>
        <v>0</v>
      </c>
      <c r="AN59" s="936">
        <f t="shared" si="45"/>
        <v>0</v>
      </c>
      <c r="AO59" s="936">
        <f t="shared" si="45"/>
        <v>0</v>
      </c>
      <c r="AP59" s="936">
        <f t="shared" si="45"/>
        <v>0</v>
      </c>
      <c r="AQ59" s="936">
        <f t="shared" si="45"/>
        <v>0</v>
      </c>
      <c r="AR59" s="936">
        <f t="shared" si="45"/>
        <v>0</v>
      </c>
      <c r="AS59" s="936">
        <f t="shared" si="45"/>
        <v>0</v>
      </c>
      <c r="AT59" s="936">
        <f t="shared" si="45"/>
        <v>0</v>
      </c>
      <c r="AU59" s="936">
        <f t="shared" si="45"/>
        <v>0</v>
      </c>
      <c r="AV59" s="936">
        <f t="shared" si="45"/>
        <v>0</v>
      </c>
      <c r="AW59" s="936">
        <f t="shared" si="45"/>
        <v>0</v>
      </c>
      <c r="AX59" s="936">
        <f t="shared" si="45"/>
        <v>0</v>
      </c>
      <c r="AY59" s="936">
        <f t="shared" si="45"/>
        <v>0</v>
      </c>
      <c r="AZ59" s="936">
        <f t="shared" si="45"/>
        <v>0</v>
      </c>
      <c r="BA59" s="936">
        <f t="shared" si="45"/>
        <v>0</v>
      </c>
      <c r="BB59" s="936">
        <f t="shared" si="45"/>
        <v>0</v>
      </c>
      <c r="BC59" s="936">
        <f t="shared" si="45"/>
        <v>0</v>
      </c>
      <c r="BD59" s="936">
        <f t="shared" si="45"/>
        <v>0</v>
      </c>
      <c r="BE59" s="936">
        <f t="shared" si="45"/>
        <v>0</v>
      </c>
      <c r="BF59" s="936">
        <f t="shared" si="45"/>
        <v>0</v>
      </c>
      <c r="BG59" s="936">
        <f t="shared" si="45"/>
        <v>0</v>
      </c>
      <c r="BH59" s="936">
        <f t="shared" si="45"/>
        <v>0</v>
      </c>
      <c r="BI59" s="936">
        <f t="shared" si="45"/>
        <v>0</v>
      </c>
      <c r="BJ59" s="936">
        <f t="shared" si="45"/>
        <v>0</v>
      </c>
      <c r="BK59" s="936">
        <f t="shared" si="45"/>
        <v>0</v>
      </c>
      <c r="BL59" s="936">
        <f t="shared" si="45"/>
        <v>0</v>
      </c>
      <c r="BM59" s="936">
        <f t="shared" si="45"/>
        <v>0</v>
      </c>
      <c r="BN59" s="936">
        <f t="shared" si="45"/>
        <v>0</v>
      </c>
      <c r="BO59" s="936">
        <f t="shared" si="45"/>
        <v>0</v>
      </c>
      <c r="BP59" s="936">
        <f t="shared" si="45"/>
        <v>0</v>
      </c>
      <c r="BQ59" s="936">
        <f t="shared" si="45"/>
        <v>0</v>
      </c>
      <c r="BR59" s="936">
        <f t="shared" si="45"/>
        <v>0</v>
      </c>
      <c r="BS59" s="936">
        <f t="shared" ref="BS59:BZ59" si="46">BS25*$F25</f>
        <v>0</v>
      </c>
      <c r="BT59" s="936">
        <f t="shared" si="46"/>
        <v>0</v>
      </c>
      <c r="BU59" s="936">
        <f t="shared" si="46"/>
        <v>0</v>
      </c>
      <c r="BV59" s="936">
        <f t="shared" si="46"/>
        <v>0</v>
      </c>
      <c r="BW59" s="936">
        <f t="shared" si="46"/>
        <v>0</v>
      </c>
      <c r="BX59" s="936">
        <f t="shared" si="46"/>
        <v>0</v>
      </c>
      <c r="BY59" s="936">
        <f t="shared" si="46"/>
        <v>0</v>
      </c>
      <c r="BZ59" s="936">
        <f t="shared" si="46"/>
        <v>0</v>
      </c>
      <c r="CA59" s="14"/>
    </row>
    <row r="60" spans="5:79" s="747" customFormat="1" ht="15">
      <c r="E60" s="912" t="s">
        <v>949</v>
      </c>
      <c r="F60" s="10"/>
      <c r="G60" s="936">
        <f t="shared" ref="G60:BR60" si="47">G26*$F26</f>
        <v>0</v>
      </c>
      <c r="H60" s="936">
        <f t="shared" si="47"/>
        <v>0</v>
      </c>
      <c r="I60" s="936">
        <f t="shared" si="47"/>
        <v>0</v>
      </c>
      <c r="J60" s="936">
        <f t="shared" si="47"/>
        <v>0</v>
      </c>
      <c r="K60" s="936">
        <f t="shared" si="47"/>
        <v>0</v>
      </c>
      <c r="L60" s="936">
        <f t="shared" si="47"/>
        <v>0</v>
      </c>
      <c r="M60" s="936">
        <f t="shared" si="47"/>
        <v>0</v>
      </c>
      <c r="N60" s="936">
        <f t="shared" si="47"/>
        <v>0</v>
      </c>
      <c r="O60" s="936">
        <f t="shared" si="47"/>
        <v>0</v>
      </c>
      <c r="P60" s="936">
        <f t="shared" si="47"/>
        <v>0</v>
      </c>
      <c r="Q60" s="936">
        <f t="shared" si="47"/>
        <v>0</v>
      </c>
      <c r="R60" s="936">
        <f t="shared" si="47"/>
        <v>0</v>
      </c>
      <c r="S60" s="936">
        <f t="shared" si="47"/>
        <v>0</v>
      </c>
      <c r="T60" s="936">
        <f t="shared" si="47"/>
        <v>0</v>
      </c>
      <c r="U60" s="936">
        <f t="shared" si="47"/>
        <v>0</v>
      </c>
      <c r="V60" s="936">
        <f t="shared" si="47"/>
        <v>0</v>
      </c>
      <c r="W60" s="936">
        <f t="shared" si="47"/>
        <v>0</v>
      </c>
      <c r="X60" s="936">
        <f t="shared" si="47"/>
        <v>0</v>
      </c>
      <c r="Y60" s="936">
        <f t="shared" si="47"/>
        <v>0</v>
      </c>
      <c r="Z60" s="936">
        <f t="shared" si="47"/>
        <v>0</v>
      </c>
      <c r="AA60" s="936">
        <f t="shared" si="47"/>
        <v>0</v>
      </c>
      <c r="AB60" s="936">
        <f t="shared" si="47"/>
        <v>0</v>
      </c>
      <c r="AC60" s="936">
        <f t="shared" si="47"/>
        <v>0</v>
      </c>
      <c r="AD60" s="936">
        <f t="shared" si="47"/>
        <v>0</v>
      </c>
      <c r="AE60" s="936">
        <f t="shared" si="47"/>
        <v>0</v>
      </c>
      <c r="AF60" s="936">
        <f t="shared" si="47"/>
        <v>0</v>
      </c>
      <c r="AG60" s="936">
        <f t="shared" si="47"/>
        <v>0</v>
      </c>
      <c r="AH60" s="936">
        <f t="shared" si="47"/>
        <v>0</v>
      </c>
      <c r="AI60" s="936">
        <f t="shared" si="47"/>
        <v>0</v>
      </c>
      <c r="AJ60" s="936">
        <f t="shared" si="47"/>
        <v>0</v>
      </c>
      <c r="AK60" s="936">
        <f t="shared" si="47"/>
        <v>0</v>
      </c>
      <c r="AL60" s="936">
        <f t="shared" si="47"/>
        <v>0</v>
      </c>
      <c r="AM60" s="936">
        <f t="shared" si="47"/>
        <v>0</v>
      </c>
      <c r="AN60" s="936">
        <f t="shared" si="47"/>
        <v>0</v>
      </c>
      <c r="AO60" s="936">
        <f t="shared" si="47"/>
        <v>0</v>
      </c>
      <c r="AP60" s="936">
        <f t="shared" si="47"/>
        <v>0</v>
      </c>
      <c r="AQ60" s="936">
        <f t="shared" si="47"/>
        <v>0</v>
      </c>
      <c r="AR60" s="936">
        <f t="shared" si="47"/>
        <v>0</v>
      </c>
      <c r="AS60" s="936">
        <f t="shared" si="47"/>
        <v>0</v>
      </c>
      <c r="AT60" s="936">
        <f t="shared" si="47"/>
        <v>0</v>
      </c>
      <c r="AU60" s="936">
        <f t="shared" si="47"/>
        <v>0</v>
      </c>
      <c r="AV60" s="936">
        <f t="shared" si="47"/>
        <v>0</v>
      </c>
      <c r="AW60" s="936">
        <f t="shared" si="47"/>
        <v>0</v>
      </c>
      <c r="AX60" s="936">
        <f t="shared" si="47"/>
        <v>0</v>
      </c>
      <c r="AY60" s="936">
        <f t="shared" si="47"/>
        <v>0</v>
      </c>
      <c r="AZ60" s="936">
        <f t="shared" si="47"/>
        <v>0</v>
      </c>
      <c r="BA60" s="936">
        <f t="shared" si="47"/>
        <v>0</v>
      </c>
      <c r="BB60" s="936">
        <f t="shared" si="47"/>
        <v>0</v>
      </c>
      <c r="BC60" s="936">
        <f t="shared" si="47"/>
        <v>0</v>
      </c>
      <c r="BD60" s="936">
        <f t="shared" si="47"/>
        <v>0</v>
      </c>
      <c r="BE60" s="936">
        <f t="shared" si="47"/>
        <v>0</v>
      </c>
      <c r="BF60" s="936">
        <f t="shared" si="47"/>
        <v>0</v>
      </c>
      <c r="BG60" s="936">
        <f t="shared" si="47"/>
        <v>0</v>
      </c>
      <c r="BH60" s="936">
        <f t="shared" si="47"/>
        <v>0</v>
      </c>
      <c r="BI60" s="936">
        <f t="shared" si="47"/>
        <v>0</v>
      </c>
      <c r="BJ60" s="936">
        <f t="shared" si="47"/>
        <v>0</v>
      </c>
      <c r="BK60" s="936">
        <f t="shared" si="47"/>
        <v>0</v>
      </c>
      <c r="BL60" s="936">
        <f t="shared" si="47"/>
        <v>0</v>
      </c>
      <c r="BM60" s="936">
        <f t="shared" si="47"/>
        <v>0</v>
      </c>
      <c r="BN60" s="936">
        <f t="shared" si="47"/>
        <v>0</v>
      </c>
      <c r="BO60" s="936">
        <f t="shared" si="47"/>
        <v>0</v>
      </c>
      <c r="BP60" s="936">
        <f t="shared" si="47"/>
        <v>0</v>
      </c>
      <c r="BQ60" s="936">
        <f t="shared" si="47"/>
        <v>0</v>
      </c>
      <c r="BR60" s="936">
        <f t="shared" si="47"/>
        <v>0</v>
      </c>
      <c r="BS60" s="936">
        <f t="shared" ref="BS60:BZ60" si="48">BS26*$F26</f>
        <v>0</v>
      </c>
      <c r="BT60" s="936">
        <f t="shared" si="48"/>
        <v>0</v>
      </c>
      <c r="BU60" s="936">
        <f t="shared" si="48"/>
        <v>0</v>
      </c>
      <c r="BV60" s="936">
        <f t="shared" si="48"/>
        <v>0</v>
      </c>
      <c r="BW60" s="936">
        <f t="shared" si="48"/>
        <v>0</v>
      </c>
      <c r="BX60" s="936">
        <f t="shared" si="48"/>
        <v>0</v>
      </c>
      <c r="BY60" s="936">
        <f t="shared" si="48"/>
        <v>0</v>
      </c>
      <c r="BZ60" s="936">
        <f t="shared" si="48"/>
        <v>0</v>
      </c>
      <c r="CA60" s="14"/>
    </row>
    <row r="61" spans="5:79" s="747" customFormat="1" ht="15">
      <c r="E61" s="912" t="s">
        <v>950</v>
      </c>
      <c r="F61" s="10"/>
      <c r="G61" s="936">
        <f t="shared" ref="G61:BR61" si="49">G27*$F27</f>
        <v>0</v>
      </c>
      <c r="H61" s="936">
        <f t="shared" si="49"/>
        <v>0</v>
      </c>
      <c r="I61" s="936">
        <f t="shared" si="49"/>
        <v>0</v>
      </c>
      <c r="J61" s="936">
        <f t="shared" si="49"/>
        <v>0</v>
      </c>
      <c r="K61" s="936">
        <f t="shared" si="49"/>
        <v>0</v>
      </c>
      <c r="L61" s="936">
        <f t="shared" si="49"/>
        <v>0</v>
      </c>
      <c r="M61" s="936">
        <f t="shared" si="49"/>
        <v>0</v>
      </c>
      <c r="N61" s="936">
        <f t="shared" si="49"/>
        <v>0</v>
      </c>
      <c r="O61" s="936">
        <f t="shared" si="49"/>
        <v>0</v>
      </c>
      <c r="P61" s="936">
        <f t="shared" si="49"/>
        <v>0</v>
      </c>
      <c r="Q61" s="936">
        <f t="shared" si="49"/>
        <v>0</v>
      </c>
      <c r="R61" s="936">
        <f t="shared" si="49"/>
        <v>0</v>
      </c>
      <c r="S61" s="936">
        <f t="shared" si="49"/>
        <v>0</v>
      </c>
      <c r="T61" s="936">
        <f t="shared" si="49"/>
        <v>0</v>
      </c>
      <c r="U61" s="936">
        <f t="shared" si="49"/>
        <v>0</v>
      </c>
      <c r="V61" s="936">
        <f t="shared" si="49"/>
        <v>0</v>
      </c>
      <c r="W61" s="936">
        <f t="shared" si="49"/>
        <v>0</v>
      </c>
      <c r="X61" s="936">
        <f t="shared" si="49"/>
        <v>0</v>
      </c>
      <c r="Y61" s="936">
        <f t="shared" si="49"/>
        <v>0</v>
      </c>
      <c r="Z61" s="936">
        <f t="shared" si="49"/>
        <v>0</v>
      </c>
      <c r="AA61" s="936">
        <f t="shared" si="49"/>
        <v>0</v>
      </c>
      <c r="AB61" s="936">
        <f t="shared" si="49"/>
        <v>0</v>
      </c>
      <c r="AC61" s="936">
        <f t="shared" si="49"/>
        <v>0</v>
      </c>
      <c r="AD61" s="936">
        <f t="shared" si="49"/>
        <v>0</v>
      </c>
      <c r="AE61" s="936">
        <f t="shared" si="49"/>
        <v>0</v>
      </c>
      <c r="AF61" s="936">
        <f t="shared" si="49"/>
        <v>0</v>
      </c>
      <c r="AG61" s="936">
        <f t="shared" si="49"/>
        <v>0</v>
      </c>
      <c r="AH61" s="936">
        <f t="shared" si="49"/>
        <v>0</v>
      </c>
      <c r="AI61" s="936">
        <f t="shared" si="49"/>
        <v>0</v>
      </c>
      <c r="AJ61" s="936">
        <f t="shared" si="49"/>
        <v>0</v>
      </c>
      <c r="AK61" s="936">
        <f t="shared" si="49"/>
        <v>0</v>
      </c>
      <c r="AL61" s="936">
        <f t="shared" si="49"/>
        <v>0</v>
      </c>
      <c r="AM61" s="936">
        <f t="shared" si="49"/>
        <v>0</v>
      </c>
      <c r="AN61" s="936">
        <f t="shared" si="49"/>
        <v>0</v>
      </c>
      <c r="AO61" s="936">
        <f t="shared" si="49"/>
        <v>0</v>
      </c>
      <c r="AP61" s="936">
        <f t="shared" si="49"/>
        <v>0</v>
      </c>
      <c r="AQ61" s="936">
        <f t="shared" si="49"/>
        <v>0</v>
      </c>
      <c r="AR61" s="936">
        <f t="shared" si="49"/>
        <v>0</v>
      </c>
      <c r="AS61" s="936">
        <f t="shared" si="49"/>
        <v>0</v>
      </c>
      <c r="AT61" s="936">
        <f t="shared" si="49"/>
        <v>0</v>
      </c>
      <c r="AU61" s="936">
        <f t="shared" si="49"/>
        <v>0</v>
      </c>
      <c r="AV61" s="936">
        <f t="shared" si="49"/>
        <v>0</v>
      </c>
      <c r="AW61" s="936">
        <f t="shared" si="49"/>
        <v>0</v>
      </c>
      <c r="AX61" s="936">
        <f t="shared" si="49"/>
        <v>0</v>
      </c>
      <c r="AY61" s="936">
        <f t="shared" si="49"/>
        <v>0</v>
      </c>
      <c r="AZ61" s="936">
        <f t="shared" si="49"/>
        <v>0</v>
      </c>
      <c r="BA61" s="936">
        <f t="shared" si="49"/>
        <v>0</v>
      </c>
      <c r="BB61" s="936">
        <f t="shared" si="49"/>
        <v>0</v>
      </c>
      <c r="BC61" s="936">
        <f t="shared" si="49"/>
        <v>0</v>
      </c>
      <c r="BD61" s="936">
        <f t="shared" si="49"/>
        <v>0</v>
      </c>
      <c r="BE61" s="936">
        <f t="shared" si="49"/>
        <v>0</v>
      </c>
      <c r="BF61" s="936">
        <f t="shared" si="49"/>
        <v>0</v>
      </c>
      <c r="BG61" s="936">
        <f t="shared" si="49"/>
        <v>0</v>
      </c>
      <c r="BH61" s="936">
        <f t="shared" si="49"/>
        <v>0</v>
      </c>
      <c r="BI61" s="936">
        <f t="shared" si="49"/>
        <v>0</v>
      </c>
      <c r="BJ61" s="936">
        <f t="shared" si="49"/>
        <v>0</v>
      </c>
      <c r="BK61" s="936">
        <f t="shared" si="49"/>
        <v>0</v>
      </c>
      <c r="BL61" s="936">
        <f t="shared" si="49"/>
        <v>0</v>
      </c>
      <c r="BM61" s="936">
        <f t="shared" si="49"/>
        <v>0</v>
      </c>
      <c r="BN61" s="936">
        <f t="shared" si="49"/>
        <v>0</v>
      </c>
      <c r="BO61" s="936">
        <f t="shared" si="49"/>
        <v>0</v>
      </c>
      <c r="BP61" s="936">
        <f t="shared" si="49"/>
        <v>0</v>
      </c>
      <c r="BQ61" s="936">
        <f t="shared" si="49"/>
        <v>0</v>
      </c>
      <c r="BR61" s="936">
        <f t="shared" si="49"/>
        <v>0</v>
      </c>
      <c r="BS61" s="936">
        <f t="shared" ref="BS61:BZ61" si="50">BS27*$F27</f>
        <v>0</v>
      </c>
      <c r="BT61" s="936">
        <f t="shared" si="50"/>
        <v>0</v>
      </c>
      <c r="BU61" s="936">
        <f t="shared" si="50"/>
        <v>0</v>
      </c>
      <c r="BV61" s="936">
        <f t="shared" si="50"/>
        <v>0</v>
      </c>
      <c r="BW61" s="936">
        <f t="shared" si="50"/>
        <v>0</v>
      </c>
      <c r="BX61" s="936">
        <f t="shared" si="50"/>
        <v>0</v>
      </c>
      <c r="BY61" s="936">
        <f t="shared" si="50"/>
        <v>0</v>
      </c>
      <c r="BZ61" s="936">
        <f t="shared" si="50"/>
        <v>0</v>
      </c>
      <c r="CA61" s="14"/>
    </row>
    <row r="62" spans="5:79" s="747" customFormat="1" ht="15">
      <c r="E62" s="912" t="s">
        <v>951</v>
      </c>
      <c r="F62" s="10"/>
      <c r="G62" s="936">
        <f t="shared" ref="G62:BR62" si="51">G28*$F28</f>
        <v>0</v>
      </c>
      <c r="H62" s="936">
        <f t="shared" si="51"/>
        <v>0</v>
      </c>
      <c r="I62" s="936">
        <f t="shared" si="51"/>
        <v>0</v>
      </c>
      <c r="J62" s="936">
        <f t="shared" si="51"/>
        <v>0</v>
      </c>
      <c r="K62" s="936">
        <f t="shared" si="51"/>
        <v>0</v>
      </c>
      <c r="L62" s="936">
        <f t="shared" si="51"/>
        <v>0</v>
      </c>
      <c r="M62" s="936">
        <f t="shared" si="51"/>
        <v>0</v>
      </c>
      <c r="N62" s="936">
        <f t="shared" si="51"/>
        <v>0</v>
      </c>
      <c r="O62" s="936">
        <f t="shared" si="51"/>
        <v>0</v>
      </c>
      <c r="P62" s="936">
        <f t="shared" si="51"/>
        <v>0</v>
      </c>
      <c r="Q62" s="936">
        <f t="shared" si="51"/>
        <v>0</v>
      </c>
      <c r="R62" s="936">
        <f t="shared" si="51"/>
        <v>0</v>
      </c>
      <c r="S62" s="936">
        <f t="shared" si="51"/>
        <v>0</v>
      </c>
      <c r="T62" s="936">
        <f t="shared" si="51"/>
        <v>0</v>
      </c>
      <c r="U62" s="936">
        <f t="shared" si="51"/>
        <v>0</v>
      </c>
      <c r="V62" s="936">
        <f t="shared" si="51"/>
        <v>0</v>
      </c>
      <c r="W62" s="936">
        <f t="shared" si="51"/>
        <v>0</v>
      </c>
      <c r="X62" s="936">
        <f t="shared" si="51"/>
        <v>0</v>
      </c>
      <c r="Y62" s="936">
        <f t="shared" si="51"/>
        <v>0</v>
      </c>
      <c r="Z62" s="936">
        <f t="shared" si="51"/>
        <v>0</v>
      </c>
      <c r="AA62" s="936">
        <f t="shared" si="51"/>
        <v>0</v>
      </c>
      <c r="AB62" s="936">
        <f t="shared" si="51"/>
        <v>0</v>
      </c>
      <c r="AC62" s="936">
        <f t="shared" si="51"/>
        <v>0</v>
      </c>
      <c r="AD62" s="936">
        <f t="shared" si="51"/>
        <v>0</v>
      </c>
      <c r="AE62" s="936">
        <f t="shared" si="51"/>
        <v>0</v>
      </c>
      <c r="AF62" s="936">
        <f t="shared" si="51"/>
        <v>0</v>
      </c>
      <c r="AG62" s="936">
        <f t="shared" si="51"/>
        <v>0</v>
      </c>
      <c r="AH62" s="936">
        <f t="shared" si="51"/>
        <v>0</v>
      </c>
      <c r="AI62" s="936">
        <f t="shared" si="51"/>
        <v>0</v>
      </c>
      <c r="AJ62" s="936">
        <f t="shared" si="51"/>
        <v>0</v>
      </c>
      <c r="AK62" s="936">
        <f t="shared" si="51"/>
        <v>0</v>
      </c>
      <c r="AL62" s="936">
        <f t="shared" si="51"/>
        <v>0</v>
      </c>
      <c r="AM62" s="936">
        <f t="shared" si="51"/>
        <v>0</v>
      </c>
      <c r="AN62" s="936">
        <f t="shared" si="51"/>
        <v>0</v>
      </c>
      <c r="AO62" s="936">
        <f t="shared" si="51"/>
        <v>0</v>
      </c>
      <c r="AP62" s="936">
        <f t="shared" si="51"/>
        <v>0</v>
      </c>
      <c r="AQ62" s="936">
        <f t="shared" si="51"/>
        <v>0</v>
      </c>
      <c r="AR62" s="936">
        <f t="shared" si="51"/>
        <v>0</v>
      </c>
      <c r="AS62" s="936">
        <f t="shared" si="51"/>
        <v>0</v>
      </c>
      <c r="AT62" s="936">
        <f t="shared" si="51"/>
        <v>0</v>
      </c>
      <c r="AU62" s="936">
        <f t="shared" si="51"/>
        <v>0</v>
      </c>
      <c r="AV62" s="936">
        <f t="shared" si="51"/>
        <v>0</v>
      </c>
      <c r="AW62" s="936">
        <f t="shared" si="51"/>
        <v>0</v>
      </c>
      <c r="AX62" s="936">
        <f t="shared" si="51"/>
        <v>0</v>
      </c>
      <c r="AY62" s="936">
        <f t="shared" si="51"/>
        <v>0</v>
      </c>
      <c r="AZ62" s="936">
        <f t="shared" si="51"/>
        <v>0</v>
      </c>
      <c r="BA62" s="936">
        <f t="shared" si="51"/>
        <v>0</v>
      </c>
      <c r="BB62" s="936">
        <f t="shared" si="51"/>
        <v>0</v>
      </c>
      <c r="BC62" s="936">
        <f t="shared" si="51"/>
        <v>0</v>
      </c>
      <c r="BD62" s="936">
        <f t="shared" si="51"/>
        <v>0</v>
      </c>
      <c r="BE62" s="936">
        <f t="shared" si="51"/>
        <v>0</v>
      </c>
      <c r="BF62" s="936">
        <f t="shared" si="51"/>
        <v>0</v>
      </c>
      <c r="BG62" s="936">
        <f t="shared" si="51"/>
        <v>0</v>
      </c>
      <c r="BH62" s="936">
        <f t="shared" si="51"/>
        <v>0</v>
      </c>
      <c r="BI62" s="936">
        <f t="shared" si="51"/>
        <v>0</v>
      </c>
      <c r="BJ62" s="936">
        <f t="shared" si="51"/>
        <v>0</v>
      </c>
      <c r="BK62" s="936">
        <f t="shared" si="51"/>
        <v>0</v>
      </c>
      <c r="BL62" s="936">
        <f t="shared" si="51"/>
        <v>0</v>
      </c>
      <c r="BM62" s="936">
        <f t="shared" si="51"/>
        <v>0</v>
      </c>
      <c r="BN62" s="936">
        <f t="shared" si="51"/>
        <v>0</v>
      </c>
      <c r="BO62" s="936">
        <f t="shared" si="51"/>
        <v>0</v>
      </c>
      <c r="BP62" s="936">
        <f t="shared" si="51"/>
        <v>0</v>
      </c>
      <c r="BQ62" s="936">
        <f t="shared" si="51"/>
        <v>0</v>
      </c>
      <c r="BR62" s="936">
        <f t="shared" si="51"/>
        <v>0</v>
      </c>
      <c r="BS62" s="936">
        <f t="shared" ref="BS62:BZ62" si="52">BS28*$F28</f>
        <v>0</v>
      </c>
      <c r="BT62" s="936">
        <f t="shared" si="52"/>
        <v>0</v>
      </c>
      <c r="BU62" s="936">
        <f t="shared" si="52"/>
        <v>0</v>
      </c>
      <c r="BV62" s="936">
        <f t="shared" si="52"/>
        <v>0</v>
      </c>
      <c r="BW62" s="936">
        <f t="shared" si="52"/>
        <v>0</v>
      </c>
      <c r="BX62" s="936">
        <f t="shared" si="52"/>
        <v>0</v>
      </c>
      <c r="BY62" s="936">
        <f t="shared" si="52"/>
        <v>0</v>
      </c>
      <c r="BZ62" s="936">
        <f t="shared" si="52"/>
        <v>0</v>
      </c>
      <c r="CA62" s="14"/>
    </row>
    <row r="63" spans="5:79" s="747" customFormat="1" ht="15">
      <c r="E63" s="912" t="s">
        <v>952</v>
      </c>
      <c r="F63" s="10"/>
      <c r="G63" s="936">
        <f t="shared" ref="G63:BR63" si="53">G29*$F29</f>
        <v>0</v>
      </c>
      <c r="H63" s="936">
        <f t="shared" si="53"/>
        <v>0</v>
      </c>
      <c r="I63" s="936">
        <f t="shared" si="53"/>
        <v>0</v>
      </c>
      <c r="J63" s="936">
        <f t="shared" si="53"/>
        <v>0</v>
      </c>
      <c r="K63" s="936">
        <f t="shared" si="53"/>
        <v>0</v>
      </c>
      <c r="L63" s="936">
        <f t="shared" si="53"/>
        <v>0</v>
      </c>
      <c r="M63" s="936">
        <f t="shared" si="53"/>
        <v>0</v>
      </c>
      <c r="N63" s="936">
        <f t="shared" si="53"/>
        <v>0</v>
      </c>
      <c r="O63" s="936">
        <f t="shared" si="53"/>
        <v>0</v>
      </c>
      <c r="P63" s="936">
        <f t="shared" si="53"/>
        <v>0</v>
      </c>
      <c r="Q63" s="936">
        <f t="shared" si="53"/>
        <v>0</v>
      </c>
      <c r="R63" s="936">
        <f t="shared" si="53"/>
        <v>0</v>
      </c>
      <c r="S63" s="936">
        <f t="shared" si="53"/>
        <v>0</v>
      </c>
      <c r="T63" s="936">
        <f t="shared" si="53"/>
        <v>0</v>
      </c>
      <c r="U63" s="936">
        <f t="shared" si="53"/>
        <v>0</v>
      </c>
      <c r="V63" s="936">
        <f t="shared" si="53"/>
        <v>0</v>
      </c>
      <c r="W63" s="936">
        <f t="shared" si="53"/>
        <v>0</v>
      </c>
      <c r="X63" s="936">
        <f t="shared" si="53"/>
        <v>0</v>
      </c>
      <c r="Y63" s="936">
        <f t="shared" si="53"/>
        <v>0</v>
      </c>
      <c r="Z63" s="936">
        <f t="shared" si="53"/>
        <v>0</v>
      </c>
      <c r="AA63" s="936">
        <f t="shared" si="53"/>
        <v>0</v>
      </c>
      <c r="AB63" s="936">
        <f t="shared" si="53"/>
        <v>0</v>
      </c>
      <c r="AC63" s="936">
        <f t="shared" si="53"/>
        <v>0</v>
      </c>
      <c r="AD63" s="936">
        <f t="shared" si="53"/>
        <v>0</v>
      </c>
      <c r="AE63" s="936">
        <f t="shared" si="53"/>
        <v>0</v>
      </c>
      <c r="AF63" s="936">
        <f t="shared" si="53"/>
        <v>0</v>
      </c>
      <c r="AG63" s="936">
        <f t="shared" si="53"/>
        <v>0</v>
      </c>
      <c r="AH63" s="936">
        <f t="shared" si="53"/>
        <v>0</v>
      </c>
      <c r="AI63" s="936">
        <f t="shared" si="53"/>
        <v>0</v>
      </c>
      <c r="AJ63" s="936">
        <f t="shared" si="53"/>
        <v>0</v>
      </c>
      <c r="AK63" s="936">
        <f t="shared" si="53"/>
        <v>0</v>
      </c>
      <c r="AL63" s="936">
        <f t="shared" si="53"/>
        <v>0</v>
      </c>
      <c r="AM63" s="936">
        <f t="shared" si="53"/>
        <v>0</v>
      </c>
      <c r="AN63" s="936">
        <f t="shared" si="53"/>
        <v>0</v>
      </c>
      <c r="AO63" s="936">
        <f t="shared" si="53"/>
        <v>0</v>
      </c>
      <c r="AP63" s="936">
        <f t="shared" si="53"/>
        <v>0</v>
      </c>
      <c r="AQ63" s="936">
        <f t="shared" si="53"/>
        <v>0</v>
      </c>
      <c r="AR63" s="936">
        <f t="shared" si="53"/>
        <v>0</v>
      </c>
      <c r="AS63" s="936">
        <f t="shared" si="53"/>
        <v>0</v>
      </c>
      <c r="AT63" s="936">
        <f t="shared" si="53"/>
        <v>0</v>
      </c>
      <c r="AU63" s="936">
        <f t="shared" si="53"/>
        <v>0</v>
      </c>
      <c r="AV63" s="936">
        <f t="shared" si="53"/>
        <v>0</v>
      </c>
      <c r="AW63" s="936">
        <f t="shared" si="53"/>
        <v>0</v>
      </c>
      <c r="AX63" s="936">
        <f t="shared" si="53"/>
        <v>0</v>
      </c>
      <c r="AY63" s="936">
        <f t="shared" si="53"/>
        <v>0</v>
      </c>
      <c r="AZ63" s="936">
        <f t="shared" si="53"/>
        <v>0</v>
      </c>
      <c r="BA63" s="936">
        <f t="shared" si="53"/>
        <v>0</v>
      </c>
      <c r="BB63" s="936">
        <f t="shared" si="53"/>
        <v>0</v>
      </c>
      <c r="BC63" s="936">
        <f t="shared" si="53"/>
        <v>0</v>
      </c>
      <c r="BD63" s="936">
        <f t="shared" si="53"/>
        <v>0</v>
      </c>
      <c r="BE63" s="936">
        <f t="shared" si="53"/>
        <v>0</v>
      </c>
      <c r="BF63" s="936">
        <f t="shared" si="53"/>
        <v>0</v>
      </c>
      <c r="BG63" s="936">
        <f t="shared" si="53"/>
        <v>0</v>
      </c>
      <c r="BH63" s="936">
        <f t="shared" si="53"/>
        <v>0</v>
      </c>
      <c r="BI63" s="936">
        <f t="shared" si="53"/>
        <v>0</v>
      </c>
      <c r="BJ63" s="936">
        <f t="shared" si="53"/>
        <v>0</v>
      </c>
      <c r="BK63" s="936">
        <f t="shared" si="53"/>
        <v>0</v>
      </c>
      <c r="BL63" s="936">
        <f t="shared" si="53"/>
        <v>0</v>
      </c>
      <c r="BM63" s="936">
        <f t="shared" si="53"/>
        <v>0</v>
      </c>
      <c r="BN63" s="936">
        <f t="shared" si="53"/>
        <v>0</v>
      </c>
      <c r="BO63" s="936">
        <f t="shared" si="53"/>
        <v>0</v>
      </c>
      <c r="BP63" s="936">
        <f t="shared" si="53"/>
        <v>0</v>
      </c>
      <c r="BQ63" s="936">
        <f t="shared" si="53"/>
        <v>0</v>
      </c>
      <c r="BR63" s="936">
        <f t="shared" si="53"/>
        <v>0</v>
      </c>
      <c r="BS63" s="936">
        <f t="shared" ref="BS63:BZ63" si="54">BS29*$F29</f>
        <v>0</v>
      </c>
      <c r="BT63" s="936">
        <f t="shared" si="54"/>
        <v>0</v>
      </c>
      <c r="BU63" s="936">
        <f t="shared" si="54"/>
        <v>0</v>
      </c>
      <c r="BV63" s="936">
        <f t="shared" si="54"/>
        <v>0</v>
      </c>
      <c r="BW63" s="936">
        <f t="shared" si="54"/>
        <v>0</v>
      </c>
      <c r="BX63" s="936">
        <f t="shared" si="54"/>
        <v>0</v>
      </c>
      <c r="BY63" s="936">
        <f t="shared" si="54"/>
        <v>0</v>
      </c>
      <c r="BZ63" s="936">
        <f t="shared" si="54"/>
        <v>0</v>
      </c>
      <c r="CA63" s="14"/>
    </row>
    <row r="64" spans="5:79" s="747" customFormat="1" ht="15">
      <c r="E64" s="912" t="s">
        <v>953</v>
      </c>
      <c r="F64" s="10"/>
      <c r="G64" s="936">
        <f t="shared" ref="G64:BR64" si="55">G30*$F30</f>
        <v>0</v>
      </c>
      <c r="H64" s="936">
        <f t="shared" si="55"/>
        <v>0</v>
      </c>
      <c r="I64" s="936">
        <f t="shared" si="55"/>
        <v>0</v>
      </c>
      <c r="J64" s="936">
        <f t="shared" si="55"/>
        <v>0</v>
      </c>
      <c r="K64" s="936">
        <f t="shared" si="55"/>
        <v>0</v>
      </c>
      <c r="L64" s="936">
        <f t="shared" si="55"/>
        <v>0</v>
      </c>
      <c r="M64" s="936">
        <f t="shared" si="55"/>
        <v>0</v>
      </c>
      <c r="N64" s="936">
        <f t="shared" si="55"/>
        <v>0</v>
      </c>
      <c r="O64" s="936">
        <f t="shared" si="55"/>
        <v>0</v>
      </c>
      <c r="P64" s="936">
        <f t="shared" si="55"/>
        <v>0</v>
      </c>
      <c r="Q64" s="936">
        <f t="shared" si="55"/>
        <v>0</v>
      </c>
      <c r="R64" s="936">
        <f t="shared" si="55"/>
        <v>0</v>
      </c>
      <c r="S64" s="936">
        <f t="shared" si="55"/>
        <v>0</v>
      </c>
      <c r="T64" s="936">
        <f t="shared" si="55"/>
        <v>0</v>
      </c>
      <c r="U64" s="936">
        <f t="shared" si="55"/>
        <v>0</v>
      </c>
      <c r="V64" s="936">
        <f t="shared" si="55"/>
        <v>0</v>
      </c>
      <c r="W64" s="936">
        <f t="shared" si="55"/>
        <v>0</v>
      </c>
      <c r="X64" s="936">
        <f t="shared" si="55"/>
        <v>0</v>
      </c>
      <c r="Y64" s="936">
        <f t="shared" si="55"/>
        <v>0</v>
      </c>
      <c r="Z64" s="936">
        <f t="shared" si="55"/>
        <v>0</v>
      </c>
      <c r="AA64" s="936">
        <f t="shared" si="55"/>
        <v>0</v>
      </c>
      <c r="AB64" s="936">
        <f t="shared" si="55"/>
        <v>0</v>
      </c>
      <c r="AC64" s="936">
        <f t="shared" si="55"/>
        <v>0</v>
      </c>
      <c r="AD64" s="936">
        <f t="shared" si="55"/>
        <v>0</v>
      </c>
      <c r="AE64" s="936">
        <f t="shared" si="55"/>
        <v>0</v>
      </c>
      <c r="AF64" s="936">
        <f t="shared" si="55"/>
        <v>0</v>
      </c>
      <c r="AG64" s="936">
        <f t="shared" si="55"/>
        <v>0</v>
      </c>
      <c r="AH64" s="936">
        <f t="shared" si="55"/>
        <v>0</v>
      </c>
      <c r="AI64" s="936">
        <f t="shared" si="55"/>
        <v>0</v>
      </c>
      <c r="AJ64" s="936">
        <f t="shared" si="55"/>
        <v>0</v>
      </c>
      <c r="AK64" s="936">
        <f t="shared" si="55"/>
        <v>0</v>
      </c>
      <c r="AL64" s="936">
        <f t="shared" si="55"/>
        <v>0</v>
      </c>
      <c r="AM64" s="936">
        <f t="shared" si="55"/>
        <v>0</v>
      </c>
      <c r="AN64" s="936">
        <f t="shared" si="55"/>
        <v>0</v>
      </c>
      <c r="AO64" s="936">
        <f t="shared" si="55"/>
        <v>0</v>
      </c>
      <c r="AP64" s="936">
        <f t="shared" si="55"/>
        <v>0</v>
      </c>
      <c r="AQ64" s="936">
        <f t="shared" si="55"/>
        <v>0</v>
      </c>
      <c r="AR64" s="936">
        <f t="shared" si="55"/>
        <v>0</v>
      </c>
      <c r="AS64" s="936">
        <f t="shared" si="55"/>
        <v>0</v>
      </c>
      <c r="AT64" s="936">
        <f t="shared" si="55"/>
        <v>0</v>
      </c>
      <c r="AU64" s="936">
        <f t="shared" si="55"/>
        <v>0</v>
      </c>
      <c r="AV64" s="936">
        <f t="shared" si="55"/>
        <v>0</v>
      </c>
      <c r="AW64" s="936">
        <f t="shared" si="55"/>
        <v>0</v>
      </c>
      <c r="AX64" s="936">
        <f t="shared" si="55"/>
        <v>0</v>
      </c>
      <c r="AY64" s="936">
        <f t="shared" si="55"/>
        <v>0</v>
      </c>
      <c r="AZ64" s="936">
        <f t="shared" si="55"/>
        <v>0</v>
      </c>
      <c r="BA64" s="936">
        <f t="shared" si="55"/>
        <v>0</v>
      </c>
      <c r="BB64" s="936">
        <f t="shared" si="55"/>
        <v>0</v>
      </c>
      <c r="BC64" s="936">
        <f t="shared" si="55"/>
        <v>0</v>
      </c>
      <c r="BD64" s="936">
        <f t="shared" si="55"/>
        <v>0</v>
      </c>
      <c r="BE64" s="936">
        <f t="shared" si="55"/>
        <v>0</v>
      </c>
      <c r="BF64" s="936">
        <f t="shared" si="55"/>
        <v>0</v>
      </c>
      <c r="BG64" s="936">
        <f t="shared" si="55"/>
        <v>0</v>
      </c>
      <c r="BH64" s="936">
        <f t="shared" si="55"/>
        <v>0</v>
      </c>
      <c r="BI64" s="936">
        <f t="shared" si="55"/>
        <v>0</v>
      </c>
      <c r="BJ64" s="936">
        <f t="shared" si="55"/>
        <v>0</v>
      </c>
      <c r="BK64" s="936">
        <f t="shared" si="55"/>
        <v>0</v>
      </c>
      <c r="BL64" s="936">
        <f t="shared" si="55"/>
        <v>0</v>
      </c>
      <c r="BM64" s="936">
        <f t="shared" si="55"/>
        <v>0</v>
      </c>
      <c r="BN64" s="936">
        <f t="shared" si="55"/>
        <v>0</v>
      </c>
      <c r="BO64" s="936">
        <f t="shared" si="55"/>
        <v>0</v>
      </c>
      <c r="BP64" s="936">
        <f t="shared" si="55"/>
        <v>0</v>
      </c>
      <c r="BQ64" s="936">
        <f t="shared" si="55"/>
        <v>0</v>
      </c>
      <c r="BR64" s="936">
        <f t="shared" si="55"/>
        <v>0</v>
      </c>
      <c r="BS64" s="936">
        <f t="shared" ref="BS64:BZ64" si="56">BS30*$F30</f>
        <v>0</v>
      </c>
      <c r="BT64" s="936">
        <f t="shared" si="56"/>
        <v>0</v>
      </c>
      <c r="BU64" s="936">
        <f t="shared" si="56"/>
        <v>0</v>
      </c>
      <c r="BV64" s="936">
        <f t="shared" si="56"/>
        <v>0</v>
      </c>
      <c r="BW64" s="936">
        <f t="shared" si="56"/>
        <v>0</v>
      </c>
      <c r="BX64" s="936">
        <f t="shared" si="56"/>
        <v>0</v>
      </c>
      <c r="BY64" s="936">
        <f t="shared" si="56"/>
        <v>0</v>
      </c>
      <c r="BZ64" s="936">
        <f t="shared" si="56"/>
        <v>0</v>
      </c>
      <c r="CA64" s="14"/>
    </row>
    <row r="65" spans="5:79" s="747" customFormat="1" ht="15">
      <c r="E65" s="912" t="s">
        <v>954</v>
      </c>
      <c r="F65" s="10"/>
      <c r="G65" s="936">
        <f t="shared" ref="G65:BR65" si="57">G31*$F31</f>
        <v>0</v>
      </c>
      <c r="H65" s="936">
        <f t="shared" si="57"/>
        <v>0</v>
      </c>
      <c r="I65" s="936">
        <f t="shared" si="57"/>
        <v>0</v>
      </c>
      <c r="J65" s="936">
        <f t="shared" si="57"/>
        <v>0</v>
      </c>
      <c r="K65" s="936">
        <f t="shared" si="57"/>
        <v>0</v>
      </c>
      <c r="L65" s="936">
        <f t="shared" si="57"/>
        <v>0</v>
      </c>
      <c r="M65" s="936">
        <f t="shared" si="57"/>
        <v>0</v>
      </c>
      <c r="N65" s="936">
        <f t="shared" si="57"/>
        <v>0</v>
      </c>
      <c r="O65" s="936">
        <f t="shared" si="57"/>
        <v>0</v>
      </c>
      <c r="P65" s="936">
        <f t="shared" si="57"/>
        <v>0</v>
      </c>
      <c r="Q65" s="936">
        <f t="shared" si="57"/>
        <v>0</v>
      </c>
      <c r="R65" s="936">
        <f t="shared" si="57"/>
        <v>0</v>
      </c>
      <c r="S65" s="936">
        <f t="shared" si="57"/>
        <v>0</v>
      </c>
      <c r="T65" s="936">
        <f t="shared" si="57"/>
        <v>0</v>
      </c>
      <c r="U65" s="936">
        <f t="shared" si="57"/>
        <v>0</v>
      </c>
      <c r="V65" s="936">
        <f t="shared" si="57"/>
        <v>0</v>
      </c>
      <c r="W65" s="936">
        <f t="shared" si="57"/>
        <v>0</v>
      </c>
      <c r="X65" s="936">
        <f t="shared" si="57"/>
        <v>0</v>
      </c>
      <c r="Y65" s="936">
        <f t="shared" si="57"/>
        <v>0</v>
      </c>
      <c r="Z65" s="936">
        <f t="shared" si="57"/>
        <v>0</v>
      </c>
      <c r="AA65" s="936">
        <f t="shared" si="57"/>
        <v>0</v>
      </c>
      <c r="AB65" s="936">
        <f t="shared" si="57"/>
        <v>0</v>
      </c>
      <c r="AC65" s="936">
        <f t="shared" si="57"/>
        <v>0</v>
      </c>
      <c r="AD65" s="936">
        <f t="shared" si="57"/>
        <v>0</v>
      </c>
      <c r="AE65" s="936">
        <f t="shared" si="57"/>
        <v>0</v>
      </c>
      <c r="AF65" s="936">
        <f t="shared" si="57"/>
        <v>0</v>
      </c>
      <c r="AG65" s="936">
        <f t="shared" si="57"/>
        <v>0</v>
      </c>
      <c r="AH65" s="936">
        <f t="shared" si="57"/>
        <v>0</v>
      </c>
      <c r="AI65" s="936">
        <f t="shared" si="57"/>
        <v>0</v>
      </c>
      <c r="AJ65" s="936">
        <f t="shared" si="57"/>
        <v>0</v>
      </c>
      <c r="AK65" s="936">
        <f t="shared" si="57"/>
        <v>0</v>
      </c>
      <c r="AL65" s="936">
        <f t="shared" si="57"/>
        <v>0</v>
      </c>
      <c r="AM65" s="936">
        <f t="shared" si="57"/>
        <v>0</v>
      </c>
      <c r="AN65" s="936">
        <f t="shared" si="57"/>
        <v>0</v>
      </c>
      <c r="AO65" s="936">
        <f t="shared" si="57"/>
        <v>0</v>
      </c>
      <c r="AP65" s="936">
        <f t="shared" si="57"/>
        <v>0</v>
      </c>
      <c r="AQ65" s="936">
        <f t="shared" si="57"/>
        <v>0</v>
      </c>
      <c r="AR65" s="936">
        <f t="shared" si="57"/>
        <v>0</v>
      </c>
      <c r="AS65" s="936">
        <f t="shared" si="57"/>
        <v>0</v>
      </c>
      <c r="AT65" s="936">
        <f t="shared" si="57"/>
        <v>0</v>
      </c>
      <c r="AU65" s="936">
        <f t="shared" si="57"/>
        <v>0</v>
      </c>
      <c r="AV65" s="936">
        <f t="shared" si="57"/>
        <v>0</v>
      </c>
      <c r="AW65" s="936">
        <f t="shared" si="57"/>
        <v>0</v>
      </c>
      <c r="AX65" s="936">
        <f t="shared" si="57"/>
        <v>0</v>
      </c>
      <c r="AY65" s="936">
        <f t="shared" si="57"/>
        <v>0</v>
      </c>
      <c r="AZ65" s="936">
        <f t="shared" si="57"/>
        <v>0</v>
      </c>
      <c r="BA65" s="936">
        <f t="shared" si="57"/>
        <v>0</v>
      </c>
      <c r="BB65" s="936">
        <f t="shared" si="57"/>
        <v>0</v>
      </c>
      <c r="BC65" s="936">
        <f t="shared" si="57"/>
        <v>0</v>
      </c>
      <c r="BD65" s="936">
        <f t="shared" si="57"/>
        <v>0</v>
      </c>
      <c r="BE65" s="936">
        <f t="shared" si="57"/>
        <v>0</v>
      </c>
      <c r="BF65" s="936">
        <f t="shared" si="57"/>
        <v>0</v>
      </c>
      <c r="BG65" s="936">
        <f t="shared" si="57"/>
        <v>0</v>
      </c>
      <c r="BH65" s="936">
        <f t="shared" si="57"/>
        <v>0</v>
      </c>
      <c r="BI65" s="936">
        <f t="shared" si="57"/>
        <v>0</v>
      </c>
      <c r="BJ65" s="936">
        <f t="shared" si="57"/>
        <v>0</v>
      </c>
      <c r="BK65" s="936">
        <f t="shared" si="57"/>
        <v>0</v>
      </c>
      <c r="BL65" s="936">
        <f t="shared" si="57"/>
        <v>0</v>
      </c>
      <c r="BM65" s="936">
        <f t="shared" si="57"/>
        <v>0</v>
      </c>
      <c r="BN65" s="936">
        <f t="shared" si="57"/>
        <v>0</v>
      </c>
      <c r="BO65" s="936">
        <f t="shared" si="57"/>
        <v>0</v>
      </c>
      <c r="BP65" s="936">
        <f t="shared" si="57"/>
        <v>0</v>
      </c>
      <c r="BQ65" s="936">
        <f t="shared" si="57"/>
        <v>0</v>
      </c>
      <c r="BR65" s="936">
        <f t="shared" si="57"/>
        <v>0</v>
      </c>
      <c r="BS65" s="936">
        <f t="shared" ref="BS65:BZ65" si="58">BS31*$F31</f>
        <v>0</v>
      </c>
      <c r="BT65" s="936">
        <f t="shared" si="58"/>
        <v>0</v>
      </c>
      <c r="BU65" s="936">
        <f t="shared" si="58"/>
        <v>0</v>
      </c>
      <c r="BV65" s="936">
        <f t="shared" si="58"/>
        <v>0</v>
      </c>
      <c r="BW65" s="936">
        <f t="shared" si="58"/>
        <v>0</v>
      </c>
      <c r="BX65" s="936">
        <f t="shared" si="58"/>
        <v>0</v>
      </c>
      <c r="BY65" s="936">
        <f t="shared" si="58"/>
        <v>0</v>
      </c>
      <c r="BZ65" s="936">
        <f t="shared" si="58"/>
        <v>0</v>
      </c>
      <c r="CA65" s="14"/>
    </row>
    <row r="66" spans="5:79" s="747" customFormat="1" ht="15">
      <c r="E66" s="912" t="s">
        <v>955</v>
      </c>
      <c r="F66" s="10"/>
      <c r="G66" s="936">
        <f t="shared" ref="G66:BR66" si="59">G32*$F32</f>
        <v>0</v>
      </c>
      <c r="H66" s="936">
        <f t="shared" si="59"/>
        <v>0</v>
      </c>
      <c r="I66" s="936">
        <f t="shared" si="59"/>
        <v>0</v>
      </c>
      <c r="J66" s="936">
        <f t="shared" si="59"/>
        <v>0</v>
      </c>
      <c r="K66" s="936">
        <f t="shared" si="59"/>
        <v>0</v>
      </c>
      <c r="L66" s="936">
        <f t="shared" si="59"/>
        <v>0</v>
      </c>
      <c r="M66" s="936">
        <f t="shared" si="59"/>
        <v>0</v>
      </c>
      <c r="N66" s="936">
        <f t="shared" si="59"/>
        <v>0</v>
      </c>
      <c r="O66" s="936">
        <f t="shared" si="59"/>
        <v>0</v>
      </c>
      <c r="P66" s="936">
        <f t="shared" si="59"/>
        <v>0</v>
      </c>
      <c r="Q66" s="936">
        <f t="shared" si="59"/>
        <v>0</v>
      </c>
      <c r="R66" s="936">
        <f t="shared" si="59"/>
        <v>0</v>
      </c>
      <c r="S66" s="936">
        <f t="shared" si="59"/>
        <v>0</v>
      </c>
      <c r="T66" s="936">
        <f t="shared" si="59"/>
        <v>0</v>
      </c>
      <c r="U66" s="936">
        <f t="shared" si="59"/>
        <v>0</v>
      </c>
      <c r="V66" s="936">
        <f t="shared" si="59"/>
        <v>0</v>
      </c>
      <c r="W66" s="936">
        <f t="shared" si="59"/>
        <v>0</v>
      </c>
      <c r="X66" s="936">
        <f t="shared" si="59"/>
        <v>0</v>
      </c>
      <c r="Y66" s="936">
        <f t="shared" si="59"/>
        <v>0</v>
      </c>
      <c r="Z66" s="936">
        <f t="shared" si="59"/>
        <v>0</v>
      </c>
      <c r="AA66" s="936">
        <f t="shared" si="59"/>
        <v>0</v>
      </c>
      <c r="AB66" s="936">
        <f t="shared" si="59"/>
        <v>0</v>
      </c>
      <c r="AC66" s="936">
        <f t="shared" si="59"/>
        <v>0</v>
      </c>
      <c r="AD66" s="936">
        <f t="shared" si="59"/>
        <v>0</v>
      </c>
      <c r="AE66" s="936">
        <f t="shared" si="59"/>
        <v>0</v>
      </c>
      <c r="AF66" s="936">
        <f t="shared" si="59"/>
        <v>0</v>
      </c>
      <c r="AG66" s="936">
        <f t="shared" si="59"/>
        <v>0</v>
      </c>
      <c r="AH66" s="936">
        <f t="shared" si="59"/>
        <v>0</v>
      </c>
      <c r="AI66" s="936">
        <f t="shared" si="59"/>
        <v>0</v>
      </c>
      <c r="AJ66" s="936">
        <f t="shared" si="59"/>
        <v>0</v>
      </c>
      <c r="AK66" s="936">
        <f t="shared" si="59"/>
        <v>0</v>
      </c>
      <c r="AL66" s="936">
        <f t="shared" si="59"/>
        <v>0</v>
      </c>
      <c r="AM66" s="936">
        <f t="shared" si="59"/>
        <v>0</v>
      </c>
      <c r="AN66" s="936">
        <f t="shared" si="59"/>
        <v>0</v>
      </c>
      <c r="AO66" s="936">
        <f t="shared" si="59"/>
        <v>0</v>
      </c>
      <c r="AP66" s="936">
        <f t="shared" si="59"/>
        <v>0</v>
      </c>
      <c r="AQ66" s="936">
        <f t="shared" si="59"/>
        <v>0</v>
      </c>
      <c r="AR66" s="936">
        <f t="shared" si="59"/>
        <v>0</v>
      </c>
      <c r="AS66" s="936">
        <f t="shared" si="59"/>
        <v>0</v>
      </c>
      <c r="AT66" s="936">
        <f t="shared" si="59"/>
        <v>0</v>
      </c>
      <c r="AU66" s="936">
        <f t="shared" si="59"/>
        <v>0</v>
      </c>
      <c r="AV66" s="936">
        <f t="shared" si="59"/>
        <v>0</v>
      </c>
      <c r="AW66" s="936">
        <f t="shared" si="59"/>
        <v>0</v>
      </c>
      <c r="AX66" s="936">
        <f t="shared" si="59"/>
        <v>0</v>
      </c>
      <c r="AY66" s="936">
        <f t="shared" si="59"/>
        <v>0</v>
      </c>
      <c r="AZ66" s="936">
        <f t="shared" si="59"/>
        <v>0</v>
      </c>
      <c r="BA66" s="936">
        <f t="shared" si="59"/>
        <v>0</v>
      </c>
      <c r="BB66" s="936">
        <f t="shared" si="59"/>
        <v>0</v>
      </c>
      <c r="BC66" s="936">
        <f t="shared" si="59"/>
        <v>0</v>
      </c>
      <c r="BD66" s="936">
        <f t="shared" si="59"/>
        <v>0</v>
      </c>
      <c r="BE66" s="936">
        <f t="shared" si="59"/>
        <v>0</v>
      </c>
      <c r="BF66" s="936">
        <f t="shared" si="59"/>
        <v>0</v>
      </c>
      <c r="BG66" s="936">
        <f t="shared" si="59"/>
        <v>0</v>
      </c>
      <c r="BH66" s="936">
        <f t="shared" si="59"/>
        <v>0</v>
      </c>
      <c r="BI66" s="936">
        <f t="shared" si="59"/>
        <v>0</v>
      </c>
      <c r="BJ66" s="936">
        <f t="shared" si="59"/>
        <v>0</v>
      </c>
      <c r="BK66" s="936">
        <f t="shared" si="59"/>
        <v>0</v>
      </c>
      <c r="BL66" s="936">
        <f t="shared" si="59"/>
        <v>0</v>
      </c>
      <c r="BM66" s="936">
        <f t="shared" si="59"/>
        <v>0</v>
      </c>
      <c r="BN66" s="936">
        <f t="shared" si="59"/>
        <v>0</v>
      </c>
      <c r="BO66" s="936">
        <f t="shared" si="59"/>
        <v>0</v>
      </c>
      <c r="BP66" s="936">
        <f t="shared" si="59"/>
        <v>0</v>
      </c>
      <c r="BQ66" s="936">
        <f t="shared" si="59"/>
        <v>0</v>
      </c>
      <c r="BR66" s="936">
        <f t="shared" si="59"/>
        <v>0</v>
      </c>
      <c r="BS66" s="936">
        <f t="shared" ref="BS66:BZ66" si="60">BS32*$F32</f>
        <v>0</v>
      </c>
      <c r="BT66" s="936">
        <f t="shared" si="60"/>
        <v>0</v>
      </c>
      <c r="BU66" s="936">
        <f t="shared" si="60"/>
        <v>0</v>
      </c>
      <c r="BV66" s="936">
        <f t="shared" si="60"/>
        <v>0</v>
      </c>
      <c r="BW66" s="936">
        <f t="shared" si="60"/>
        <v>0</v>
      </c>
      <c r="BX66" s="936">
        <f t="shared" si="60"/>
        <v>0</v>
      </c>
      <c r="BY66" s="936">
        <f t="shared" si="60"/>
        <v>0</v>
      </c>
      <c r="BZ66" s="936">
        <f t="shared" si="60"/>
        <v>0</v>
      </c>
      <c r="CA66" s="14"/>
    </row>
    <row r="67" spans="5:79" s="747" customFormat="1" ht="15.75" thickBot="1">
      <c r="E67" s="912" t="s">
        <v>956</v>
      </c>
      <c r="F67" s="10"/>
      <c r="G67" s="936">
        <f t="shared" ref="G67:BR67" si="61">G33*$F33</f>
        <v>0</v>
      </c>
      <c r="H67" s="936">
        <f t="shared" si="61"/>
        <v>0</v>
      </c>
      <c r="I67" s="936">
        <f t="shared" si="61"/>
        <v>0</v>
      </c>
      <c r="J67" s="936">
        <f t="shared" si="61"/>
        <v>0</v>
      </c>
      <c r="K67" s="936">
        <f t="shared" si="61"/>
        <v>0</v>
      </c>
      <c r="L67" s="936">
        <f t="shared" si="61"/>
        <v>0</v>
      </c>
      <c r="M67" s="936">
        <f t="shared" si="61"/>
        <v>0</v>
      </c>
      <c r="N67" s="936">
        <f t="shared" si="61"/>
        <v>0</v>
      </c>
      <c r="O67" s="936">
        <f t="shared" si="61"/>
        <v>0</v>
      </c>
      <c r="P67" s="936">
        <f t="shared" si="61"/>
        <v>0</v>
      </c>
      <c r="Q67" s="936">
        <f t="shared" si="61"/>
        <v>0</v>
      </c>
      <c r="R67" s="936">
        <f t="shared" si="61"/>
        <v>0</v>
      </c>
      <c r="S67" s="936">
        <f t="shared" si="61"/>
        <v>0</v>
      </c>
      <c r="T67" s="936">
        <f t="shared" si="61"/>
        <v>0</v>
      </c>
      <c r="U67" s="936">
        <f t="shared" si="61"/>
        <v>0</v>
      </c>
      <c r="V67" s="936">
        <f t="shared" si="61"/>
        <v>0</v>
      </c>
      <c r="W67" s="936">
        <f t="shared" si="61"/>
        <v>0</v>
      </c>
      <c r="X67" s="936">
        <f t="shared" si="61"/>
        <v>0</v>
      </c>
      <c r="Y67" s="936">
        <f t="shared" si="61"/>
        <v>0</v>
      </c>
      <c r="Z67" s="936">
        <f t="shared" si="61"/>
        <v>0</v>
      </c>
      <c r="AA67" s="936">
        <f t="shared" si="61"/>
        <v>0</v>
      </c>
      <c r="AB67" s="936">
        <f t="shared" si="61"/>
        <v>0</v>
      </c>
      <c r="AC67" s="936">
        <f t="shared" si="61"/>
        <v>0</v>
      </c>
      <c r="AD67" s="936">
        <f t="shared" si="61"/>
        <v>0</v>
      </c>
      <c r="AE67" s="936">
        <f t="shared" si="61"/>
        <v>0</v>
      </c>
      <c r="AF67" s="936">
        <f t="shared" si="61"/>
        <v>0</v>
      </c>
      <c r="AG67" s="936">
        <f t="shared" si="61"/>
        <v>0</v>
      </c>
      <c r="AH67" s="936">
        <f t="shared" si="61"/>
        <v>0</v>
      </c>
      <c r="AI67" s="936">
        <f t="shared" si="61"/>
        <v>0</v>
      </c>
      <c r="AJ67" s="936">
        <f t="shared" si="61"/>
        <v>0</v>
      </c>
      <c r="AK67" s="936">
        <f t="shared" si="61"/>
        <v>0</v>
      </c>
      <c r="AL67" s="936">
        <f t="shared" si="61"/>
        <v>0</v>
      </c>
      <c r="AM67" s="936">
        <f t="shared" si="61"/>
        <v>0</v>
      </c>
      <c r="AN67" s="936">
        <f t="shared" si="61"/>
        <v>0</v>
      </c>
      <c r="AO67" s="936">
        <f t="shared" si="61"/>
        <v>0</v>
      </c>
      <c r="AP67" s="936">
        <f t="shared" si="61"/>
        <v>0</v>
      </c>
      <c r="AQ67" s="936">
        <f t="shared" si="61"/>
        <v>0</v>
      </c>
      <c r="AR67" s="936">
        <f t="shared" si="61"/>
        <v>0</v>
      </c>
      <c r="AS67" s="936">
        <f t="shared" si="61"/>
        <v>0</v>
      </c>
      <c r="AT67" s="936">
        <f t="shared" si="61"/>
        <v>0</v>
      </c>
      <c r="AU67" s="936">
        <f t="shared" si="61"/>
        <v>0</v>
      </c>
      <c r="AV67" s="936">
        <f t="shared" si="61"/>
        <v>0</v>
      </c>
      <c r="AW67" s="936">
        <f t="shared" si="61"/>
        <v>0</v>
      </c>
      <c r="AX67" s="936">
        <f t="shared" si="61"/>
        <v>0</v>
      </c>
      <c r="AY67" s="936">
        <f t="shared" si="61"/>
        <v>0</v>
      </c>
      <c r="AZ67" s="936">
        <f t="shared" si="61"/>
        <v>0</v>
      </c>
      <c r="BA67" s="936">
        <f t="shared" si="61"/>
        <v>0</v>
      </c>
      <c r="BB67" s="936">
        <f t="shared" si="61"/>
        <v>0</v>
      </c>
      <c r="BC67" s="936">
        <f t="shared" si="61"/>
        <v>0</v>
      </c>
      <c r="BD67" s="936">
        <f t="shared" si="61"/>
        <v>0</v>
      </c>
      <c r="BE67" s="936">
        <f t="shared" si="61"/>
        <v>0</v>
      </c>
      <c r="BF67" s="936">
        <f t="shared" si="61"/>
        <v>0</v>
      </c>
      <c r="BG67" s="936">
        <f t="shared" si="61"/>
        <v>0</v>
      </c>
      <c r="BH67" s="936">
        <f t="shared" si="61"/>
        <v>0</v>
      </c>
      <c r="BI67" s="936">
        <f t="shared" si="61"/>
        <v>0</v>
      </c>
      <c r="BJ67" s="936">
        <f t="shared" si="61"/>
        <v>0</v>
      </c>
      <c r="BK67" s="936">
        <f t="shared" si="61"/>
        <v>0</v>
      </c>
      <c r="BL67" s="936">
        <f t="shared" si="61"/>
        <v>0</v>
      </c>
      <c r="BM67" s="936">
        <f t="shared" si="61"/>
        <v>0</v>
      </c>
      <c r="BN67" s="936">
        <f t="shared" si="61"/>
        <v>0</v>
      </c>
      <c r="BO67" s="936">
        <f t="shared" si="61"/>
        <v>0</v>
      </c>
      <c r="BP67" s="936">
        <f t="shared" si="61"/>
        <v>0</v>
      </c>
      <c r="BQ67" s="936">
        <f t="shared" si="61"/>
        <v>0</v>
      </c>
      <c r="BR67" s="936">
        <f t="shared" si="61"/>
        <v>0</v>
      </c>
      <c r="BS67" s="936">
        <f t="shared" ref="BS67:BZ67" si="62">BS33*$F33</f>
        <v>0</v>
      </c>
      <c r="BT67" s="936">
        <f t="shared" si="62"/>
        <v>0</v>
      </c>
      <c r="BU67" s="936">
        <f t="shared" si="62"/>
        <v>0</v>
      </c>
      <c r="BV67" s="936">
        <f t="shared" si="62"/>
        <v>0</v>
      </c>
      <c r="BW67" s="936">
        <f t="shared" si="62"/>
        <v>0</v>
      </c>
      <c r="BX67" s="936">
        <f t="shared" si="62"/>
        <v>0</v>
      </c>
      <c r="BY67" s="936">
        <f t="shared" si="62"/>
        <v>0</v>
      </c>
      <c r="BZ67" s="936">
        <f t="shared" si="62"/>
        <v>0</v>
      </c>
      <c r="CA67" s="14"/>
    </row>
    <row r="68" spans="5:79" s="747" customFormat="1" ht="13.5" thickBot="1">
      <c r="E68" s="10"/>
      <c r="F68" s="10"/>
      <c r="G68" s="937">
        <f t="shared" ref="G68:AL68" si="63">SUM(G38:G67)</f>
        <v>0</v>
      </c>
      <c r="H68" s="938">
        <f t="shared" si="63"/>
        <v>0</v>
      </c>
      <c r="I68" s="938">
        <f t="shared" si="63"/>
        <v>0</v>
      </c>
      <c r="J68" s="938">
        <f t="shared" si="63"/>
        <v>0</v>
      </c>
      <c r="K68" s="938">
        <f t="shared" si="63"/>
        <v>0</v>
      </c>
      <c r="L68" s="939">
        <f t="shared" si="63"/>
        <v>0</v>
      </c>
      <c r="M68" s="937">
        <f t="shared" si="63"/>
        <v>0</v>
      </c>
      <c r="N68" s="938">
        <f t="shared" si="63"/>
        <v>0</v>
      </c>
      <c r="O68" s="938">
        <f t="shared" si="63"/>
        <v>0</v>
      </c>
      <c r="P68" s="938">
        <f t="shared" si="63"/>
        <v>0</v>
      </c>
      <c r="Q68" s="938">
        <f t="shared" si="63"/>
        <v>0</v>
      </c>
      <c r="R68" s="939">
        <f t="shared" si="63"/>
        <v>0</v>
      </c>
      <c r="S68" s="937">
        <f t="shared" si="63"/>
        <v>0</v>
      </c>
      <c r="T68" s="938">
        <f t="shared" si="63"/>
        <v>0</v>
      </c>
      <c r="U68" s="938">
        <f t="shared" si="63"/>
        <v>0</v>
      </c>
      <c r="V68" s="938">
        <f t="shared" si="63"/>
        <v>0</v>
      </c>
      <c r="W68" s="938">
        <f t="shared" si="63"/>
        <v>0</v>
      </c>
      <c r="X68" s="939">
        <f t="shared" si="63"/>
        <v>0</v>
      </c>
      <c r="Y68" s="937">
        <f t="shared" si="63"/>
        <v>0</v>
      </c>
      <c r="Z68" s="938">
        <f t="shared" si="63"/>
        <v>0</v>
      </c>
      <c r="AA68" s="938">
        <f t="shared" si="63"/>
        <v>0</v>
      </c>
      <c r="AB68" s="938">
        <f t="shared" si="63"/>
        <v>0</v>
      </c>
      <c r="AC68" s="938">
        <f t="shared" si="63"/>
        <v>0</v>
      </c>
      <c r="AD68" s="939">
        <f t="shared" si="63"/>
        <v>0</v>
      </c>
      <c r="AE68" s="937">
        <f t="shared" si="63"/>
        <v>0</v>
      </c>
      <c r="AF68" s="938">
        <f t="shared" si="63"/>
        <v>0</v>
      </c>
      <c r="AG68" s="938">
        <f t="shared" si="63"/>
        <v>0</v>
      </c>
      <c r="AH68" s="938">
        <f t="shared" si="63"/>
        <v>0</v>
      </c>
      <c r="AI68" s="938">
        <f t="shared" si="63"/>
        <v>0</v>
      </c>
      <c r="AJ68" s="939">
        <f t="shared" si="63"/>
        <v>0</v>
      </c>
      <c r="AK68" s="937">
        <f t="shared" si="63"/>
        <v>0</v>
      </c>
      <c r="AL68" s="938">
        <f t="shared" si="63"/>
        <v>0</v>
      </c>
      <c r="AM68" s="938">
        <f t="shared" ref="AM68:BR68" si="64">SUM(AM38:AM67)</f>
        <v>0</v>
      </c>
      <c r="AN68" s="938">
        <f t="shared" si="64"/>
        <v>0</v>
      </c>
      <c r="AO68" s="938">
        <f t="shared" si="64"/>
        <v>0</v>
      </c>
      <c r="AP68" s="939">
        <f t="shared" si="64"/>
        <v>0</v>
      </c>
      <c r="AQ68" s="937">
        <f t="shared" si="64"/>
        <v>0</v>
      </c>
      <c r="AR68" s="938">
        <f t="shared" si="64"/>
        <v>0</v>
      </c>
      <c r="AS68" s="938">
        <f t="shared" si="64"/>
        <v>0</v>
      </c>
      <c r="AT68" s="938">
        <f t="shared" si="64"/>
        <v>0</v>
      </c>
      <c r="AU68" s="938">
        <f t="shared" si="64"/>
        <v>0</v>
      </c>
      <c r="AV68" s="939">
        <f t="shared" si="64"/>
        <v>0</v>
      </c>
      <c r="AW68" s="937">
        <f t="shared" si="64"/>
        <v>0</v>
      </c>
      <c r="AX68" s="938">
        <f t="shared" si="64"/>
        <v>0</v>
      </c>
      <c r="AY68" s="938">
        <f t="shared" si="64"/>
        <v>0</v>
      </c>
      <c r="AZ68" s="938">
        <f t="shared" si="64"/>
        <v>0</v>
      </c>
      <c r="BA68" s="938">
        <f t="shared" si="64"/>
        <v>0</v>
      </c>
      <c r="BB68" s="939">
        <f t="shared" si="64"/>
        <v>0</v>
      </c>
      <c r="BC68" s="937">
        <f t="shared" si="64"/>
        <v>0</v>
      </c>
      <c r="BD68" s="938">
        <f t="shared" si="64"/>
        <v>0</v>
      </c>
      <c r="BE68" s="938">
        <f t="shared" si="64"/>
        <v>0</v>
      </c>
      <c r="BF68" s="938">
        <f t="shared" si="64"/>
        <v>0</v>
      </c>
      <c r="BG68" s="938">
        <f t="shared" si="64"/>
        <v>0</v>
      </c>
      <c r="BH68" s="939">
        <f t="shared" si="64"/>
        <v>0</v>
      </c>
      <c r="BI68" s="937">
        <f t="shared" si="64"/>
        <v>0</v>
      </c>
      <c r="BJ68" s="938">
        <f t="shared" si="64"/>
        <v>0</v>
      </c>
      <c r="BK68" s="938">
        <f t="shared" si="64"/>
        <v>0</v>
      </c>
      <c r="BL68" s="938">
        <f t="shared" si="64"/>
        <v>0</v>
      </c>
      <c r="BM68" s="938">
        <f t="shared" si="64"/>
        <v>0</v>
      </c>
      <c r="BN68" s="939">
        <f t="shared" si="64"/>
        <v>0</v>
      </c>
      <c r="BO68" s="937">
        <f t="shared" si="64"/>
        <v>0</v>
      </c>
      <c r="BP68" s="938">
        <f t="shared" si="64"/>
        <v>0</v>
      </c>
      <c r="BQ68" s="938">
        <f t="shared" si="64"/>
        <v>0</v>
      </c>
      <c r="BR68" s="938">
        <f t="shared" si="64"/>
        <v>0</v>
      </c>
      <c r="BS68" s="938">
        <f t="shared" ref="BS68:BZ68" si="65">SUM(BS38:BS67)</f>
        <v>0</v>
      </c>
      <c r="BT68" s="939">
        <f t="shared" si="65"/>
        <v>0</v>
      </c>
      <c r="BU68" s="937">
        <f t="shared" si="65"/>
        <v>0</v>
      </c>
      <c r="BV68" s="938">
        <f t="shared" si="65"/>
        <v>0</v>
      </c>
      <c r="BW68" s="938">
        <f t="shared" si="65"/>
        <v>0</v>
      </c>
      <c r="BX68" s="938">
        <f t="shared" si="65"/>
        <v>0</v>
      </c>
      <c r="BY68" s="938">
        <f t="shared" si="65"/>
        <v>0</v>
      </c>
      <c r="BZ68" s="939">
        <f t="shared" si="65"/>
        <v>0</v>
      </c>
      <c r="CA68" s="14"/>
    </row>
    <row r="69" spans="5:79" ht="13.5" thickBot="1">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row>
    <row r="70" spans="5:79">
      <c r="E70" s="917"/>
      <c r="F70" s="918" t="s">
        <v>212</v>
      </c>
      <c r="G70" s="916">
        <f>'meine Dünger'!G5</f>
        <v>0</v>
      </c>
      <c r="H70" s="906"/>
      <c r="I70" s="906" t="s">
        <v>920</v>
      </c>
      <c r="J70" s="906"/>
      <c r="K70" s="907">
        <f>SUM(G102:L102)</f>
        <v>0</v>
      </c>
      <c r="L70" s="908" t="s">
        <v>124</v>
      </c>
      <c r="M70" s="916">
        <f>'meine Dünger'!G6</f>
        <v>0</v>
      </c>
      <c r="N70" s="906"/>
      <c r="O70" s="906" t="s">
        <v>920</v>
      </c>
      <c r="P70" s="906"/>
      <c r="Q70" s="907">
        <f>SUM(M102:R102)</f>
        <v>0</v>
      </c>
      <c r="R70" s="908" t="s">
        <v>124</v>
      </c>
      <c r="S70" s="916">
        <f>'meine Dünger'!G7</f>
        <v>0</v>
      </c>
      <c r="T70" s="906"/>
      <c r="U70" s="906" t="s">
        <v>920</v>
      </c>
      <c r="V70" s="906"/>
      <c r="W70" s="907">
        <f>SUM(S102:X102)</f>
        <v>0</v>
      </c>
      <c r="X70" s="908" t="s">
        <v>124</v>
      </c>
      <c r="Y70" s="916">
        <f>'meine Dünger'!G8</f>
        <v>0</v>
      </c>
      <c r="Z70" s="906"/>
      <c r="AA70" s="906" t="s">
        <v>920</v>
      </c>
      <c r="AB70" s="906"/>
      <c r="AC70" s="907">
        <f>SUM(Y102:AD102)</f>
        <v>0</v>
      </c>
      <c r="AD70" s="908" t="s">
        <v>124</v>
      </c>
      <c r="AE70" s="916">
        <f>'meine Dünger'!G9</f>
        <v>0</v>
      </c>
      <c r="AF70" s="906"/>
      <c r="AG70" s="906" t="s">
        <v>920</v>
      </c>
      <c r="AH70" s="906"/>
      <c r="AI70" s="907">
        <f>SUM(AE102:AJ102)</f>
        <v>0</v>
      </c>
      <c r="AJ70" s="908" t="s">
        <v>124</v>
      </c>
      <c r="AK70" s="916">
        <f>'meine Dünger'!G10</f>
        <v>0</v>
      </c>
      <c r="AL70" s="906"/>
      <c r="AM70" s="906" t="s">
        <v>920</v>
      </c>
      <c r="AN70" s="906"/>
      <c r="AO70" s="907">
        <f>SUM(AK102:AP102)</f>
        <v>0</v>
      </c>
      <c r="AP70" s="908" t="s">
        <v>124</v>
      </c>
      <c r="AQ70" s="916">
        <f>'meine Dünger'!G11</f>
        <v>0</v>
      </c>
      <c r="AR70" s="906"/>
      <c r="AS70" s="906" t="s">
        <v>920</v>
      </c>
      <c r="AT70" s="906"/>
      <c r="AU70" s="907">
        <f>SUM(AQ102:AV102)</f>
        <v>0</v>
      </c>
      <c r="AV70" s="908" t="s">
        <v>124</v>
      </c>
      <c r="AW70" s="916">
        <f>'meine Dünger'!G12</f>
        <v>0</v>
      </c>
      <c r="AX70" s="906"/>
      <c r="AY70" s="906" t="s">
        <v>920</v>
      </c>
      <c r="AZ70" s="906"/>
      <c r="BA70" s="907">
        <f>SUM(AW102:BB102)</f>
        <v>0</v>
      </c>
      <c r="BB70" s="908" t="s">
        <v>124</v>
      </c>
      <c r="BC70" s="916">
        <f>'meine Dünger'!G13</f>
        <v>0</v>
      </c>
      <c r="BD70" s="906"/>
      <c r="BE70" s="906" t="s">
        <v>920</v>
      </c>
      <c r="BF70" s="906"/>
      <c r="BG70" s="907">
        <f>SUM(BC102:BH102)</f>
        <v>0</v>
      </c>
      <c r="BH70" s="908" t="s">
        <v>124</v>
      </c>
      <c r="BI70" s="916">
        <f>'meine Dünger'!G14</f>
        <v>0</v>
      </c>
      <c r="BJ70" s="906"/>
      <c r="BK70" s="906" t="s">
        <v>920</v>
      </c>
      <c r="BL70" s="906"/>
      <c r="BM70" s="907">
        <f>SUM(BI102:BN102)</f>
        <v>0</v>
      </c>
      <c r="BN70" s="908" t="s">
        <v>124</v>
      </c>
      <c r="BO70" s="916">
        <f>'meine Dünger'!G15</f>
        <v>0</v>
      </c>
      <c r="BP70" s="906"/>
      <c r="BQ70" s="906" t="s">
        <v>920</v>
      </c>
      <c r="BR70" s="906"/>
      <c r="BS70" s="907">
        <f>SUM(BO102:BT102)</f>
        <v>0</v>
      </c>
      <c r="BT70" s="908" t="s">
        <v>124</v>
      </c>
      <c r="BU70" s="916">
        <f>'meine Dünger'!G16</f>
        <v>0</v>
      </c>
      <c r="BV70" s="906"/>
      <c r="BW70" s="906" t="s">
        <v>920</v>
      </c>
      <c r="BX70" s="906"/>
      <c r="BY70" s="907">
        <f>SUM(BU102:BZ102)</f>
        <v>0</v>
      </c>
      <c r="BZ70" s="908" t="s">
        <v>124</v>
      </c>
      <c r="CA70" s="14"/>
    </row>
    <row r="71" spans="5:79" ht="14.25">
      <c r="E71" s="919" t="s">
        <v>921</v>
      </c>
      <c r="F71" s="924" t="s">
        <v>870</v>
      </c>
      <c r="G71" s="909" t="s">
        <v>922</v>
      </c>
      <c r="H71" s="910" t="s">
        <v>923</v>
      </c>
      <c r="I71" s="910" t="s">
        <v>924</v>
      </c>
      <c r="J71" s="910" t="s">
        <v>925</v>
      </c>
      <c r="K71" s="910" t="s">
        <v>926</v>
      </c>
      <c r="L71" s="911" t="s">
        <v>849</v>
      </c>
      <c r="M71" s="909" t="s">
        <v>922</v>
      </c>
      <c r="N71" s="910" t="s">
        <v>923</v>
      </c>
      <c r="O71" s="910" t="s">
        <v>924</v>
      </c>
      <c r="P71" s="910" t="s">
        <v>925</v>
      </c>
      <c r="Q71" s="910" t="s">
        <v>926</v>
      </c>
      <c r="R71" s="911" t="s">
        <v>849</v>
      </c>
      <c r="S71" s="909" t="s">
        <v>922</v>
      </c>
      <c r="T71" s="910" t="s">
        <v>923</v>
      </c>
      <c r="U71" s="910" t="s">
        <v>924</v>
      </c>
      <c r="V71" s="910" t="s">
        <v>925</v>
      </c>
      <c r="W71" s="910" t="s">
        <v>926</v>
      </c>
      <c r="X71" s="911" t="s">
        <v>849</v>
      </c>
      <c r="Y71" s="909" t="s">
        <v>922</v>
      </c>
      <c r="Z71" s="910" t="s">
        <v>923</v>
      </c>
      <c r="AA71" s="910" t="s">
        <v>924</v>
      </c>
      <c r="AB71" s="910" t="s">
        <v>925</v>
      </c>
      <c r="AC71" s="910" t="s">
        <v>926</v>
      </c>
      <c r="AD71" s="911" t="s">
        <v>849</v>
      </c>
      <c r="AE71" s="909" t="s">
        <v>922</v>
      </c>
      <c r="AF71" s="910" t="s">
        <v>923</v>
      </c>
      <c r="AG71" s="910" t="s">
        <v>924</v>
      </c>
      <c r="AH71" s="910" t="s">
        <v>925</v>
      </c>
      <c r="AI71" s="910" t="s">
        <v>926</v>
      </c>
      <c r="AJ71" s="911" t="s">
        <v>849</v>
      </c>
      <c r="AK71" s="909" t="s">
        <v>922</v>
      </c>
      <c r="AL71" s="910" t="s">
        <v>923</v>
      </c>
      <c r="AM71" s="910" t="s">
        <v>924</v>
      </c>
      <c r="AN71" s="910" t="s">
        <v>925</v>
      </c>
      <c r="AO71" s="910" t="s">
        <v>926</v>
      </c>
      <c r="AP71" s="911" t="s">
        <v>849</v>
      </c>
      <c r="AQ71" s="909" t="s">
        <v>922</v>
      </c>
      <c r="AR71" s="910" t="s">
        <v>923</v>
      </c>
      <c r="AS71" s="910" t="s">
        <v>924</v>
      </c>
      <c r="AT71" s="910" t="s">
        <v>925</v>
      </c>
      <c r="AU71" s="910" t="s">
        <v>926</v>
      </c>
      <c r="AV71" s="911" t="s">
        <v>849</v>
      </c>
      <c r="AW71" s="909" t="s">
        <v>922</v>
      </c>
      <c r="AX71" s="910" t="s">
        <v>923</v>
      </c>
      <c r="AY71" s="910" t="s">
        <v>924</v>
      </c>
      <c r="AZ71" s="910" t="s">
        <v>925</v>
      </c>
      <c r="BA71" s="910" t="s">
        <v>926</v>
      </c>
      <c r="BB71" s="911" t="s">
        <v>849</v>
      </c>
      <c r="BC71" s="909" t="s">
        <v>922</v>
      </c>
      <c r="BD71" s="910" t="s">
        <v>923</v>
      </c>
      <c r="BE71" s="910" t="s">
        <v>924</v>
      </c>
      <c r="BF71" s="910" t="s">
        <v>925</v>
      </c>
      <c r="BG71" s="910" t="s">
        <v>926</v>
      </c>
      <c r="BH71" s="911" t="s">
        <v>849</v>
      </c>
      <c r="BI71" s="909" t="s">
        <v>922</v>
      </c>
      <c r="BJ71" s="910" t="s">
        <v>923</v>
      </c>
      <c r="BK71" s="910" t="s">
        <v>924</v>
      </c>
      <c r="BL71" s="910" t="s">
        <v>925</v>
      </c>
      <c r="BM71" s="910" t="s">
        <v>926</v>
      </c>
      <c r="BN71" s="911" t="s">
        <v>849</v>
      </c>
      <c r="BO71" s="909" t="s">
        <v>922</v>
      </c>
      <c r="BP71" s="910" t="s">
        <v>923</v>
      </c>
      <c r="BQ71" s="910" t="s">
        <v>924</v>
      </c>
      <c r="BR71" s="910" t="s">
        <v>925</v>
      </c>
      <c r="BS71" s="910" t="s">
        <v>926</v>
      </c>
      <c r="BT71" s="911" t="s">
        <v>849</v>
      </c>
      <c r="BU71" s="909" t="s">
        <v>922</v>
      </c>
      <c r="BV71" s="910" t="s">
        <v>923</v>
      </c>
      <c r="BW71" s="910" t="s">
        <v>924</v>
      </c>
      <c r="BX71" s="910" t="s">
        <v>925</v>
      </c>
      <c r="BY71" s="910" t="s">
        <v>926</v>
      </c>
      <c r="BZ71" s="911" t="s">
        <v>849</v>
      </c>
      <c r="CA71" s="14"/>
    </row>
    <row r="72" spans="5:79" ht="15">
      <c r="E72" s="920" t="s">
        <v>927</v>
      </c>
      <c r="F72" s="921">
        <f t="shared" ref="F72:F101" si="66">SUM(G72:BZ72)</f>
        <v>0</v>
      </c>
      <c r="G72" s="851">
        <f t="shared" ref="G72:L81" si="67">$G$70*G4</f>
        <v>0</v>
      </c>
      <c r="H72" s="851">
        <f t="shared" si="67"/>
        <v>0</v>
      </c>
      <c r="I72" s="851">
        <f t="shared" si="67"/>
        <v>0</v>
      </c>
      <c r="J72" s="851">
        <f t="shared" si="67"/>
        <v>0</v>
      </c>
      <c r="K72" s="851">
        <f t="shared" si="67"/>
        <v>0</v>
      </c>
      <c r="L72" s="851">
        <f t="shared" si="67"/>
        <v>0</v>
      </c>
      <c r="M72" s="851">
        <f t="shared" ref="M72:R81" si="68">$M$70*M4</f>
        <v>0</v>
      </c>
      <c r="N72" s="851">
        <f t="shared" si="68"/>
        <v>0</v>
      </c>
      <c r="O72" s="851">
        <f t="shared" si="68"/>
        <v>0</v>
      </c>
      <c r="P72" s="851">
        <f t="shared" si="68"/>
        <v>0</v>
      </c>
      <c r="Q72" s="851">
        <f t="shared" si="68"/>
        <v>0</v>
      </c>
      <c r="R72" s="851">
        <f t="shared" si="68"/>
        <v>0</v>
      </c>
      <c r="S72" s="851">
        <f t="shared" ref="S72:X81" si="69">$S$70*S4</f>
        <v>0</v>
      </c>
      <c r="T72" s="851">
        <f t="shared" si="69"/>
        <v>0</v>
      </c>
      <c r="U72" s="851">
        <f t="shared" si="69"/>
        <v>0</v>
      </c>
      <c r="V72" s="851">
        <f t="shared" si="69"/>
        <v>0</v>
      </c>
      <c r="W72" s="851">
        <f t="shared" si="69"/>
        <v>0</v>
      </c>
      <c r="X72" s="851">
        <f t="shared" si="69"/>
        <v>0</v>
      </c>
      <c r="Y72" s="851">
        <f t="shared" ref="Y72:AD81" si="70">$Y$70*Y4</f>
        <v>0</v>
      </c>
      <c r="Z72" s="851">
        <f t="shared" si="70"/>
        <v>0</v>
      </c>
      <c r="AA72" s="851">
        <f t="shared" si="70"/>
        <v>0</v>
      </c>
      <c r="AB72" s="851">
        <f t="shared" si="70"/>
        <v>0</v>
      </c>
      <c r="AC72" s="851">
        <f t="shared" si="70"/>
        <v>0</v>
      </c>
      <c r="AD72" s="851">
        <f t="shared" si="70"/>
        <v>0</v>
      </c>
      <c r="AE72" s="851">
        <f t="shared" ref="AE72:AJ81" si="71">$AE$70*AE4</f>
        <v>0</v>
      </c>
      <c r="AF72" s="851">
        <f t="shared" si="71"/>
        <v>0</v>
      </c>
      <c r="AG72" s="851">
        <f t="shared" si="71"/>
        <v>0</v>
      </c>
      <c r="AH72" s="851">
        <f t="shared" si="71"/>
        <v>0</v>
      </c>
      <c r="AI72" s="851">
        <f t="shared" si="71"/>
        <v>0</v>
      </c>
      <c r="AJ72" s="851">
        <f t="shared" si="71"/>
        <v>0</v>
      </c>
      <c r="AK72" s="851">
        <f t="shared" ref="AK72:AP81" si="72">$AK$70*AK4</f>
        <v>0</v>
      </c>
      <c r="AL72" s="851">
        <f t="shared" si="72"/>
        <v>0</v>
      </c>
      <c r="AM72" s="851">
        <f t="shared" si="72"/>
        <v>0</v>
      </c>
      <c r="AN72" s="851">
        <f t="shared" si="72"/>
        <v>0</v>
      </c>
      <c r="AO72" s="851">
        <f t="shared" si="72"/>
        <v>0</v>
      </c>
      <c r="AP72" s="851">
        <f t="shared" si="72"/>
        <v>0</v>
      </c>
      <c r="AQ72" s="851">
        <f t="shared" ref="AQ72:AV81" si="73">$AQ$70*AQ4</f>
        <v>0</v>
      </c>
      <c r="AR72" s="851">
        <f t="shared" si="73"/>
        <v>0</v>
      </c>
      <c r="AS72" s="851">
        <f t="shared" si="73"/>
        <v>0</v>
      </c>
      <c r="AT72" s="851">
        <f t="shared" si="73"/>
        <v>0</v>
      </c>
      <c r="AU72" s="851">
        <f t="shared" si="73"/>
        <v>0</v>
      </c>
      <c r="AV72" s="851">
        <f t="shared" si="73"/>
        <v>0</v>
      </c>
      <c r="AW72" s="851">
        <f t="shared" ref="AW72:BB81" si="74">$AW$70*AW4</f>
        <v>0</v>
      </c>
      <c r="AX72" s="851">
        <f t="shared" si="74"/>
        <v>0</v>
      </c>
      <c r="AY72" s="851">
        <f t="shared" si="74"/>
        <v>0</v>
      </c>
      <c r="AZ72" s="851">
        <f t="shared" si="74"/>
        <v>0</v>
      </c>
      <c r="BA72" s="851">
        <f t="shared" si="74"/>
        <v>0</v>
      </c>
      <c r="BB72" s="851">
        <f t="shared" si="74"/>
        <v>0</v>
      </c>
      <c r="BC72" s="851">
        <f t="shared" ref="BC72:BH81" si="75">$BC$70*BC4</f>
        <v>0</v>
      </c>
      <c r="BD72" s="851">
        <f t="shared" si="75"/>
        <v>0</v>
      </c>
      <c r="BE72" s="851">
        <f t="shared" si="75"/>
        <v>0</v>
      </c>
      <c r="BF72" s="851">
        <f t="shared" si="75"/>
        <v>0</v>
      </c>
      <c r="BG72" s="851">
        <f t="shared" si="75"/>
        <v>0</v>
      </c>
      <c r="BH72" s="851">
        <f t="shared" si="75"/>
        <v>0</v>
      </c>
      <c r="BI72" s="851">
        <f t="shared" ref="BI72:BN81" si="76">$BI$70*BI4</f>
        <v>0</v>
      </c>
      <c r="BJ72" s="851">
        <f t="shared" si="76"/>
        <v>0</v>
      </c>
      <c r="BK72" s="851">
        <f t="shared" si="76"/>
        <v>0</v>
      </c>
      <c r="BL72" s="851">
        <f t="shared" si="76"/>
        <v>0</v>
      </c>
      <c r="BM72" s="851">
        <f t="shared" si="76"/>
        <v>0</v>
      </c>
      <c r="BN72" s="851">
        <f t="shared" si="76"/>
        <v>0</v>
      </c>
      <c r="BO72" s="851">
        <f t="shared" ref="BO72:BT81" si="77">$BO$70*BO4</f>
        <v>0</v>
      </c>
      <c r="BP72" s="851">
        <f t="shared" si="77"/>
        <v>0</v>
      </c>
      <c r="BQ72" s="851">
        <f t="shared" si="77"/>
        <v>0</v>
      </c>
      <c r="BR72" s="851">
        <f t="shared" si="77"/>
        <v>0</v>
      </c>
      <c r="BS72" s="851">
        <f t="shared" si="77"/>
        <v>0</v>
      </c>
      <c r="BT72" s="851">
        <f t="shared" si="77"/>
        <v>0</v>
      </c>
      <c r="BU72" s="851">
        <f t="shared" ref="BU72:BZ81" si="78">$BU$70*BU4</f>
        <v>0</v>
      </c>
      <c r="BV72" s="851">
        <f t="shared" si="78"/>
        <v>0</v>
      </c>
      <c r="BW72" s="851">
        <f t="shared" si="78"/>
        <v>0</v>
      </c>
      <c r="BX72" s="851">
        <f t="shared" si="78"/>
        <v>0</v>
      </c>
      <c r="BY72" s="851">
        <f t="shared" si="78"/>
        <v>0</v>
      </c>
      <c r="BZ72" s="851">
        <f t="shared" si="78"/>
        <v>0</v>
      </c>
      <c r="CA72" s="14"/>
    </row>
    <row r="73" spans="5:79" ht="15">
      <c r="E73" s="920" t="s">
        <v>928</v>
      </c>
      <c r="F73" s="921">
        <f t="shared" si="66"/>
        <v>0</v>
      </c>
      <c r="G73" s="851">
        <f t="shared" si="67"/>
        <v>0</v>
      </c>
      <c r="H73" s="851">
        <f t="shared" si="67"/>
        <v>0</v>
      </c>
      <c r="I73" s="851">
        <f t="shared" si="67"/>
        <v>0</v>
      </c>
      <c r="J73" s="851">
        <f t="shared" si="67"/>
        <v>0</v>
      </c>
      <c r="K73" s="851">
        <f t="shared" si="67"/>
        <v>0</v>
      </c>
      <c r="L73" s="851">
        <f t="shared" si="67"/>
        <v>0</v>
      </c>
      <c r="M73" s="851">
        <f t="shared" si="68"/>
        <v>0</v>
      </c>
      <c r="N73" s="851">
        <f t="shared" si="68"/>
        <v>0</v>
      </c>
      <c r="O73" s="851">
        <f t="shared" si="68"/>
        <v>0</v>
      </c>
      <c r="P73" s="851">
        <f t="shared" si="68"/>
        <v>0</v>
      </c>
      <c r="Q73" s="851">
        <f t="shared" si="68"/>
        <v>0</v>
      </c>
      <c r="R73" s="851">
        <f t="shared" si="68"/>
        <v>0</v>
      </c>
      <c r="S73" s="851">
        <f t="shared" si="69"/>
        <v>0</v>
      </c>
      <c r="T73" s="851">
        <f t="shared" si="69"/>
        <v>0</v>
      </c>
      <c r="U73" s="851">
        <f t="shared" si="69"/>
        <v>0</v>
      </c>
      <c r="V73" s="851">
        <f t="shared" si="69"/>
        <v>0</v>
      </c>
      <c r="W73" s="851">
        <f t="shared" si="69"/>
        <v>0</v>
      </c>
      <c r="X73" s="851">
        <f t="shared" si="69"/>
        <v>0</v>
      </c>
      <c r="Y73" s="851">
        <f t="shared" si="70"/>
        <v>0</v>
      </c>
      <c r="Z73" s="851">
        <f t="shared" si="70"/>
        <v>0</v>
      </c>
      <c r="AA73" s="851">
        <f t="shared" si="70"/>
        <v>0</v>
      </c>
      <c r="AB73" s="851">
        <f t="shared" si="70"/>
        <v>0</v>
      </c>
      <c r="AC73" s="851">
        <f t="shared" si="70"/>
        <v>0</v>
      </c>
      <c r="AD73" s="851">
        <f t="shared" si="70"/>
        <v>0</v>
      </c>
      <c r="AE73" s="851">
        <f t="shared" si="71"/>
        <v>0</v>
      </c>
      <c r="AF73" s="851">
        <f t="shared" si="71"/>
        <v>0</v>
      </c>
      <c r="AG73" s="851">
        <f t="shared" si="71"/>
        <v>0</v>
      </c>
      <c r="AH73" s="851">
        <f t="shared" si="71"/>
        <v>0</v>
      </c>
      <c r="AI73" s="851">
        <f t="shared" si="71"/>
        <v>0</v>
      </c>
      <c r="AJ73" s="851">
        <f t="shared" si="71"/>
        <v>0</v>
      </c>
      <c r="AK73" s="851">
        <f t="shared" si="72"/>
        <v>0</v>
      </c>
      <c r="AL73" s="851">
        <f t="shared" si="72"/>
        <v>0</v>
      </c>
      <c r="AM73" s="851">
        <f t="shared" si="72"/>
        <v>0</v>
      </c>
      <c r="AN73" s="851">
        <f t="shared" si="72"/>
        <v>0</v>
      </c>
      <c r="AO73" s="851">
        <f t="shared" si="72"/>
        <v>0</v>
      </c>
      <c r="AP73" s="851">
        <f t="shared" si="72"/>
        <v>0</v>
      </c>
      <c r="AQ73" s="851">
        <f t="shared" si="73"/>
        <v>0</v>
      </c>
      <c r="AR73" s="851">
        <f t="shared" si="73"/>
        <v>0</v>
      </c>
      <c r="AS73" s="851">
        <f t="shared" si="73"/>
        <v>0</v>
      </c>
      <c r="AT73" s="851">
        <f t="shared" si="73"/>
        <v>0</v>
      </c>
      <c r="AU73" s="851">
        <f t="shared" si="73"/>
        <v>0</v>
      </c>
      <c r="AV73" s="851">
        <f t="shared" si="73"/>
        <v>0</v>
      </c>
      <c r="AW73" s="851">
        <f t="shared" si="74"/>
        <v>0</v>
      </c>
      <c r="AX73" s="851">
        <f t="shared" si="74"/>
        <v>0</v>
      </c>
      <c r="AY73" s="851">
        <f t="shared" si="74"/>
        <v>0</v>
      </c>
      <c r="AZ73" s="851">
        <f t="shared" si="74"/>
        <v>0</v>
      </c>
      <c r="BA73" s="851">
        <f t="shared" si="74"/>
        <v>0</v>
      </c>
      <c r="BB73" s="851">
        <f t="shared" si="74"/>
        <v>0</v>
      </c>
      <c r="BC73" s="851">
        <f t="shared" si="75"/>
        <v>0</v>
      </c>
      <c r="BD73" s="851">
        <f t="shared" si="75"/>
        <v>0</v>
      </c>
      <c r="BE73" s="851">
        <f t="shared" si="75"/>
        <v>0</v>
      </c>
      <c r="BF73" s="851">
        <f t="shared" si="75"/>
        <v>0</v>
      </c>
      <c r="BG73" s="851">
        <f t="shared" si="75"/>
        <v>0</v>
      </c>
      <c r="BH73" s="851">
        <f t="shared" si="75"/>
        <v>0</v>
      </c>
      <c r="BI73" s="851">
        <f t="shared" si="76"/>
        <v>0</v>
      </c>
      <c r="BJ73" s="851">
        <f t="shared" si="76"/>
        <v>0</v>
      </c>
      <c r="BK73" s="851">
        <f t="shared" si="76"/>
        <v>0</v>
      </c>
      <c r="BL73" s="851">
        <f t="shared" si="76"/>
        <v>0</v>
      </c>
      <c r="BM73" s="851">
        <f t="shared" si="76"/>
        <v>0</v>
      </c>
      <c r="BN73" s="851">
        <f t="shared" si="76"/>
        <v>0</v>
      </c>
      <c r="BO73" s="851">
        <f t="shared" si="77"/>
        <v>0</v>
      </c>
      <c r="BP73" s="851">
        <f t="shared" si="77"/>
        <v>0</v>
      </c>
      <c r="BQ73" s="851">
        <f t="shared" si="77"/>
        <v>0</v>
      </c>
      <c r="BR73" s="851">
        <f t="shared" si="77"/>
        <v>0</v>
      </c>
      <c r="BS73" s="851">
        <f t="shared" si="77"/>
        <v>0</v>
      </c>
      <c r="BT73" s="851">
        <f t="shared" si="77"/>
        <v>0</v>
      </c>
      <c r="BU73" s="851">
        <f t="shared" si="78"/>
        <v>0</v>
      </c>
      <c r="BV73" s="851">
        <f t="shared" si="78"/>
        <v>0</v>
      </c>
      <c r="BW73" s="851">
        <f t="shared" si="78"/>
        <v>0</v>
      </c>
      <c r="BX73" s="851">
        <f t="shared" si="78"/>
        <v>0</v>
      </c>
      <c r="BY73" s="851">
        <f t="shared" si="78"/>
        <v>0</v>
      </c>
      <c r="BZ73" s="851">
        <f t="shared" si="78"/>
        <v>0</v>
      </c>
      <c r="CA73" s="14"/>
    </row>
    <row r="74" spans="5:79" ht="15">
      <c r="E74" s="920" t="s">
        <v>929</v>
      </c>
      <c r="F74" s="921">
        <f t="shared" si="66"/>
        <v>0</v>
      </c>
      <c r="G74" s="851">
        <f t="shared" si="67"/>
        <v>0</v>
      </c>
      <c r="H74" s="851">
        <f t="shared" si="67"/>
        <v>0</v>
      </c>
      <c r="I74" s="851">
        <f t="shared" si="67"/>
        <v>0</v>
      </c>
      <c r="J74" s="851">
        <f t="shared" si="67"/>
        <v>0</v>
      </c>
      <c r="K74" s="851">
        <f t="shared" si="67"/>
        <v>0</v>
      </c>
      <c r="L74" s="851">
        <f t="shared" si="67"/>
        <v>0</v>
      </c>
      <c r="M74" s="851">
        <f t="shared" si="68"/>
        <v>0</v>
      </c>
      <c r="N74" s="851">
        <f t="shared" si="68"/>
        <v>0</v>
      </c>
      <c r="O74" s="851">
        <f t="shared" si="68"/>
        <v>0</v>
      </c>
      <c r="P74" s="851">
        <f t="shared" si="68"/>
        <v>0</v>
      </c>
      <c r="Q74" s="851">
        <f t="shared" si="68"/>
        <v>0</v>
      </c>
      <c r="R74" s="851">
        <f t="shared" si="68"/>
        <v>0</v>
      </c>
      <c r="S74" s="851">
        <f t="shared" si="69"/>
        <v>0</v>
      </c>
      <c r="T74" s="851">
        <f t="shared" si="69"/>
        <v>0</v>
      </c>
      <c r="U74" s="851">
        <f t="shared" si="69"/>
        <v>0</v>
      </c>
      <c r="V74" s="851">
        <f t="shared" si="69"/>
        <v>0</v>
      </c>
      <c r="W74" s="851">
        <f t="shared" si="69"/>
        <v>0</v>
      </c>
      <c r="X74" s="851">
        <f t="shared" si="69"/>
        <v>0</v>
      </c>
      <c r="Y74" s="851">
        <f t="shared" si="70"/>
        <v>0</v>
      </c>
      <c r="Z74" s="851">
        <f t="shared" si="70"/>
        <v>0</v>
      </c>
      <c r="AA74" s="851">
        <f t="shared" si="70"/>
        <v>0</v>
      </c>
      <c r="AB74" s="851">
        <f t="shared" si="70"/>
        <v>0</v>
      </c>
      <c r="AC74" s="851">
        <f t="shared" si="70"/>
        <v>0</v>
      </c>
      <c r="AD74" s="851">
        <f t="shared" si="70"/>
        <v>0</v>
      </c>
      <c r="AE74" s="851">
        <f t="shared" si="71"/>
        <v>0</v>
      </c>
      <c r="AF74" s="851">
        <f t="shared" si="71"/>
        <v>0</v>
      </c>
      <c r="AG74" s="851">
        <f t="shared" si="71"/>
        <v>0</v>
      </c>
      <c r="AH74" s="851">
        <f t="shared" si="71"/>
        <v>0</v>
      </c>
      <c r="AI74" s="851">
        <f t="shared" si="71"/>
        <v>0</v>
      </c>
      <c r="AJ74" s="851">
        <f t="shared" si="71"/>
        <v>0</v>
      </c>
      <c r="AK74" s="851">
        <f t="shared" si="72"/>
        <v>0</v>
      </c>
      <c r="AL74" s="851">
        <f t="shared" si="72"/>
        <v>0</v>
      </c>
      <c r="AM74" s="851">
        <f t="shared" si="72"/>
        <v>0</v>
      </c>
      <c r="AN74" s="851">
        <f t="shared" si="72"/>
        <v>0</v>
      </c>
      <c r="AO74" s="851">
        <f t="shared" si="72"/>
        <v>0</v>
      </c>
      <c r="AP74" s="851">
        <f t="shared" si="72"/>
        <v>0</v>
      </c>
      <c r="AQ74" s="851">
        <f t="shared" si="73"/>
        <v>0</v>
      </c>
      <c r="AR74" s="851">
        <f t="shared" si="73"/>
        <v>0</v>
      </c>
      <c r="AS74" s="851">
        <f t="shared" si="73"/>
        <v>0</v>
      </c>
      <c r="AT74" s="851">
        <f t="shared" si="73"/>
        <v>0</v>
      </c>
      <c r="AU74" s="851">
        <f t="shared" si="73"/>
        <v>0</v>
      </c>
      <c r="AV74" s="851">
        <f t="shared" si="73"/>
        <v>0</v>
      </c>
      <c r="AW74" s="851">
        <f t="shared" si="74"/>
        <v>0</v>
      </c>
      <c r="AX74" s="851">
        <f t="shared" si="74"/>
        <v>0</v>
      </c>
      <c r="AY74" s="851">
        <f t="shared" si="74"/>
        <v>0</v>
      </c>
      <c r="AZ74" s="851">
        <f t="shared" si="74"/>
        <v>0</v>
      </c>
      <c r="BA74" s="851">
        <f t="shared" si="74"/>
        <v>0</v>
      </c>
      <c r="BB74" s="851">
        <f t="shared" si="74"/>
        <v>0</v>
      </c>
      <c r="BC74" s="851">
        <f t="shared" si="75"/>
        <v>0</v>
      </c>
      <c r="BD74" s="851">
        <f t="shared" si="75"/>
        <v>0</v>
      </c>
      <c r="BE74" s="851">
        <f t="shared" si="75"/>
        <v>0</v>
      </c>
      <c r="BF74" s="851">
        <f t="shared" si="75"/>
        <v>0</v>
      </c>
      <c r="BG74" s="851">
        <f t="shared" si="75"/>
        <v>0</v>
      </c>
      <c r="BH74" s="851">
        <f t="shared" si="75"/>
        <v>0</v>
      </c>
      <c r="BI74" s="851">
        <f t="shared" si="76"/>
        <v>0</v>
      </c>
      <c r="BJ74" s="851">
        <f t="shared" si="76"/>
        <v>0</v>
      </c>
      <c r="BK74" s="851">
        <f t="shared" si="76"/>
        <v>0</v>
      </c>
      <c r="BL74" s="851">
        <f t="shared" si="76"/>
        <v>0</v>
      </c>
      <c r="BM74" s="851">
        <f t="shared" si="76"/>
        <v>0</v>
      </c>
      <c r="BN74" s="851">
        <f t="shared" si="76"/>
        <v>0</v>
      </c>
      <c r="BO74" s="851">
        <f t="shared" si="77"/>
        <v>0</v>
      </c>
      <c r="BP74" s="851">
        <f t="shared" si="77"/>
        <v>0</v>
      </c>
      <c r="BQ74" s="851">
        <f t="shared" si="77"/>
        <v>0</v>
      </c>
      <c r="BR74" s="851">
        <f t="shared" si="77"/>
        <v>0</v>
      </c>
      <c r="BS74" s="851">
        <f t="shared" si="77"/>
        <v>0</v>
      </c>
      <c r="BT74" s="851">
        <f t="shared" si="77"/>
        <v>0</v>
      </c>
      <c r="BU74" s="851">
        <f t="shared" si="78"/>
        <v>0</v>
      </c>
      <c r="BV74" s="851">
        <f t="shared" si="78"/>
        <v>0</v>
      </c>
      <c r="BW74" s="851">
        <f t="shared" si="78"/>
        <v>0</v>
      </c>
      <c r="BX74" s="851">
        <f t="shared" si="78"/>
        <v>0</v>
      </c>
      <c r="BY74" s="851">
        <f t="shared" si="78"/>
        <v>0</v>
      </c>
      <c r="BZ74" s="851">
        <f t="shared" si="78"/>
        <v>0</v>
      </c>
      <c r="CA74" s="14"/>
    </row>
    <row r="75" spans="5:79" ht="15">
      <c r="E75" s="920" t="s">
        <v>930</v>
      </c>
      <c r="F75" s="921">
        <f t="shared" si="66"/>
        <v>0</v>
      </c>
      <c r="G75" s="851">
        <f t="shared" si="67"/>
        <v>0</v>
      </c>
      <c r="H75" s="851">
        <f t="shared" si="67"/>
        <v>0</v>
      </c>
      <c r="I75" s="851">
        <f t="shared" si="67"/>
        <v>0</v>
      </c>
      <c r="J75" s="851">
        <f t="shared" si="67"/>
        <v>0</v>
      </c>
      <c r="K75" s="851">
        <f t="shared" si="67"/>
        <v>0</v>
      </c>
      <c r="L75" s="851">
        <f t="shared" si="67"/>
        <v>0</v>
      </c>
      <c r="M75" s="851">
        <f t="shared" si="68"/>
        <v>0</v>
      </c>
      <c r="N75" s="851">
        <f t="shared" si="68"/>
        <v>0</v>
      </c>
      <c r="O75" s="851">
        <f t="shared" si="68"/>
        <v>0</v>
      </c>
      <c r="P75" s="851">
        <f t="shared" si="68"/>
        <v>0</v>
      </c>
      <c r="Q75" s="851">
        <f t="shared" si="68"/>
        <v>0</v>
      </c>
      <c r="R75" s="851">
        <f t="shared" si="68"/>
        <v>0</v>
      </c>
      <c r="S75" s="851">
        <f t="shared" si="69"/>
        <v>0</v>
      </c>
      <c r="T75" s="851">
        <f t="shared" si="69"/>
        <v>0</v>
      </c>
      <c r="U75" s="851">
        <f t="shared" si="69"/>
        <v>0</v>
      </c>
      <c r="V75" s="851">
        <f t="shared" si="69"/>
        <v>0</v>
      </c>
      <c r="W75" s="851">
        <f t="shared" si="69"/>
        <v>0</v>
      </c>
      <c r="X75" s="851">
        <f t="shared" si="69"/>
        <v>0</v>
      </c>
      <c r="Y75" s="851">
        <f t="shared" si="70"/>
        <v>0</v>
      </c>
      <c r="Z75" s="851">
        <f t="shared" si="70"/>
        <v>0</v>
      </c>
      <c r="AA75" s="851">
        <f t="shared" si="70"/>
        <v>0</v>
      </c>
      <c r="AB75" s="851">
        <f t="shared" si="70"/>
        <v>0</v>
      </c>
      <c r="AC75" s="851">
        <f t="shared" si="70"/>
        <v>0</v>
      </c>
      <c r="AD75" s="851">
        <f t="shared" si="70"/>
        <v>0</v>
      </c>
      <c r="AE75" s="851">
        <f t="shared" si="71"/>
        <v>0</v>
      </c>
      <c r="AF75" s="851">
        <f t="shared" si="71"/>
        <v>0</v>
      </c>
      <c r="AG75" s="851">
        <f t="shared" si="71"/>
        <v>0</v>
      </c>
      <c r="AH75" s="851">
        <f t="shared" si="71"/>
        <v>0</v>
      </c>
      <c r="AI75" s="851">
        <f t="shared" si="71"/>
        <v>0</v>
      </c>
      <c r="AJ75" s="851">
        <f t="shared" si="71"/>
        <v>0</v>
      </c>
      <c r="AK75" s="851">
        <f t="shared" si="72"/>
        <v>0</v>
      </c>
      <c r="AL75" s="851">
        <f t="shared" si="72"/>
        <v>0</v>
      </c>
      <c r="AM75" s="851">
        <f t="shared" si="72"/>
        <v>0</v>
      </c>
      <c r="AN75" s="851">
        <f t="shared" si="72"/>
        <v>0</v>
      </c>
      <c r="AO75" s="851">
        <f t="shared" si="72"/>
        <v>0</v>
      </c>
      <c r="AP75" s="851">
        <f t="shared" si="72"/>
        <v>0</v>
      </c>
      <c r="AQ75" s="851">
        <f t="shared" si="73"/>
        <v>0</v>
      </c>
      <c r="AR75" s="851">
        <f t="shared" si="73"/>
        <v>0</v>
      </c>
      <c r="AS75" s="851">
        <f t="shared" si="73"/>
        <v>0</v>
      </c>
      <c r="AT75" s="851">
        <f t="shared" si="73"/>
        <v>0</v>
      </c>
      <c r="AU75" s="851">
        <f t="shared" si="73"/>
        <v>0</v>
      </c>
      <c r="AV75" s="851">
        <f t="shared" si="73"/>
        <v>0</v>
      </c>
      <c r="AW75" s="851">
        <f t="shared" si="74"/>
        <v>0</v>
      </c>
      <c r="AX75" s="851">
        <f t="shared" si="74"/>
        <v>0</v>
      </c>
      <c r="AY75" s="851">
        <f t="shared" si="74"/>
        <v>0</v>
      </c>
      <c r="AZ75" s="851">
        <f t="shared" si="74"/>
        <v>0</v>
      </c>
      <c r="BA75" s="851">
        <f t="shared" si="74"/>
        <v>0</v>
      </c>
      <c r="BB75" s="851">
        <f t="shared" si="74"/>
        <v>0</v>
      </c>
      <c r="BC75" s="851">
        <f t="shared" si="75"/>
        <v>0</v>
      </c>
      <c r="BD75" s="851">
        <f t="shared" si="75"/>
        <v>0</v>
      </c>
      <c r="BE75" s="851">
        <f t="shared" si="75"/>
        <v>0</v>
      </c>
      <c r="BF75" s="851">
        <f t="shared" si="75"/>
        <v>0</v>
      </c>
      <c r="BG75" s="851">
        <f t="shared" si="75"/>
        <v>0</v>
      </c>
      <c r="BH75" s="851">
        <f t="shared" si="75"/>
        <v>0</v>
      </c>
      <c r="BI75" s="851">
        <f t="shared" si="76"/>
        <v>0</v>
      </c>
      <c r="BJ75" s="851">
        <f t="shared" si="76"/>
        <v>0</v>
      </c>
      <c r="BK75" s="851">
        <f t="shared" si="76"/>
        <v>0</v>
      </c>
      <c r="BL75" s="851">
        <f t="shared" si="76"/>
        <v>0</v>
      </c>
      <c r="BM75" s="851">
        <f t="shared" si="76"/>
        <v>0</v>
      </c>
      <c r="BN75" s="851">
        <f t="shared" si="76"/>
        <v>0</v>
      </c>
      <c r="BO75" s="851">
        <f t="shared" si="77"/>
        <v>0</v>
      </c>
      <c r="BP75" s="851">
        <f t="shared" si="77"/>
        <v>0</v>
      </c>
      <c r="BQ75" s="851">
        <f t="shared" si="77"/>
        <v>0</v>
      </c>
      <c r="BR75" s="851">
        <f t="shared" si="77"/>
        <v>0</v>
      </c>
      <c r="BS75" s="851">
        <f t="shared" si="77"/>
        <v>0</v>
      </c>
      <c r="BT75" s="851">
        <f t="shared" si="77"/>
        <v>0</v>
      </c>
      <c r="BU75" s="851">
        <f t="shared" si="78"/>
        <v>0</v>
      </c>
      <c r="BV75" s="851">
        <f t="shared" si="78"/>
        <v>0</v>
      </c>
      <c r="BW75" s="851">
        <f t="shared" si="78"/>
        <v>0</v>
      </c>
      <c r="BX75" s="851">
        <f t="shared" si="78"/>
        <v>0</v>
      </c>
      <c r="BY75" s="851">
        <f t="shared" si="78"/>
        <v>0</v>
      </c>
      <c r="BZ75" s="851">
        <f t="shared" si="78"/>
        <v>0</v>
      </c>
      <c r="CA75" s="14"/>
    </row>
    <row r="76" spans="5:79" ht="15">
      <c r="E76" s="920" t="s">
        <v>931</v>
      </c>
      <c r="F76" s="921">
        <f t="shared" si="66"/>
        <v>0</v>
      </c>
      <c r="G76" s="851">
        <f t="shared" si="67"/>
        <v>0</v>
      </c>
      <c r="H76" s="851">
        <f t="shared" si="67"/>
        <v>0</v>
      </c>
      <c r="I76" s="851">
        <f t="shared" si="67"/>
        <v>0</v>
      </c>
      <c r="J76" s="851">
        <f t="shared" si="67"/>
        <v>0</v>
      </c>
      <c r="K76" s="851">
        <f t="shared" si="67"/>
        <v>0</v>
      </c>
      <c r="L76" s="851">
        <f t="shared" si="67"/>
        <v>0</v>
      </c>
      <c r="M76" s="851">
        <f t="shared" si="68"/>
        <v>0</v>
      </c>
      <c r="N76" s="851">
        <f t="shared" si="68"/>
        <v>0</v>
      </c>
      <c r="O76" s="851">
        <f t="shared" si="68"/>
        <v>0</v>
      </c>
      <c r="P76" s="851">
        <f t="shared" si="68"/>
        <v>0</v>
      </c>
      <c r="Q76" s="851">
        <f t="shared" si="68"/>
        <v>0</v>
      </c>
      <c r="R76" s="851">
        <f t="shared" si="68"/>
        <v>0</v>
      </c>
      <c r="S76" s="851">
        <f t="shared" si="69"/>
        <v>0</v>
      </c>
      <c r="T76" s="851">
        <f t="shared" si="69"/>
        <v>0</v>
      </c>
      <c r="U76" s="851">
        <f t="shared" si="69"/>
        <v>0</v>
      </c>
      <c r="V76" s="851">
        <f t="shared" si="69"/>
        <v>0</v>
      </c>
      <c r="W76" s="851">
        <f t="shared" si="69"/>
        <v>0</v>
      </c>
      <c r="X76" s="851">
        <f t="shared" si="69"/>
        <v>0</v>
      </c>
      <c r="Y76" s="851">
        <f t="shared" si="70"/>
        <v>0</v>
      </c>
      <c r="Z76" s="851">
        <f t="shared" si="70"/>
        <v>0</v>
      </c>
      <c r="AA76" s="851">
        <f t="shared" si="70"/>
        <v>0</v>
      </c>
      <c r="AB76" s="851">
        <f t="shared" si="70"/>
        <v>0</v>
      </c>
      <c r="AC76" s="851">
        <f t="shared" si="70"/>
        <v>0</v>
      </c>
      <c r="AD76" s="851">
        <f t="shared" si="70"/>
        <v>0</v>
      </c>
      <c r="AE76" s="851">
        <f t="shared" si="71"/>
        <v>0</v>
      </c>
      <c r="AF76" s="851">
        <f t="shared" si="71"/>
        <v>0</v>
      </c>
      <c r="AG76" s="851">
        <f t="shared" si="71"/>
        <v>0</v>
      </c>
      <c r="AH76" s="851">
        <f t="shared" si="71"/>
        <v>0</v>
      </c>
      <c r="AI76" s="851">
        <f t="shared" si="71"/>
        <v>0</v>
      </c>
      <c r="AJ76" s="851">
        <f t="shared" si="71"/>
        <v>0</v>
      </c>
      <c r="AK76" s="851">
        <f t="shared" si="72"/>
        <v>0</v>
      </c>
      <c r="AL76" s="851">
        <f t="shared" si="72"/>
        <v>0</v>
      </c>
      <c r="AM76" s="851">
        <f t="shared" si="72"/>
        <v>0</v>
      </c>
      <c r="AN76" s="851">
        <f t="shared" si="72"/>
        <v>0</v>
      </c>
      <c r="AO76" s="851">
        <f t="shared" si="72"/>
        <v>0</v>
      </c>
      <c r="AP76" s="851">
        <f t="shared" si="72"/>
        <v>0</v>
      </c>
      <c r="AQ76" s="851">
        <f t="shared" si="73"/>
        <v>0</v>
      </c>
      <c r="AR76" s="851">
        <f t="shared" si="73"/>
        <v>0</v>
      </c>
      <c r="AS76" s="851">
        <f t="shared" si="73"/>
        <v>0</v>
      </c>
      <c r="AT76" s="851">
        <f t="shared" si="73"/>
        <v>0</v>
      </c>
      <c r="AU76" s="851">
        <f t="shared" si="73"/>
        <v>0</v>
      </c>
      <c r="AV76" s="851">
        <f t="shared" si="73"/>
        <v>0</v>
      </c>
      <c r="AW76" s="851">
        <f t="shared" si="74"/>
        <v>0</v>
      </c>
      <c r="AX76" s="851">
        <f t="shared" si="74"/>
        <v>0</v>
      </c>
      <c r="AY76" s="851">
        <f t="shared" si="74"/>
        <v>0</v>
      </c>
      <c r="AZ76" s="851">
        <f t="shared" si="74"/>
        <v>0</v>
      </c>
      <c r="BA76" s="851">
        <f t="shared" si="74"/>
        <v>0</v>
      </c>
      <c r="BB76" s="851">
        <f t="shared" si="74"/>
        <v>0</v>
      </c>
      <c r="BC76" s="851">
        <f t="shared" si="75"/>
        <v>0</v>
      </c>
      <c r="BD76" s="851">
        <f t="shared" si="75"/>
        <v>0</v>
      </c>
      <c r="BE76" s="851">
        <f t="shared" si="75"/>
        <v>0</v>
      </c>
      <c r="BF76" s="851">
        <f t="shared" si="75"/>
        <v>0</v>
      </c>
      <c r="BG76" s="851">
        <f t="shared" si="75"/>
        <v>0</v>
      </c>
      <c r="BH76" s="851">
        <f t="shared" si="75"/>
        <v>0</v>
      </c>
      <c r="BI76" s="851">
        <f t="shared" si="76"/>
        <v>0</v>
      </c>
      <c r="BJ76" s="851">
        <f t="shared" si="76"/>
        <v>0</v>
      </c>
      <c r="BK76" s="851">
        <f t="shared" si="76"/>
        <v>0</v>
      </c>
      <c r="BL76" s="851">
        <f t="shared" si="76"/>
        <v>0</v>
      </c>
      <c r="BM76" s="851">
        <f t="shared" si="76"/>
        <v>0</v>
      </c>
      <c r="BN76" s="851">
        <f t="shared" si="76"/>
        <v>0</v>
      </c>
      <c r="BO76" s="851">
        <f t="shared" si="77"/>
        <v>0</v>
      </c>
      <c r="BP76" s="851">
        <f t="shared" si="77"/>
        <v>0</v>
      </c>
      <c r="BQ76" s="851">
        <f t="shared" si="77"/>
        <v>0</v>
      </c>
      <c r="BR76" s="851">
        <f t="shared" si="77"/>
        <v>0</v>
      </c>
      <c r="BS76" s="851">
        <f t="shared" si="77"/>
        <v>0</v>
      </c>
      <c r="BT76" s="851">
        <f t="shared" si="77"/>
        <v>0</v>
      </c>
      <c r="BU76" s="851">
        <f t="shared" si="78"/>
        <v>0</v>
      </c>
      <c r="BV76" s="851">
        <f t="shared" si="78"/>
        <v>0</v>
      </c>
      <c r="BW76" s="851">
        <f t="shared" si="78"/>
        <v>0</v>
      </c>
      <c r="BX76" s="851">
        <f t="shared" si="78"/>
        <v>0</v>
      </c>
      <c r="BY76" s="851">
        <f t="shared" si="78"/>
        <v>0</v>
      </c>
      <c r="BZ76" s="851">
        <f t="shared" si="78"/>
        <v>0</v>
      </c>
      <c r="CA76" s="14"/>
    </row>
    <row r="77" spans="5:79" ht="15">
      <c r="E77" s="920" t="s">
        <v>932</v>
      </c>
      <c r="F77" s="921">
        <f t="shared" si="66"/>
        <v>0</v>
      </c>
      <c r="G77" s="851">
        <f t="shared" si="67"/>
        <v>0</v>
      </c>
      <c r="H77" s="851">
        <f t="shared" si="67"/>
        <v>0</v>
      </c>
      <c r="I77" s="851">
        <f t="shared" si="67"/>
        <v>0</v>
      </c>
      <c r="J77" s="851">
        <f t="shared" si="67"/>
        <v>0</v>
      </c>
      <c r="K77" s="851">
        <f t="shared" si="67"/>
        <v>0</v>
      </c>
      <c r="L77" s="851">
        <f t="shared" si="67"/>
        <v>0</v>
      </c>
      <c r="M77" s="851">
        <f t="shared" si="68"/>
        <v>0</v>
      </c>
      <c r="N77" s="851">
        <f t="shared" si="68"/>
        <v>0</v>
      </c>
      <c r="O77" s="851">
        <f t="shared" si="68"/>
        <v>0</v>
      </c>
      <c r="P77" s="851">
        <f t="shared" si="68"/>
        <v>0</v>
      </c>
      <c r="Q77" s="851">
        <f t="shared" si="68"/>
        <v>0</v>
      </c>
      <c r="R77" s="851">
        <f t="shared" si="68"/>
        <v>0</v>
      </c>
      <c r="S77" s="851">
        <f t="shared" si="69"/>
        <v>0</v>
      </c>
      <c r="T77" s="851">
        <f t="shared" si="69"/>
        <v>0</v>
      </c>
      <c r="U77" s="851">
        <f t="shared" si="69"/>
        <v>0</v>
      </c>
      <c r="V77" s="851">
        <f t="shared" si="69"/>
        <v>0</v>
      </c>
      <c r="W77" s="851">
        <f t="shared" si="69"/>
        <v>0</v>
      </c>
      <c r="X77" s="851">
        <f t="shared" si="69"/>
        <v>0</v>
      </c>
      <c r="Y77" s="851">
        <f t="shared" si="70"/>
        <v>0</v>
      </c>
      <c r="Z77" s="851">
        <f t="shared" si="70"/>
        <v>0</v>
      </c>
      <c r="AA77" s="851">
        <f t="shared" si="70"/>
        <v>0</v>
      </c>
      <c r="AB77" s="851">
        <f t="shared" si="70"/>
        <v>0</v>
      </c>
      <c r="AC77" s="851">
        <f t="shared" si="70"/>
        <v>0</v>
      </c>
      <c r="AD77" s="851">
        <f t="shared" si="70"/>
        <v>0</v>
      </c>
      <c r="AE77" s="851">
        <f t="shared" si="71"/>
        <v>0</v>
      </c>
      <c r="AF77" s="851">
        <f t="shared" si="71"/>
        <v>0</v>
      </c>
      <c r="AG77" s="851">
        <f t="shared" si="71"/>
        <v>0</v>
      </c>
      <c r="AH77" s="851">
        <f t="shared" si="71"/>
        <v>0</v>
      </c>
      <c r="AI77" s="851">
        <f t="shared" si="71"/>
        <v>0</v>
      </c>
      <c r="AJ77" s="851">
        <f t="shared" si="71"/>
        <v>0</v>
      </c>
      <c r="AK77" s="851">
        <f t="shared" si="72"/>
        <v>0</v>
      </c>
      <c r="AL77" s="851">
        <f t="shared" si="72"/>
        <v>0</v>
      </c>
      <c r="AM77" s="851">
        <f t="shared" si="72"/>
        <v>0</v>
      </c>
      <c r="AN77" s="851">
        <f t="shared" si="72"/>
        <v>0</v>
      </c>
      <c r="AO77" s="851">
        <f t="shared" si="72"/>
        <v>0</v>
      </c>
      <c r="AP77" s="851">
        <f t="shared" si="72"/>
        <v>0</v>
      </c>
      <c r="AQ77" s="851">
        <f t="shared" si="73"/>
        <v>0</v>
      </c>
      <c r="AR77" s="851">
        <f t="shared" si="73"/>
        <v>0</v>
      </c>
      <c r="AS77" s="851">
        <f t="shared" si="73"/>
        <v>0</v>
      </c>
      <c r="AT77" s="851">
        <f t="shared" si="73"/>
        <v>0</v>
      </c>
      <c r="AU77" s="851">
        <f t="shared" si="73"/>
        <v>0</v>
      </c>
      <c r="AV77" s="851">
        <f t="shared" si="73"/>
        <v>0</v>
      </c>
      <c r="AW77" s="851">
        <f t="shared" si="74"/>
        <v>0</v>
      </c>
      <c r="AX77" s="851">
        <f t="shared" si="74"/>
        <v>0</v>
      </c>
      <c r="AY77" s="851">
        <f t="shared" si="74"/>
        <v>0</v>
      </c>
      <c r="AZ77" s="851">
        <f t="shared" si="74"/>
        <v>0</v>
      </c>
      <c r="BA77" s="851">
        <f t="shared" si="74"/>
        <v>0</v>
      </c>
      <c r="BB77" s="851">
        <f t="shared" si="74"/>
        <v>0</v>
      </c>
      <c r="BC77" s="851">
        <f t="shared" si="75"/>
        <v>0</v>
      </c>
      <c r="BD77" s="851">
        <f t="shared" si="75"/>
        <v>0</v>
      </c>
      <c r="BE77" s="851">
        <f t="shared" si="75"/>
        <v>0</v>
      </c>
      <c r="BF77" s="851">
        <f t="shared" si="75"/>
        <v>0</v>
      </c>
      <c r="BG77" s="851">
        <f t="shared" si="75"/>
        <v>0</v>
      </c>
      <c r="BH77" s="851">
        <f t="shared" si="75"/>
        <v>0</v>
      </c>
      <c r="BI77" s="851">
        <f t="shared" si="76"/>
        <v>0</v>
      </c>
      <c r="BJ77" s="851">
        <f t="shared" si="76"/>
        <v>0</v>
      </c>
      <c r="BK77" s="851">
        <f t="shared" si="76"/>
        <v>0</v>
      </c>
      <c r="BL77" s="851">
        <f t="shared" si="76"/>
        <v>0</v>
      </c>
      <c r="BM77" s="851">
        <f t="shared" si="76"/>
        <v>0</v>
      </c>
      <c r="BN77" s="851">
        <f t="shared" si="76"/>
        <v>0</v>
      </c>
      <c r="BO77" s="851">
        <f t="shared" si="77"/>
        <v>0</v>
      </c>
      <c r="BP77" s="851">
        <f t="shared" si="77"/>
        <v>0</v>
      </c>
      <c r="BQ77" s="851">
        <f t="shared" si="77"/>
        <v>0</v>
      </c>
      <c r="BR77" s="851">
        <f t="shared" si="77"/>
        <v>0</v>
      </c>
      <c r="BS77" s="851">
        <f t="shared" si="77"/>
        <v>0</v>
      </c>
      <c r="BT77" s="851">
        <f t="shared" si="77"/>
        <v>0</v>
      </c>
      <c r="BU77" s="851">
        <f t="shared" si="78"/>
        <v>0</v>
      </c>
      <c r="BV77" s="851">
        <f t="shared" si="78"/>
        <v>0</v>
      </c>
      <c r="BW77" s="851">
        <f t="shared" si="78"/>
        <v>0</v>
      </c>
      <c r="BX77" s="851">
        <f t="shared" si="78"/>
        <v>0</v>
      </c>
      <c r="BY77" s="851">
        <f t="shared" si="78"/>
        <v>0</v>
      </c>
      <c r="BZ77" s="851">
        <f t="shared" si="78"/>
        <v>0</v>
      </c>
      <c r="CA77" s="14"/>
    </row>
    <row r="78" spans="5:79" ht="15">
      <c r="E78" s="920" t="s">
        <v>933</v>
      </c>
      <c r="F78" s="921">
        <f t="shared" si="66"/>
        <v>0</v>
      </c>
      <c r="G78" s="851">
        <f t="shared" si="67"/>
        <v>0</v>
      </c>
      <c r="H78" s="851">
        <f t="shared" si="67"/>
        <v>0</v>
      </c>
      <c r="I78" s="851">
        <f t="shared" si="67"/>
        <v>0</v>
      </c>
      <c r="J78" s="851">
        <f t="shared" si="67"/>
        <v>0</v>
      </c>
      <c r="K78" s="851">
        <f t="shared" si="67"/>
        <v>0</v>
      </c>
      <c r="L78" s="851">
        <f t="shared" si="67"/>
        <v>0</v>
      </c>
      <c r="M78" s="851">
        <f t="shared" si="68"/>
        <v>0</v>
      </c>
      <c r="N78" s="851">
        <f t="shared" si="68"/>
        <v>0</v>
      </c>
      <c r="O78" s="851">
        <f t="shared" si="68"/>
        <v>0</v>
      </c>
      <c r="P78" s="851">
        <f t="shared" si="68"/>
        <v>0</v>
      </c>
      <c r="Q78" s="851">
        <f t="shared" si="68"/>
        <v>0</v>
      </c>
      <c r="R78" s="851">
        <f t="shared" si="68"/>
        <v>0</v>
      </c>
      <c r="S78" s="851">
        <f t="shared" si="69"/>
        <v>0</v>
      </c>
      <c r="T78" s="851">
        <f t="shared" si="69"/>
        <v>0</v>
      </c>
      <c r="U78" s="851">
        <f t="shared" si="69"/>
        <v>0</v>
      </c>
      <c r="V78" s="851">
        <f t="shared" si="69"/>
        <v>0</v>
      </c>
      <c r="W78" s="851">
        <f t="shared" si="69"/>
        <v>0</v>
      </c>
      <c r="X78" s="851">
        <f t="shared" si="69"/>
        <v>0</v>
      </c>
      <c r="Y78" s="851">
        <f t="shared" si="70"/>
        <v>0</v>
      </c>
      <c r="Z78" s="851">
        <f t="shared" si="70"/>
        <v>0</v>
      </c>
      <c r="AA78" s="851">
        <f t="shared" si="70"/>
        <v>0</v>
      </c>
      <c r="AB78" s="851">
        <f t="shared" si="70"/>
        <v>0</v>
      </c>
      <c r="AC78" s="851">
        <f t="shared" si="70"/>
        <v>0</v>
      </c>
      <c r="AD78" s="851">
        <f t="shared" si="70"/>
        <v>0</v>
      </c>
      <c r="AE78" s="851">
        <f t="shared" si="71"/>
        <v>0</v>
      </c>
      <c r="AF78" s="851">
        <f t="shared" si="71"/>
        <v>0</v>
      </c>
      <c r="AG78" s="851">
        <f t="shared" si="71"/>
        <v>0</v>
      </c>
      <c r="AH78" s="851">
        <f t="shared" si="71"/>
        <v>0</v>
      </c>
      <c r="AI78" s="851">
        <f t="shared" si="71"/>
        <v>0</v>
      </c>
      <c r="AJ78" s="851">
        <f t="shared" si="71"/>
        <v>0</v>
      </c>
      <c r="AK78" s="851">
        <f t="shared" si="72"/>
        <v>0</v>
      </c>
      <c r="AL78" s="851">
        <f t="shared" si="72"/>
        <v>0</v>
      </c>
      <c r="AM78" s="851">
        <f t="shared" si="72"/>
        <v>0</v>
      </c>
      <c r="AN78" s="851">
        <f t="shared" si="72"/>
        <v>0</v>
      </c>
      <c r="AO78" s="851">
        <f t="shared" si="72"/>
        <v>0</v>
      </c>
      <c r="AP78" s="851">
        <f t="shared" si="72"/>
        <v>0</v>
      </c>
      <c r="AQ78" s="851">
        <f t="shared" si="73"/>
        <v>0</v>
      </c>
      <c r="AR78" s="851">
        <f t="shared" si="73"/>
        <v>0</v>
      </c>
      <c r="AS78" s="851">
        <f t="shared" si="73"/>
        <v>0</v>
      </c>
      <c r="AT78" s="851">
        <f t="shared" si="73"/>
        <v>0</v>
      </c>
      <c r="AU78" s="851">
        <f t="shared" si="73"/>
        <v>0</v>
      </c>
      <c r="AV78" s="851">
        <f t="shared" si="73"/>
        <v>0</v>
      </c>
      <c r="AW78" s="851">
        <f t="shared" si="74"/>
        <v>0</v>
      </c>
      <c r="AX78" s="851">
        <f t="shared" si="74"/>
        <v>0</v>
      </c>
      <c r="AY78" s="851">
        <f t="shared" si="74"/>
        <v>0</v>
      </c>
      <c r="AZ78" s="851">
        <f t="shared" si="74"/>
        <v>0</v>
      </c>
      <c r="BA78" s="851">
        <f t="shared" si="74"/>
        <v>0</v>
      </c>
      <c r="BB78" s="851">
        <f t="shared" si="74"/>
        <v>0</v>
      </c>
      <c r="BC78" s="851">
        <f t="shared" si="75"/>
        <v>0</v>
      </c>
      <c r="BD78" s="851">
        <f t="shared" si="75"/>
        <v>0</v>
      </c>
      <c r="BE78" s="851">
        <f t="shared" si="75"/>
        <v>0</v>
      </c>
      <c r="BF78" s="851">
        <f t="shared" si="75"/>
        <v>0</v>
      </c>
      <c r="BG78" s="851">
        <f t="shared" si="75"/>
        <v>0</v>
      </c>
      <c r="BH78" s="851">
        <f t="shared" si="75"/>
        <v>0</v>
      </c>
      <c r="BI78" s="851">
        <f t="shared" si="76"/>
        <v>0</v>
      </c>
      <c r="BJ78" s="851">
        <f t="shared" si="76"/>
        <v>0</v>
      </c>
      <c r="BK78" s="851">
        <f t="shared" si="76"/>
        <v>0</v>
      </c>
      <c r="BL78" s="851">
        <f t="shared" si="76"/>
        <v>0</v>
      </c>
      <c r="BM78" s="851">
        <f t="shared" si="76"/>
        <v>0</v>
      </c>
      <c r="BN78" s="851">
        <f t="shared" si="76"/>
        <v>0</v>
      </c>
      <c r="BO78" s="851">
        <f t="shared" si="77"/>
        <v>0</v>
      </c>
      <c r="BP78" s="851">
        <f t="shared" si="77"/>
        <v>0</v>
      </c>
      <c r="BQ78" s="851">
        <f t="shared" si="77"/>
        <v>0</v>
      </c>
      <c r="BR78" s="851">
        <f t="shared" si="77"/>
        <v>0</v>
      </c>
      <c r="BS78" s="851">
        <f t="shared" si="77"/>
        <v>0</v>
      </c>
      <c r="BT78" s="851">
        <f t="shared" si="77"/>
        <v>0</v>
      </c>
      <c r="BU78" s="851">
        <f t="shared" si="78"/>
        <v>0</v>
      </c>
      <c r="BV78" s="851">
        <f t="shared" si="78"/>
        <v>0</v>
      </c>
      <c r="BW78" s="851">
        <f t="shared" si="78"/>
        <v>0</v>
      </c>
      <c r="BX78" s="851">
        <f t="shared" si="78"/>
        <v>0</v>
      </c>
      <c r="BY78" s="851">
        <f t="shared" si="78"/>
        <v>0</v>
      </c>
      <c r="BZ78" s="851">
        <f t="shared" si="78"/>
        <v>0</v>
      </c>
      <c r="CA78" s="14"/>
    </row>
    <row r="79" spans="5:79" ht="15">
      <c r="E79" s="920" t="s">
        <v>934</v>
      </c>
      <c r="F79" s="921">
        <f t="shared" si="66"/>
        <v>0</v>
      </c>
      <c r="G79" s="851">
        <f t="shared" si="67"/>
        <v>0</v>
      </c>
      <c r="H79" s="851">
        <f t="shared" si="67"/>
        <v>0</v>
      </c>
      <c r="I79" s="851">
        <f t="shared" si="67"/>
        <v>0</v>
      </c>
      <c r="J79" s="851">
        <f t="shared" si="67"/>
        <v>0</v>
      </c>
      <c r="K79" s="851">
        <f t="shared" si="67"/>
        <v>0</v>
      </c>
      <c r="L79" s="851">
        <f t="shared" si="67"/>
        <v>0</v>
      </c>
      <c r="M79" s="851">
        <f t="shared" si="68"/>
        <v>0</v>
      </c>
      <c r="N79" s="851">
        <f t="shared" si="68"/>
        <v>0</v>
      </c>
      <c r="O79" s="851">
        <f t="shared" si="68"/>
        <v>0</v>
      </c>
      <c r="P79" s="851">
        <f t="shared" si="68"/>
        <v>0</v>
      </c>
      <c r="Q79" s="851">
        <f t="shared" si="68"/>
        <v>0</v>
      </c>
      <c r="R79" s="851">
        <f t="shared" si="68"/>
        <v>0</v>
      </c>
      <c r="S79" s="851">
        <f t="shared" si="69"/>
        <v>0</v>
      </c>
      <c r="T79" s="851">
        <f t="shared" si="69"/>
        <v>0</v>
      </c>
      <c r="U79" s="851">
        <f t="shared" si="69"/>
        <v>0</v>
      </c>
      <c r="V79" s="851">
        <f t="shared" si="69"/>
        <v>0</v>
      </c>
      <c r="W79" s="851">
        <f t="shared" si="69"/>
        <v>0</v>
      </c>
      <c r="X79" s="851">
        <f t="shared" si="69"/>
        <v>0</v>
      </c>
      <c r="Y79" s="851">
        <f t="shared" si="70"/>
        <v>0</v>
      </c>
      <c r="Z79" s="851">
        <f t="shared" si="70"/>
        <v>0</v>
      </c>
      <c r="AA79" s="851">
        <f t="shared" si="70"/>
        <v>0</v>
      </c>
      <c r="AB79" s="851">
        <f t="shared" si="70"/>
        <v>0</v>
      </c>
      <c r="AC79" s="851">
        <f t="shared" si="70"/>
        <v>0</v>
      </c>
      <c r="AD79" s="851">
        <f t="shared" si="70"/>
        <v>0</v>
      </c>
      <c r="AE79" s="851">
        <f t="shared" si="71"/>
        <v>0</v>
      </c>
      <c r="AF79" s="851">
        <f t="shared" si="71"/>
        <v>0</v>
      </c>
      <c r="AG79" s="851">
        <f t="shared" si="71"/>
        <v>0</v>
      </c>
      <c r="AH79" s="851">
        <f t="shared" si="71"/>
        <v>0</v>
      </c>
      <c r="AI79" s="851">
        <f t="shared" si="71"/>
        <v>0</v>
      </c>
      <c r="AJ79" s="851">
        <f t="shared" si="71"/>
        <v>0</v>
      </c>
      <c r="AK79" s="851">
        <f t="shared" si="72"/>
        <v>0</v>
      </c>
      <c r="AL79" s="851">
        <f t="shared" si="72"/>
        <v>0</v>
      </c>
      <c r="AM79" s="851">
        <f t="shared" si="72"/>
        <v>0</v>
      </c>
      <c r="AN79" s="851">
        <f t="shared" si="72"/>
        <v>0</v>
      </c>
      <c r="AO79" s="851">
        <f t="shared" si="72"/>
        <v>0</v>
      </c>
      <c r="AP79" s="851">
        <f t="shared" si="72"/>
        <v>0</v>
      </c>
      <c r="AQ79" s="851">
        <f t="shared" si="73"/>
        <v>0</v>
      </c>
      <c r="AR79" s="851">
        <f t="shared" si="73"/>
        <v>0</v>
      </c>
      <c r="AS79" s="851">
        <f t="shared" si="73"/>
        <v>0</v>
      </c>
      <c r="AT79" s="851">
        <f t="shared" si="73"/>
        <v>0</v>
      </c>
      <c r="AU79" s="851">
        <f t="shared" si="73"/>
        <v>0</v>
      </c>
      <c r="AV79" s="851">
        <f t="shared" si="73"/>
        <v>0</v>
      </c>
      <c r="AW79" s="851">
        <f t="shared" si="74"/>
        <v>0</v>
      </c>
      <c r="AX79" s="851">
        <f t="shared" si="74"/>
        <v>0</v>
      </c>
      <c r="AY79" s="851">
        <f t="shared" si="74"/>
        <v>0</v>
      </c>
      <c r="AZ79" s="851">
        <f t="shared" si="74"/>
        <v>0</v>
      </c>
      <c r="BA79" s="851">
        <f t="shared" si="74"/>
        <v>0</v>
      </c>
      <c r="BB79" s="851">
        <f t="shared" si="74"/>
        <v>0</v>
      </c>
      <c r="BC79" s="851">
        <f t="shared" si="75"/>
        <v>0</v>
      </c>
      <c r="BD79" s="851">
        <f t="shared" si="75"/>
        <v>0</v>
      </c>
      <c r="BE79" s="851">
        <f t="shared" si="75"/>
        <v>0</v>
      </c>
      <c r="BF79" s="851">
        <f t="shared" si="75"/>
        <v>0</v>
      </c>
      <c r="BG79" s="851">
        <f t="shared" si="75"/>
        <v>0</v>
      </c>
      <c r="BH79" s="851">
        <f t="shared" si="75"/>
        <v>0</v>
      </c>
      <c r="BI79" s="851">
        <f t="shared" si="76"/>
        <v>0</v>
      </c>
      <c r="BJ79" s="851">
        <f t="shared" si="76"/>
        <v>0</v>
      </c>
      <c r="BK79" s="851">
        <f t="shared" si="76"/>
        <v>0</v>
      </c>
      <c r="BL79" s="851">
        <f t="shared" si="76"/>
        <v>0</v>
      </c>
      <c r="BM79" s="851">
        <f t="shared" si="76"/>
        <v>0</v>
      </c>
      <c r="BN79" s="851">
        <f t="shared" si="76"/>
        <v>0</v>
      </c>
      <c r="BO79" s="851">
        <f t="shared" si="77"/>
        <v>0</v>
      </c>
      <c r="BP79" s="851">
        <f t="shared" si="77"/>
        <v>0</v>
      </c>
      <c r="BQ79" s="851">
        <f t="shared" si="77"/>
        <v>0</v>
      </c>
      <c r="BR79" s="851">
        <f t="shared" si="77"/>
        <v>0</v>
      </c>
      <c r="BS79" s="851">
        <f t="shared" si="77"/>
        <v>0</v>
      </c>
      <c r="BT79" s="851">
        <f t="shared" si="77"/>
        <v>0</v>
      </c>
      <c r="BU79" s="851">
        <f t="shared" si="78"/>
        <v>0</v>
      </c>
      <c r="BV79" s="851">
        <f t="shared" si="78"/>
        <v>0</v>
      </c>
      <c r="BW79" s="851">
        <f t="shared" si="78"/>
        <v>0</v>
      </c>
      <c r="BX79" s="851">
        <f t="shared" si="78"/>
        <v>0</v>
      </c>
      <c r="BY79" s="851">
        <f t="shared" si="78"/>
        <v>0</v>
      </c>
      <c r="BZ79" s="851">
        <f t="shared" si="78"/>
        <v>0</v>
      </c>
      <c r="CA79" s="14"/>
    </row>
    <row r="80" spans="5:79" ht="15">
      <c r="E80" s="920" t="s">
        <v>935</v>
      </c>
      <c r="F80" s="921">
        <f t="shared" si="66"/>
        <v>0</v>
      </c>
      <c r="G80" s="851">
        <f t="shared" si="67"/>
        <v>0</v>
      </c>
      <c r="H80" s="851">
        <f t="shared" si="67"/>
        <v>0</v>
      </c>
      <c r="I80" s="851">
        <f t="shared" si="67"/>
        <v>0</v>
      </c>
      <c r="J80" s="851">
        <f t="shared" si="67"/>
        <v>0</v>
      </c>
      <c r="K80" s="851">
        <f t="shared" si="67"/>
        <v>0</v>
      </c>
      <c r="L80" s="851">
        <f t="shared" si="67"/>
        <v>0</v>
      </c>
      <c r="M80" s="851">
        <f t="shared" si="68"/>
        <v>0</v>
      </c>
      <c r="N80" s="851">
        <f t="shared" si="68"/>
        <v>0</v>
      </c>
      <c r="O80" s="851">
        <f t="shared" si="68"/>
        <v>0</v>
      </c>
      <c r="P80" s="851">
        <f t="shared" si="68"/>
        <v>0</v>
      </c>
      <c r="Q80" s="851">
        <f t="shared" si="68"/>
        <v>0</v>
      </c>
      <c r="R80" s="851">
        <f t="shared" si="68"/>
        <v>0</v>
      </c>
      <c r="S80" s="851">
        <f t="shared" si="69"/>
        <v>0</v>
      </c>
      <c r="T80" s="851">
        <f t="shared" si="69"/>
        <v>0</v>
      </c>
      <c r="U80" s="851">
        <f t="shared" si="69"/>
        <v>0</v>
      </c>
      <c r="V80" s="851">
        <f t="shared" si="69"/>
        <v>0</v>
      </c>
      <c r="W80" s="851">
        <f t="shared" si="69"/>
        <v>0</v>
      </c>
      <c r="X80" s="851">
        <f t="shared" si="69"/>
        <v>0</v>
      </c>
      <c r="Y80" s="851">
        <f t="shared" si="70"/>
        <v>0</v>
      </c>
      <c r="Z80" s="851">
        <f t="shared" si="70"/>
        <v>0</v>
      </c>
      <c r="AA80" s="851">
        <f t="shared" si="70"/>
        <v>0</v>
      </c>
      <c r="AB80" s="851">
        <f t="shared" si="70"/>
        <v>0</v>
      </c>
      <c r="AC80" s="851">
        <f t="shared" si="70"/>
        <v>0</v>
      </c>
      <c r="AD80" s="851">
        <f t="shared" si="70"/>
        <v>0</v>
      </c>
      <c r="AE80" s="851">
        <f t="shared" si="71"/>
        <v>0</v>
      </c>
      <c r="AF80" s="851">
        <f t="shared" si="71"/>
        <v>0</v>
      </c>
      <c r="AG80" s="851">
        <f t="shared" si="71"/>
        <v>0</v>
      </c>
      <c r="AH80" s="851">
        <f t="shared" si="71"/>
        <v>0</v>
      </c>
      <c r="AI80" s="851">
        <f t="shared" si="71"/>
        <v>0</v>
      </c>
      <c r="AJ80" s="851">
        <f t="shared" si="71"/>
        <v>0</v>
      </c>
      <c r="AK80" s="851">
        <f t="shared" si="72"/>
        <v>0</v>
      </c>
      <c r="AL80" s="851">
        <f t="shared" si="72"/>
        <v>0</v>
      </c>
      <c r="AM80" s="851">
        <f t="shared" si="72"/>
        <v>0</v>
      </c>
      <c r="AN80" s="851">
        <f t="shared" si="72"/>
        <v>0</v>
      </c>
      <c r="AO80" s="851">
        <f t="shared" si="72"/>
        <v>0</v>
      </c>
      <c r="AP80" s="851">
        <f t="shared" si="72"/>
        <v>0</v>
      </c>
      <c r="AQ80" s="851">
        <f t="shared" si="73"/>
        <v>0</v>
      </c>
      <c r="AR80" s="851">
        <f t="shared" si="73"/>
        <v>0</v>
      </c>
      <c r="AS80" s="851">
        <f t="shared" si="73"/>
        <v>0</v>
      </c>
      <c r="AT80" s="851">
        <f t="shared" si="73"/>
        <v>0</v>
      </c>
      <c r="AU80" s="851">
        <f t="shared" si="73"/>
        <v>0</v>
      </c>
      <c r="AV80" s="851">
        <f t="shared" si="73"/>
        <v>0</v>
      </c>
      <c r="AW80" s="851">
        <f t="shared" si="74"/>
        <v>0</v>
      </c>
      <c r="AX80" s="851">
        <f t="shared" si="74"/>
        <v>0</v>
      </c>
      <c r="AY80" s="851">
        <f t="shared" si="74"/>
        <v>0</v>
      </c>
      <c r="AZ80" s="851">
        <f t="shared" si="74"/>
        <v>0</v>
      </c>
      <c r="BA80" s="851">
        <f t="shared" si="74"/>
        <v>0</v>
      </c>
      <c r="BB80" s="851">
        <f t="shared" si="74"/>
        <v>0</v>
      </c>
      <c r="BC80" s="851">
        <f t="shared" si="75"/>
        <v>0</v>
      </c>
      <c r="BD80" s="851">
        <f t="shared" si="75"/>
        <v>0</v>
      </c>
      <c r="BE80" s="851">
        <f t="shared" si="75"/>
        <v>0</v>
      </c>
      <c r="BF80" s="851">
        <f t="shared" si="75"/>
        <v>0</v>
      </c>
      <c r="BG80" s="851">
        <f t="shared" si="75"/>
        <v>0</v>
      </c>
      <c r="BH80" s="851">
        <f t="shared" si="75"/>
        <v>0</v>
      </c>
      <c r="BI80" s="851">
        <f t="shared" si="76"/>
        <v>0</v>
      </c>
      <c r="BJ80" s="851">
        <f t="shared" si="76"/>
        <v>0</v>
      </c>
      <c r="BK80" s="851">
        <f t="shared" si="76"/>
        <v>0</v>
      </c>
      <c r="BL80" s="851">
        <f t="shared" si="76"/>
        <v>0</v>
      </c>
      <c r="BM80" s="851">
        <f t="shared" si="76"/>
        <v>0</v>
      </c>
      <c r="BN80" s="851">
        <f t="shared" si="76"/>
        <v>0</v>
      </c>
      <c r="BO80" s="851">
        <f t="shared" si="77"/>
        <v>0</v>
      </c>
      <c r="BP80" s="851">
        <f t="shared" si="77"/>
        <v>0</v>
      </c>
      <c r="BQ80" s="851">
        <f t="shared" si="77"/>
        <v>0</v>
      </c>
      <c r="BR80" s="851">
        <f t="shared" si="77"/>
        <v>0</v>
      </c>
      <c r="BS80" s="851">
        <f t="shared" si="77"/>
        <v>0</v>
      </c>
      <c r="BT80" s="851">
        <f t="shared" si="77"/>
        <v>0</v>
      </c>
      <c r="BU80" s="851">
        <f t="shared" si="78"/>
        <v>0</v>
      </c>
      <c r="BV80" s="851">
        <f t="shared" si="78"/>
        <v>0</v>
      </c>
      <c r="BW80" s="851">
        <f t="shared" si="78"/>
        <v>0</v>
      </c>
      <c r="BX80" s="851">
        <f t="shared" si="78"/>
        <v>0</v>
      </c>
      <c r="BY80" s="851">
        <f t="shared" si="78"/>
        <v>0</v>
      </c>
      <c r="BZ80" s="851">
        <f t="shared" si="78"/>
        <v>0</v>
      </c>
      <c r="CA80" s="14"/>
    </row>
    <row r="81" spans="5:79" ht="15">
      <c r="E81" s="920" t="s">
        <v>936</v>
      </c>
      <c r="F81" s="921">
        <f t="shared" si="66"/>
        <v>0</v>
      </c>
      <c r="G81" s="851">
        <f t="shared" si="67"/>
        <v>0</v>
      </c>
      <c r="H81" s="851">
        <f t="shared" si="67"/>
        <v>0</v>
      </c>
      <c r="I81" s="851">
        <f t="shared" si="67"/>
        <v>0</v>
      </c>
      <c r="J81" s="851">
        <f t="shared" si="67"/>
        <v>0</v>
      </c>
      <c r="K81" s="851">
        <f t="shared" si="67"/>
        <v>0</v>
      </c>
      <c r="L81" s="851">
        <f t="shared" si="67"/>
        <v>0</v>
      </c>
      <c r="M81" s="851">
        <f t="shared" si="68"/>
        <v>0</v>
      </c>
      <c r="N81" s="851">
        <f t="shared" si="68"/>
        <v>0</v>
      </c>
      <c r="O81" s="851">
        <f t="shared" si="68"/>
        <v>0</v>
      </c>
      <c r="P81" s="851">
        <f t="shared" si="68"/>
        <v>0</v>
      </c>
      <c r="Q81" s="851">
        <f t="shared" si="68"/>
        <v>0</v>
      </c>
      <c r="R81" s="851">
        <f t="shared" si="68"/>
        <v>0</v>
      </c>
      <c r="S81" s="851">
        <f t="shared" si="69"/>
        <v>0</v>
      </c>
      <c r="T81" s="851">
        <f t="shared" si="69"/>
        <v>0</v>
      </c>
      <c r="U81" s="851">
        <f t="shared" si="69"/>
        <v>0</v>
      </c>
      <c r="V81" s="851">
        <f t="shared" si="69"/>
        <v>0</v>
      </c>
      <c r="W81" s="851">
        <f t="shared" si="69"/>
        <v>0</v>
      </c>
      <c r="X81" s="851">
        <f t="shared" si="69"/>
        <v>0</v>
      </c>
      <c r="Y81" s="851">
        <f t="shared" si="70"/>
        <v>0</v>
      </c>
      <c r="Z81" s="851">
        <f t="shared" si="70"/>
        <v>0</v>
      </c>
      <c r="AA81" s="851">
        <f t="shared" si="70"/>
        <v>0</v>
      </c>
      <c r="AB81" s="851">
        <f t="shared" si="70"/>
        <v>0</v>
      </c>
      <c r="AC81" s="851">
        <f t="shared" si="70"/>
        <v>0</v>
      </c>
      <c r="AD81" s="851">
        <f t="shared" si="70"/>
        <v>0</v>
      </c>
      <c r="AE81" s="851">
        <f t="shared" si="71"/>
        <v>0</v>
      </c>
      <c r="AF81" s="851">
        <f t="shared" si="71"/>
        <v>0</v>
      </c>
      <c r="AG81" s="851">
        <f t="shared" si="71"/>
        <v>0</v>
      </c>
      <c r="AH81" s="851">
        <f t="shared" si="71"/>
        <v>0</v>
      </c>
      <c r="AI81" s="851">
        <f t="shared" si="71"/>
        <v>0</v>
      </c>
      <c r="AJ81" s="851">
        <f t="shared" si="71"/>
        <v>0</v>
      </c>
      <c r="AK81" s="851">
        <f t="shared" si="72"/>
        <v>0</v>
      </c>
      <c r="AL81" s="851">
        <f t="shared" si="72"/>
        <v>0</v>
      </c>
      <c r="AM81" s="851">
        <f t="shared" si="72"/>
        <v>0</v>
      </c>
      <c r="AN81" s="851">
        <f t="shared" si="72"/>
        <v>0</v>
      </c>
      <c r="AO81" s="851">
        <f t="shared" si="72"/>
        <v>0</v>
      </c>
      <c r="AP81" s="851">
        <f t="shared" si="72"/>
        <v>0</v>
      </c>
      <c r="AQ81" s="851">
        <f t="shared" si="73"/>
        <v>0</v>
      </c>
      <c r="AR81" s="851">
        <f t="shared" si="73"/>
        <v>0</v>
      </c>
      <c r="AS81" s="851">
        <f t="shared" si="73"/>
        <v>0</v>
      </c>
      <c r="AT81" s="851">
        <f t="shared" si="73"/>
        <v>0</v>
      </c>
      <c r="AU81" s="851">
        <f t="shared" si="73"/>
        <v>0</v>
      </c>
      <c r="AV81" s="851">
        <f t="shared" si="73"/>
        <v>0</v>
      </c>
      <c r="AW81" s="851">
        <f t="shared" si="74"/>
        <v>0</v>
      </c>
      <c r="AX81" s="851">
        <f t="shared" si="74"/>
        <v>0</v>
      </c>
      <c r="AY81" s="851">
        <f t="shared" si="74"/>
        <v>0</v>
      </c>
      <c r="AZ81" s="851">
        <f t="shared" si="74"/>
        <v>0</v>
      </c>
      <c r="BA81" s="851">
        <f t="shared" si="74"/>
        <v>0</v>
      </c>
      <c r="BB81" s="851">
        <f t="shared" si="74"/>
        <v>0</v>
      </c>
      <c r="BC81" s="851">
        <f t="shared" si="75"/>
        <v>0</v>
      </c>
      <c r="BD81" s="851">
        <f t="shared" si="75"/>
        <v>0</v>
      </c>
      <c r="BE81" s="851">
        <f t="shared" si="75"/>
        <v>0</v>
      </c>
      <c r="BF81" s="851">
        <f t="shared" si="75"/>
        <v>0</v>
      </c>
      <c r="BG81" s="851">
        <f t="shared" si="75"/>
        <v>0</v>
      </c>
      <c r="BH81" s="851">
        <f t="shared" si="75"/>
        <v>0</v>
      </c>
      <c r="BI81" s="851">
        <f t="shared" si="76"/>
        <v>0</v>
      </c>
      <c r="BJ81" s="851">
        <f t="shared" si="76"/>
        <v>0</v>
      </c>
      <c r="BK81" s="851">
        <f t="shared" si="76"/>
        <v>0</v>
      </c>
      <c r="BL81" s="851">
        <f t="shared" si="76"/>
        <v>0</v>
      </c>
      <c r="BM81" s="851">
        <f t="shared" si="76"/>
        <v>0</v>
      </c>
      <c r="BN81" s="851">
        <f t="shared" si="76"/>
        <v>0</v>
      </c>
      <c r="BO81" s="851">
        <f t="shared" si="77"/>
        <v>0</v>
      </c>
      <c r="BP81" s="851">
        <f t="shared" si="77"/>
        <v>0</v>
      </c>
      <c r="BQ81" s="851">
        <f t="shared" si="77"/>
        <v>0</v>
      </c>
      <c r="BR81" s="851">
        <f t="shared" si="77"/>
        <v>0</v>
      </c>
      <c r="BS81" s="851">
        <f t="shared" si="77"/>
        <v>0</v>
      </c>
      <c r="BT81" s="851">
        <f t="shared" si="77"/>
        <v>0</v>
      </c>
      <c r="BU81" s="851">
        <f t="shared" si="78"/>
        <v>0</v>
      </c>
      <c r="BV81" s="851">
        <f t="shared" si="78"/>
        <v>0</v>
      </c>
      <c r="BW81" s="851">
        <f t="shared" si="78"/>
        <v>0</v>
      </c>
      <c r="BX81" s="851">
        <f t="shared" si="78"/>
        <v>0</v>
      </c>
      <c r="BY81" s="851">
        <f t="shared" si="78"/>
        <v>0</v>
      </c>
      <c r="BZ81" s="851">
        <f t="shared" si="78"/>
        <v>0</v>
      </c>
      <c r="CA81" s="14"/>
    </row>
    <row r="82" spans="5:79" ht="15">
      <c r="E82" s="920" t="s">
        <v>937</v>
      </c>
      <c r="F82" s="921">
        <f t="shared" si="66"/>
        <v>0</v>
      </c>
      <c r="G82" s="851">
        <f t="shared" ref="G82:L91" si="79">$G$70*G14</f>
        <v>0</v>
      </c>
      <c r="H82" s="851">
        <f t="shared" si="79"/>
        <v>0</v>
      </c>
      <c r="I82" s="851">
        <f t="shared" si="79"/>
        <v>0</v>
      </c>
      <c r="J82" s="851">
        <f t="shared" si="79"/>
        <v>0</v>
      </c>
      <c r="K82" s="851">
        <f t="shared" si="79"/>
        <v>0</v>
      </c>
      <c r="L82" s="851">
        <f t="shared" si="79"/>
        <v>0</v>
      </c>
      <c r="M82" s="851">
        <f t="shared" ref="M82:R91" si="80">$M$70*M14</f>
        <v>0</v>
      </c>
      <c r="N82" s="851">
        <f t="shared" si="80"/>
        <v>0</v>
      </c>
      <c r="O82" s="851">
        <f t="shared" si="80"/>
        <v>0</v>
      </c>
      <c r="P82" s="851">
        <f t="shared" si="80"/>
        <v>0</v>
      </c>
      <c r="Q82" s="851">
        <f t="shared" si="80"/>
        <v>0</v>
      </c>
      <c r="R82" s="851">
        <f t="shared" si="80"/>
        <v>0</v>
      </c>
      <c r="S82" s="851">
        <f t="shared" ref="S82:X91" si="81">$S$70*S14</f>
        <v>0</v>
      </c>
      <c r="T82" s="851">
        <f t="shared" si="81"/>
        <v>0</v>
      </c>
      <c r="U82" s="851">
        <f t="shared" si="81"/>
        <v>0</v>
      </c>
      <c r="V82" s="851">
        <f t="shared" si="81"/>
        <v>0</v>
      </c>
      <c r="W82" s="851">
        <f t="shared" si="81"/>
        <v>0</v>
      </c>
      <c r="X82" s="851">
        <f t="shared" si="81"/>
        <v>0</v>
      </c>
      <c r="Y82" s="851">
        <f t="shared" ref="Y82:AD91" si="82">$Y$70*Y14</f>
        <v>0</v>
      </c>
      <c r="Z82" s="851">
        <f t="shared" si="82"/>
        <v>0</v>
      </c>
      <c r="AA82" s="851">
        <f t="shared" si="82"/>
        <v>0</v>
      </c>
      <c r="AB82" s="851">
        <f t="shared" si="82"/>
        <v>0</v>
      </c>
      <c r="AC82" s="851">
        <f t="shared" si="82"/>
        <v>0</v>
      </c>
      <c r="AD82" s="851">
        <f t="shared" si="82"/>
        <v>0</v>
      </c>
      <c r="AE82" s="851">
        <f t="shared" ref="AE82:AJ91" si="83">$AE$70*AE14</f>
        <v>0</v>
      </c>
      <c r="AF82" s="851">
        <f t="shared" si="83"/>
        <v>0</v>
      </c>
      <c r="AG82" s="851">
        <f t="shared" si="83"/>
        <v>0</v>
      </c>
      <c r="AH82" s="851">
        <f t="shared" si="83"/>
        <v>0</v>
      </c>
      <c r="AI82" s="851">
        <f t="shared" si="83"/>
        <v>0</v>
      </c>
      <c r="AJ82" s="851">
        <f t="shared" si="83"/>
        <v>0</v>
      </c>
      <c r="AK82" s="851">
        <f t="shared" ref="AK82:AP91" si="84">$AK$70*AK14</f>
        <v>0</v>
      </c>
      <c r="AL82" s="851">
        <f t="shared" si="84"/>
        <v>0</v>
      </c>
      <c r="AM82" s="851">
        <f t="shared" si="84"/>
        <v>0</v>
      </c>
      <c r="AN82" s="851">
        <f t="shared" si="84"/>
        <v>0</v>
      </c>
      <c r="AO82" s="851">
        <f t="shared" si="84"/>
        <v>0</v>
      </c>
      <c r="AP82" s="851">
        <f t="shared" si="84"/>
        <v>0</v>
      </c>
      <c r="AQ82" s="851">
        <f t="shared" ref="AQ82:AV91" si="85">$AQ$70*AQ14</f>
        <v>0</v>
      </c>
      <c r="AR82" s="851">
        <f t="shared" si="85"/>
        <v>0</v>
      </c>
      <c r="AS82" s="851">
        <f t="shared" si="85"/>
        <v>0</v>
      </c>
      <c r="AT82" s="851">
        <f t="shared" si="85"/>
        <v>0</v>
      </c>
      <c r="AU82" s="851">
        <f t="shared" si="85"/>
        <v>0</v>
      </c>
      <c r="AV82" s="851">
        <f t="shared" si="85"/>
        <v>0</v>
      </c>
      <c r="AW82" s="851">
        <f t="shared" ref="AW82:BB91" si="86">$AW$70*AW14</f>
        <v>0</v>
      </c>
      <c r="AX82" s="851">
        <f t="shared" si="86"/>
        <v>0</v>
      </c>
      <c r="AY82" s="851">
        <f t="shared" si="86"/>
        <v>0</v>
      </c>
      <c r="AZ82" s="851">
        <f t="shared" si="86"/>
        <v>0</v>
      </c>
      <c r="BA82" s="851">
        <f t="shared" si="86"/>
        <v>0</v>
      </c>
      <c r="BB82" s="851">
        <f t="shared" si="86"/>
        <v>0</v>
      </c>
      <c r="BC82" s="851">
        <f t="shared" ref="BC82:BH91" si="87">$BC$70*BC14</f>
        <v>0</v>
      </c>
      <c r="BD82" s="851">
        <f t="shared" si="87"/>
        <v>0</v>
      </c>
      <c r="BE82" s="851">
        <f t="shared" si="87"/>
        <v>0</v>
      </c>
      <c r="BF82" s="851">
        <f t="shared" si="87"/>
        <v>0</v>
      </c>
      <c r="BG82" s="851">
        <f t="shared" si="87"/>
        <v>0</v>
      </c>
      <c r="BH82" s="851">
        <f t="shared" si="87"/>
        <v>0</v>
      </c>
      <c r="BI82" s="851">
        <f t="shared" ref="BI82:BN91" si="88">$BI$70*BI14</f>
        <v>0</v>
      </c>
      <c r="BJ82" s="851">
        <f t="shared" si="88"/>
        <v>0</v>
      </c>
      <c r="BK82" s="851">
        <f t="shared" si="88"/>
        <v>0</v>
      </c>
      <c r="BL82" s="851">
        <f t="shared" si="88"/>
        <v>0</v>
      </c>
      <c r="BM82" s="851">
        <f t="shared" si="88"/>
        <v>0</v>
      </c>
      <c r="BN82" s="851">
        <f t="shared" si="88"/>
        <v>0</v>
      </c>
      <c r="BO82" s="851">
        <f t="shared" ref="BO82:BT91" si="89">$BO$70*BO14</f>
        <v>0</v>
      </c>
      <c r="BP82" s="851">
        <f t="shared" si="89"/>
        <v>0</v>
      </c>
      <c r="BQ82" s="851">
        <f t="shared" si="89"/>
        <v>0</v>
      </c>
      <c r="BR82" s="851">
        <f t="shared" si="89"/>
        <v>0</v>
      </c>
      <c r="BS82" s="851">
        <f t="shared" si="89"/>
        <v>0</v>
      </c>
      <c r="BT82" s="851">
        <f t="shared" si="89"/>
        <v>0</v>
      </c>
      <c r="BU82" s="851">
        <f t="shared" ref="BU82:BZ91" si="90">$BU$70*BU14</f>
        <v>0</v>
      </c>
      <c r="BV82" s="851">
        <f t="shared" si="90"/>
        <v>0</v>
      </c>
      <c r="BW82" s="851">
        <f t="shared" si="90"/>
        <v>0</v>
      </c>
      <c r="BX82" s="851">
        <f t="shared" si="90"/>
        <v>0</v>
      </c>
      <c r="BY82" s="851">
        <f t="shared" si="90"/>
        <v>0</v>
      </c>
      <c r="BZ82" s="851">
        <f t="shared" si="90"/>
        <v>0</v>
      </c>
      <c r="CA82" s="14"/>
    </row>
    <row r="83" spans="5:79" ht="15">
      <c r="E83" s="920" t="s">
        <v>938</v>
      </c>
      <c r="F83" s="921">
        <f t="shared" si="66"/>
        <v>0</v>
      </c>
      <c r="G83" s="851">
        <f t="shared" si="79"/>
        <v>0</v>
      </c>
      <c r="H83" s="851">
        <f t="shared" si="79"/>
        <v>0</v>
      </c>
      <c r="I83" s="851">
        <f t="shared" si="79"/>
        <v>0</v>
      </c>
      <c r="J83" s="851">
        <f t="shared" si="79"/>
        <v>0</v>
      </c>
      <c r="K83" s="851">
        <f t="shared" si="79"/>
        <v>0</v>
      </c>
      <c r="L83" s="851">
        <f t="shared" si="79"/>
        <v>0</v>
      </c>
      <c r="M83" s="851">
        <f t="shared" si="80"/>
        <v>0</v>
      </c>
      <c r="N83" s="851">
        <f t="shared" si="80"/>
        <v>0</v>
      </c>
      <c r="O83" s="851">
        <f t="shared" si="80"/>
        <v>0</v>
      </c>
      <c r="P83" s="851">
        <f t="shared" si="80"/>
        <v>0</v>
      </c>
      <c r="Q83" s="851">
        <f t="shared" si="80"/>
        <v>0</v>
      </c>
      <c r="R83" s="851">
        <f t="shared" si="80"/>
        <v>0</v>
      </c>
      <c r="S83" s="851">
        <f t="shared" si="81"/>
        <v>0</v>
      </c>
      <c r="T83" s="851">
        <f t="shared" si="81"/>
        <v>0</v>
      </c>
      <c r="U83" s="851">
        <f t="shared" si="81"/>
        <v>0</v>
      </c>
      <c r="V83" s="851">
        <f t="shared" si="81"/>
        <v>0</v>
      </c>
      <c r="W83" s="851">
        <f t="shared" si="81"/>
        <v>0</v>
      </c>
      <c r="X83" s="851">
        <f t="shared" si="81"/>
        <v>0</v>
      </c>
      <c r="Y83" s="851">
        <f t="shared" si="82"/>
        <v>0</v>
      </c>
      <c r="Z83" s="851">
        <f t="shared" si="82"/>
        <v>0</v>
      </c>
      <c r="AA83" s="851">
        <f t="shared" si="82"/>
        <v>0</v>
      </c>
      <c r="AB83" s="851">
        <f t="shared" si="82"/>
        <v>0</v>
      </c>
      <c r="AC83" s="851">
        <f t="shared" si="82"/>
        <v>0</v>
      </c>
      <c r="AD83" s="851">
        <f t="shared" si="82"/>
        <v>0</v>
      </c>
      <c r="AE83" s="851">
        <f t="shared" si="83"/>
        <v>0</v>
      </c>
      <c r="AF83" s="851">
        <f t="shared" si="83"/>
        <v>0</v>
      </c>
      <c r="AG83" s="851">
        <f t="shared" si="83"/>
        <v>0</v>
      </c>
      <c r="AH83" s="851">
        <f t="shared" si="83"/>
        <v>0</v>
      </c>
      <c r="AI83" s="851">
        <f t="shared" si="83"/>
        <v>0</v>
      </c>
      <c r="AJ83" s="851">
        <f t="shared" si="83"/>
        <v>0</v>
      </c>
      <c r="AK83" s="851">
        <f t="shared" si="84"/>
        <v>0</v>
      </c>
      <c r="AL83" s="851">
        <f t="shared" si="84"/>
        <v>0</v>
      </c>
      <c r="AM83" s="851">
        <f t="shared" si="84"/>
        <v>0</v>
      </c>
      <c r="AN83" s="851">
        <f t="shared" si="84"/>
        <v>0</v>
      </c>
      <c r="AO83" s="851">
        <f t="shared" si="84"/>
        <v>0</v>
      </c>
      <c r="AP83" s="851">
        <f t="shared" si="84"/>
        <v>0</v>
      </c>
      <c r="AQ83" s="851">
        <f t="shared" si="85"/>
        <v>0</v>
      </c>
      <c r="AR83" s="851">
        <f t="shared" si="85"/>
        <v>0</v>
      </c>
      <c r="AS83" s="851">
        <f t="shared" si="85"/>
        <v>0</v>
      </c>
      <c r="AT83" s="851">
        <f t="shared" si="85"/>
        <v>0</v>
      </c>
      <c r="AU83" s="851">
        <f t="shared" si="85"/>
        <v>0</v>
      </c>
      <c r="AV83" s="851">
        <f t="shared" si="85"/>
        <v>0</v>
      </c>
      <c r="AW83" s="851">
        <f t="shared" si="86"/>
        <v>0</v>
      </c>
      <c r="AX83" s="851">
        <f t="shared" si="86"/>
        <v>0</v>
      </c>
      <c r="AY83" s="851">
        <f t="shared" si="86"/>
        <v>0</v>
      </c>
      <c r="AZ83" s="851">
        <f t="shared" si="86"/>
        <v>0</v>
      </c>
      <c r="BA83" s="851">
        <f t="shared" si="86"/>
        <v>0</v>
      </c>
      <c r="BB83" s="851">
        <f t="shared" si="86"/>
        <v>0</v>
      </c>
      <c r="BC83" s="851">
        <f t="shared" si="87"/>
        <v>0</v>
      </c>
      <c r="BD83" s="851">
        <f t="shared" si="87"/>
        <v>0</v>
      </c>
      <c r="BE83" s="851">
        <f t="shared" si="87"/>
        <v>0</v>
      </c>
      <c r="BF83" s="851">
        <f t="shared" si="87"/>
        <v>0</v>
      </c>
      <c r="BG83" s="851">
        <f t="shared" si="87"/>
        <v>0</v>
      </c>
      <c r="BH83" s="851">
        <f t="shared" si="87"/>
        <v>0</v>
      </c>
      <c r="BI83" s="851">
        <f t="shared" si="88"/>
        <v>0</v>
      </c>
      <c r="BJ83" s="851">
        <f t="shared" si="88"/>
        <v>0</v>
      </c>
      <c r="BK83" s="851">
        <f t="shared" si="88"/>
        <v>0</v>
      </c>
      <c r="BL83" s="851">
        <f t="shared" si="88"/>
        <v>0</v>
      </c>
      <c r="BM83" s="851">
        <f t="shared" si="88"/>
        <v>0</v>
      </c>
      <c r="BN83" s="851">
        <f t="shared" si="88"/>
        <v>0</v>
      </c>
      <c r="BO83" s="851">
        <f t="shared" si="89"/>
        <v>0</v>
      </c>
      <c r="BP83" s="851">
        <f t="shared" si="89"/>
        <v>0</v>
      </c>
      <c r="BQ83" s="851">
        <f t="shared" si="89"/>
        <v>0</v>
      </c>
      <c r="BR83" s="851">
        <f t="shared" si="89"/>
        <v>0</v>
      </c>
      <c r="BS83" s="851">
        <f t="shared" si="89"/>
        <v>0</v>
      </c>
      <c r="BT83" s="851">
        <f t="shared" si="89"/>
        <v>0</v>
      </c>
      <c r="BU83" s="851">
        <f t="shared" si="90"/>
        <v>0</v>
      </c>
      <c r="BV83" s="851">
        <f t="shared" si="90"/>
        <v>0</v>
      </c>
      <c r="BW83" s="851">
        <f t="shared" si="90"/>
        <v>0</v>
      </c>
      <c r="BX83" s="851">
        <f t="shared" si="90"/>
        <v>0</v>
      </c>
      <c r="BY83" s="851">
        <f t="shared" si="90"/>
        <v>0</v>
      </c>
      <c r="BZ83" s="851">
        <f t="shared" si="90"/>
        <v>0</v>
      </c>
      <c r="CA83" s="14"/>
    </row>
    <row r="84" spans="5:79" ht="15">
      <c r="E84" s="920" t="s">
        <v>939</v>
      </c>
      <c r="F84" s="921">
        <f t="shared" si="66"/>
        <v>0</v>
      </c>
      <c r="G84" s="851">
        <f t="shared" si="79"/>
        <v>0</v>
      </c>
      <c r="H84" s="851">
        <f t="shared" si="79"/>
        <v>0</v>
      </c>
      <c r="I84" s="851">
        <f t="shared" si="79"/>
        <v>0</v>
      </c>
      <c r="J84" s="851">
        <f t="shared" si="79"/>
        <v>0</v>
      </c>
      <c r="K84" s="851">
        <f t="shared" si="79"/>
        <v>0</v>
      </c>
      <c r="L84" s="851">
        <f t="shared" si="79"/>
        <v>0</v>
      </c>
      <c r="M84" s="851">
        <f t="shared" si="80"/>
        <v>0</v>
      </c>
      <c r="N84" s="851">
        <f t="shared" si="80"/>
        <v>0</v>
      </c>
      <c r="O84" s="851">
        <f t="shared" si="80"/>
        <v>0</v>
      </c>
      <c r="P84" s="851">
        <f t="shared" si="80"/>
        <v>0</v>
      </c>
      <c r="Q84" s="851">
        <f t="shared" si="80"/>
        <v>0</v>
      </c>
      <c r="R84" s="851">
        <f t="shared" si="80"/>
        <v>0</v>
      </c>
      <c r="S84" s="851">
        <f t="shared" si="81"/>
        <v>0</v>
      </c>
      <c r="T84" s="851">
        <f t="shared" si="81"/>
        <v>0</v>
      </c>
      <c r="U84" s="851">
        <f t="shared" si="81"/>
        <v>0</v>
      </c>
      <c r="V84" s="851">
        <f t="shared" si="81"/>
        <v>0</v>
      </c>
      <c r="W84" s="851">
        <f t="shared" si="81"/>
        <v>0</v>
      </c>
      <c r="X84" s="851">
        <f t="shared" si="81"/>
        <v>0</v>
      </c>
      <c r="Y84" s="851">
        <f t="shared" si="82"/>
        <v>0</v>
      </c>
      <c r="Z84" s="851">
        <f t="shared" si="82"/>
        <v>0</v>
      </c>
      <c r="AA84" s="851">
        <f t="shared" si="82"/>
        <v>0</v>
      </c>
      <c r="AB84" s="851">
        <f t="shared" si="82"/>
        <v>0</v>
      </c>
      <c r="AC84" s="851">
        <f t="shared" si="82"/>
        <v>0</v>
      </c>
      <c r="AD84" s="851">
        <f t="shared" si="82"/>
        <v>0</v>
      </c>
      <c r="AE84" s="851">
        <f t="shared" si="83"/>
        <v>0</v>
      </c>
      <c r="AF84" s="851">
        <f t="shared" si="83"/>
        <v>0</v>
      </c>
      <c r="AG84" s="851">
        <f t="shared" si="83"/>
        <v>0</v>
      </c>
      <c r="AH84" s="851">
        <f t="shared" si="83"/>
        <v>0</v>
      </c>
      <c r="AI84" s="851">
        <f t="shared" si="83"/>
        <v>0</v>
      </c>
      <c r="AJ84" s="851">
        <f t="shared" si="83"/>
        <v>0</v>
      </c>
      <c r="AK84" s="851">
        <f t="shared" si="84"/>
        <v>0</v>
      </c>
      <c r="AL84" s="851">
        <f t="shared" si="84"/>
        <v>0</v>
      </c>
      <c r="AM84" s="851">
        <f t="shared" si="84"/>
        <v>0</v>
      </c>
      <c r="AN84" s="851">
        <f t="shared" si="84"/>
        <v>0</v>
      </c>
      <c r="AO84" s="851">
        <f t="shared" si="84"/>
        <v>0</v>
      </c>
      <c r="AP84" s="851">
        <f t="shared" si="84"/>
        <v>0</v>
      </c>
      <c r="AQ84" s="851">
        <f t="shared" si="85"/>
        <v>0</v>
      </c>
      <c r="AR84" s="851">
        <f t="shared" si="85"/>
        <v>0</v>
      </c>
      <c r="AS84" s="851">
        <f t="shared" si="85"/>
        <v>0</v>
      </c>
      <c r="AT84" s="851">
        <f t="shared" si="85"/>
        <v>0</v>
      </c>
      <c r="AU84" s="851">
        <f t="shared" si="85"/>
        <v>0</v>
      </c>
      <c r="AV84" s="851">
        <f t="shared" si="85"/>
        <v>0</v>
      </c>
      <c r="AW84" s="851">
        <f t="shared" si="86"/>
        <v>0</v>
      </c>
      <c r="AX84" s="851">
        <f t="shared" si="86"/>
        <v>0</v>
      </c>
      <c r="AY84" s="851">
        <f t="shared" si="86"/>
        <v>0</v>
      </c>
      <c r="AZ84" s="851">
        <f t="shared" si="86"/>
        <v>0</v>
      </c>
      <c r="BA84" s="851">
        <f t="shared" si="86"/>
        <v>0</v>
      </c>
      <c r="BB84" s="851">
        <f t="shared" si="86"/>
        <v>0</v>
      </c>
      <c r="BC84" s="851">
        <f t="shared" si="87"/>
        <v>0</v>
      </c>
      <c r="BD84" s="851">
        <f t="shared" si="87"/>
        <v>0</v>
      </c>
      <c r="BE84" s="851">
        <f t="shared" si="87"/>
        <v>0</v>
      </c>
      <c r="BF84" s="851">
        <f t="shared" si="87"/>
        <v>0</v>
      </c>
      <c r="BG84" s="851">
        <f t="shared" si="87"/>
        <v>0</v>
      </c>
      <c r="BH84" s="851">
        <f t="shared" si="87"/>
        <v>0</v>
      </c>
      <c r="BI84" s="851">
        <f t="shared" si="88"/>
        <v>0</v>
      </c>
      <c r="BJ84" s="851">
        <f t="shared" si="88"/>
        <v>0</v>
      </c>
      <c r="BK84" s="851">
        <f t="shared" si="88"/>
        <v>0</v>
      </c>
      <c r="BL84" s="851">
        <f t="shared" si="88"/>
        <v>0</v>
      </c>
      <c r="BM84" s="851">
        <f t="shared" si="88"/>
        <v>0</v>
      </c>
      <c r="BN84" s="851">
        <f t="shared" si="88"/>
        <v>0</v>
      </c>
      <c r="BO84" s="851">
        <f t="shared" si="89"/>
        <v>0</v>
      </c>
      <c r="BP84" s="851">
        <f t="shared" si="89"/>
        <v>0</v>
      </c>
      <c r="BQ84" s="851">
        <f t="shared" si="89"/>
        <v>0</v>
      </c>
      <c r="BR84" s="851">
        <f t="shared" si="89"/>
        <v>0</v>
      </c>
      <c r="BS84" s="851">
        <f t="shared" si="89"/>
        <v>0</v>
      </c>
      <c r="BT84" s="851">
        <f t="shared" si="89"/>
        <v>0</v>
      </c>
      <c r="BU84" s="851">
        <f t="shared" si="90"/>
        <v>0</v>
      </c>
      <c r="BV84" s="851">
        <f t="shared" si="90"/>
        <v>0</v>
      </c>
      <c r="BW84" s="851">
        <f t="shared" si="90"/>
        <v>0</v>
      </c>
      <c r="BX84" s="851">
        <f t="shared" si="90"/>
        <v>0</v>
      </c>
      <c r="BY84" s="851">
        <f t="shared" si="90"/>
        <v>0</v>
      </c>
      <c r="BZ84" s="851">
        <f t="shared" si="90"/>
        <v>0</v>
      </c>
      <c r="CA84" s="14"/>
    </row>
    <row r="85" spans="5:79" ht="15">
      <c r="E85" s="920" t="s">
        <v>940</v>
      </c>
      <c r="F85" s="921">
        <f t="shared" si="66"/>
        <v>0</v>
      </c>
      <c r="G85" s="851">
        <f t="shared" si="79"/>
        <v>0</v>
      </c>
      <c r="H85" s="851">
        <f t="shared" si="79"/>
        <v>0</v>
      </c>
      <c r="I85" s="851">
        <f t="shared" si="79"/>
        <v>0</v>
      </c>
      <c r="J85" s="851">
        <f t="shared" si="79"/>
        <v>0</v>
      </c>
      <c r="K85" s="851">
        <f t="shared" si="79"/>
        <v>0</v>
      </c>
      <c r="L85" s="851">
        <f t="shared" si="79"/>
        <v>0</v>
      </c>
      <c r="M85" s="851">
        <f t="shared" si="80"/>
        <v>0</v>
      </c>
      <c r="N85" s="851">
        <f t="shared" si="80"/>
        <v>0</v>
      </c>
      <c r="O85" s="851">
        <f t="shared" si="80"/>
        <v>0</v>
      </c>
      <c r="P85" s="851">
        <f t="shared" si="80"/>
        <v>0</v>
      </c>
      <c r="Q85" s="851">
        <f t="shared" si="80"/>
        <v>0</v>
      </c>
      <c r="R85" s="851">
        <f t="shared" si="80"/>
        <v>0</v>
      </c>
      <c r="S85" s="851">
        <f t="shared" si="81"/>
        <v>0</v>
      </c>
      <c r="T85" s="851">
        <f t="shared" si="81"/>
        <v>0</v>
      </c>
      <c r="U85" s="851">
        <f t="shared" si="81"/>
        <v>0</v>
      </c>
      <c r="V85" s="851">
        <f t="shared" si="81"/>
        <v>0</v>
      </c>
      <c r="W85" s="851">
        <f t="shared" si="81"/>
        <v>0</v>
      </c>
      <c r="X85" s="851">
        <f t="shared" si="81"/>
        <v>0</v>
      </c>
      <c r="Y85" s="851">
        <f t="shared" si="82"/>
        <v>0</v>
      </c>
      <c r="Z85" s="851">
        <f t="shared" si="82"/>
        <v>0</v>
      </c>
      <c r="AA85" s="851">
        <f t="shared" si="82"/>
        <v>0</v>
      </c>
      <c r="AB85" s="851">
        <f t="shared" si="82"/>
        <v>0</v>
      </c>
      <c r="AC85" s="851">
        <f t="shared" si="82"/>
        <v>0</v>
      </c>
      <c r="AD85" s="851">
        <f t="shared" si="82"/>
        <v>0</v>
      </c>
      <c r="AE85" s="851">
        <f t="shared" si="83"/>
        <v>0</v>
      </c>
      <c r="AF85" s="851">
        <f t="shared" si="83"/>
        <v>0</v>
      </c>
      <c r="AG85" s="851">
        <f t="shared" si="83"/>
        <v>0</v>
      </c>
      <c r="AH85" s="851">
        <f t="shared" si="83"/>
        <v>0</v>
      </c>
      <c r="AI85" s="851">
        <f t="shared" si="83"/>
        <v>0</v>
      </c>
      <c r="AJ85" s="851">
        <f t="shared" si="83"/>
        <v>0</v>
      </c>
      <c r="AK85" s="851">
        <f t="shared" si="84"/>
        <v>0</v>
      </c>
      <c r="AL85" s="851">
        <f t="shared" si="84"/>
        <v>0</v>
      </c>
      <c r="AM85" s="851">
        <f t="shared" si="84"/>
        <v>0</v>
      </c>
      <c r="AN85" s="851">
        <f t="shared" si="84"/>
        <v>0</v>
      </c>
      <c r="AO85" s="851">
        <f t="shared" si="84"/>
        <v>0</v>
      </c>
      <c r="AP85" s="851">
        <f t="shared" si="84"/>
        <v>0</v>
      </c>
      <c r="AQ85" s="851">
        <f t="shared" si="85"/>
        <v>0</v>
      </c>
      <c r="AR85" s="851">
        <f t="shared" si="85"/>
        <v>0</v>
      </c>
      <c r="AS85" s="851">
        <f t="shared" si="85"/>
        <v>0</v>
      </c>
      <c r="AT85" s="851">
        <f t="shared" si="85"/>
        <v>0</v>
      </c>
      <c r="AU85" s="851">
        <f t="shared" si="85"/>
        <v>0</v>
      </c>
      <c r="AV85" s="851">
        <f t="shared" si="85"/>
        <v>0</v>
      </c>
      <c r="AW85" s="851">
        <f t="shared" si="86"/>
        <v>0</v>
      </c>
      <c r="AX85" s="851">
        <f t="shared" si="86"/>
        <v>0</v>
      </c>
      <c r="AY85" s="851">
        <f t="shared" si="86"/>
        <v>0</v>
      </c>
      <c r="AZ85" s="851">
        <f t="shared" si="86"/>
        <v>0</v>
      </c>
      <c r="BA85" s="851">
        <f t="shared" si="86"/>
        <v>0</v>
      </c>
      <c r="BB85" s="851">
        <f t="shared" si="86"/>
        <v>0</v>
      </c>
      <c r="BC85" s="851">
        <f t="shared" si="87"/>
        <v>0</v>
      </c>
      <c r="BD85" s="851">
        <f t="shared" si="87"/>
        <v>0</v>
      </c>
      <c r="BE85" s="851">
        <f t="shared" si="87"/>
        <v>0</v>
      </c>
      <c r="BF85" s="851">
        <f t="shared" si="87"/>
        <v>0</v>
      </c>
      <c r="BG85" s="851">
        <f t="shared" si="87"/>
        <v>0</v>
      </c>
      <c r="BH85" s="851">
        <f t="shared" si="87"/>
        <v>0</v>
      </c>
      <c r="BI85" s="851">
        <f t="shared" si="88"/>
        <v>0</v>
      </c>
      <c r="BJ85" s="851">
        <f t="shared" si="88"/>
        <v>0</v>
      </c>
      <c r="BK85" s="851">
        <f t="shared" si="88"/>
        <v>0</v>
      </c>
      <c r="BL85" s="851">
        <f t="shared" si="88"/>
        <v>0</v>
      </c>
      <c r="BM85" s="851">
        <f t="shared" si="88"/>
        <v>0</v>
      </c>
      <c r="BN85" s="851">
        <f t="shared" si="88"/>
        <v>0</v>
      </c>
      <c r="BO85" s="851">
        <f t="shared" si="89"/>
        <v>0</v>
      </c>
      <c r="BP85" s="851">
        <f t="shared" si="89"/>
        <v>0</v>
      </c>
      <c r="BQ85" s="851">
        <f t="shared" si="89"/>
        <v>0</v>
      </c>
      <c r="BR85" s="851">
        <f t="shared" si="89"/>
        <v>0</v>
      </c>
      <c r="BS85" s="851">
        <f t="shared" si="89"/>
        <v>0</v>
      </c>
      <c r="BT85" s="851">
        <f t="shared" si="89"/>
        <v>0</v>
      </c>
      <c r="BU85" s="851">
        <f t="shared" si="90"/>
        <v>0</v>
      </c>
      <c r="BV85" s="851">
        <f t="shared" si="90"/>
        <v>0</v>
      </c>
      <c r="BW85" s="851">
        <f t="shared" si="90"/>
        <v>0</v>
      </c>
      <c r="BX85" s="851">
        <f t="shared" si="90"/>
        <v>0</v>
      </c>
      <c r="BY85" s="851">
        <f t="shared" si="90"/>
        <v>0</v>
      </c>
      <c r="BZ85" s="851">
        <f t="shared" si="90"/>
        <v>0</v>
      </c>
      <c r="CA85" s="14"/>
    </row>
    <row r="86" spans="5:79" ht="15">
      <c r="E86" s="920" t="s">
        <v>941</v>
      </c>
      <c r="F86" s="921">
        <f t="shared" si="66"/>
        <v>0</v>
      </c>
      <c r="G86" s="851">
        <f t="shared" si="79"/>
        <v>0</v>
      </c>
      <c r="H86" s="851">
        <f t="shared" si="79"/>
        <v>0</v>
      </c>
      <c r="I86" s="851">
        <f t="shared" si="79"/>
        <v>0</v>
      </c>
      <c r="J86" s="851">
        <f t="shared" si="79"/>
        <v>0</v>
      </c>
      <c r="K86" s="851">
        <f t="shared" si="79"/>
        <v>0</v>
      </c>
      <c r="L86" s="851">
        <f t="shared" si="79"/>
        <v>0</v>
      </c>
      <c r="M86" s="851">
        <f t="shared" si="80"/>
        <v>0</v>
      </c>
      <c r="N86" s="851">
        <f t="shared" si="80"/>
        <v>0</v>
      </c>
      <c r="O86" s="851">
        <f t="shared" si="80"/>
        <v>0</v>
      </c>
      <c r="P86" s="851">
        <f t="shared" si="80"/>
        <v>0</v>
      </c>
      <c r="Q86" s="851">
        <f t="shared" si="80"/>
        <v>0</v>
      </c>
      <c r="R86" s="851">
        <f t="shared" si="80"/>
        <v>0</v>
      </c>
      <c r="S86" s="851">
        <f t="shared" si="81"/>
        <v>0</v>
      </c>
      <c r="T86" s="851">
        <f t="shared" si="81"/>
        <v>0</v>
      </c>
      <c r="U86" s="851">
        <f t="shared" si="81"/>
        <v>0</v>
      </c>
      <c r="V86" s="851">
        <f t="shared" si="81"/>
        <v>0</v>
      </c>
      <c r="W86" s="851">
        <f t="shared" si="81"/>
        <v>0</v>
      </c>
      <c r="X86" s="851">
        <f t="shared" si="81"/>
        <v>0</v>
      </c>
      <c r="Y86" s="851">
        <f t="shared" si="82"/>
        <v>0</v>
      </c>
      <c r="Z86" s="851">
        <f t="shared" si="82"/>
        <v>0</v>
      </c>
      <c r="AA86" s="851">
        <f t="shared" si="82"/>
        <v>0</v>
      </c>
      <c r="AB86" s="851">
        <f t="shared" si="82"/>
        <v>0</v>
      </c>
      <c r="AC86" s="851">
        <f t="shared" si="82"/>
        <v>0</v>
      </c>
      <c r="AD86" s="851">
        <f t="shared" si="82"/>
        <v>0</v>
      </c>
      <c r="AE86" s="851">
        <f t="shared" si="83"/>
        <v>0</v>
      </c>
      <c r="AF86" s="851">
        <f t="shared" si="83"/>
        <v>0</v>
      </c>
      <c r="AG86" s="851">
        <f t="shared" si="83"/>
        <v>0</v>
      </c>
      <c r="AH86" s="851">
        <f t="shared" si="83"/>
        <v>0</v>
      </c>
      <c r="AI86" s="851">
        <f t="shared" si="83"/>
        <v>0</v>
      </c>
      <c r="AJ86" s="851">
        <f t="shared" si="83"/>
        <v>0</v>
      </c>
      <c r="AK86" s="851">
        <f t="shared" si="84"/>
        <v>0</v>
      </c>
      <c r="AL86" s="851">
        <f t="shared" si="84"/>
        <v>0</v>
      </c>
      <c r="AM86" s="851">
        <f t="shared" si="84"/>
        <v>0</v>
      </c>
      <c r="AN86" s="851">
        <f t="shared" si="84"/>
        <v>0</v>
      </c>
      <c r="AO86" s="851">
        <f t="shared" si="84"/>
        <v>0</v>
      </c>
      <c r="AP86" s="851">
        <f t="shared" si="84"/>
        <v>0</v>
      </c>
      <c r="AQ86" s="851">
        <f t="shared" si="85"/>
        <v>0</v>
      </c>
      <c r="AR86" s="851">
        <f t="shared" si="85"/>
        <v>0</v>
      </c>
      <c r="AS86" s="851">
        <f t="shared" si="85"/>
        <v>0</v>
      </c>
      <c r="AT86" s="851">
        <f t="shared" si="85"/>
        <v>0</v>
      </c>
      <c r="AU86" s="851">
        <f t="shared" si="85"/>
        <v>0</v>
      </c>
      <c r="AV86" s="851">
        <f t="shared" si="85"/>
        <v>0</v>
      </c>
      <c r="AW86" s="851">
        <f t="shared" si="86"/>
        <v>0</v>
      </c>
      <c r="AX86" s="851">
        <f t="shared" si="86"/>
        <v>0</v>
      </c>
      <c r="AY86" s="851">
        <f t="shared" si="86"/>
        <v>0</v>
      </c>
      <c r="AZ86" s="851">
        <f t="shared" si="86"/>
        <v>0</v>
      </c>
      <c r="BA86" s="851">
        <f t="shared" si="86"/>
        <v>0</v>
      </c>
      <c r="BB86" s="851">
        <f t="shared" si="86"/>
        <v>0</v>
      </c>
      <c r="BC86" s="851">
        <f t="shared" si="87"/>
        <v>0</v>
      </c>
      <c r="BD86" s="851">
        <f t="shared" si="87"/>
        <v>0</v>
      </c>
      <c r="BE86" s="851">
        <f t="shared" si="87"/>
        <v>0</v>
      </c>
      <c r="BF86" s="851">
        <f t="shared" si="87"/>
        <v>0</v>
      </c>
      <c r="BG86" s="851">
        <f t="shared" si="87"/>
        <v>0</v>
      </c>
      <c r="BH86" s="851">
        <f t="shared" si="87"/>
        <v>0</v>
      </c>
      <c r="BI86" s="851">
        <f t="shared" si="88"/>
        <v>0</v>
      </c>
      <c r="BJ86" s="851">
        <f t="shared" si="88"/>
        <v>0</v>
      </c>
      <c r="BK86" s="851">
        <f t="shared" si="88"/>
        <v>0</v>
      </c>
      <c r="BL86" s="851">
        <f t="shared" si="88"/>
        <v>0</v>
      </c>
      <c r="BM86" s="851">
        <f t="shared" si="88"/>
        <v>0</v>
      </c>
      <c r="BN86" s="851">
        <f t="shared" si="88"/>
        <v>0</v>
      </c>
      <c r="BO86" s="851">
        <f t="shared" si="89"/>
        <v>0</v>
      </c>
      <c r="BP86" s="851">
        <f t="shared" si="89"/>
        <v>0</v>
      </c>
      <c r="BQ86" s="851">
        <f t="shared" si="89"/>
        <v>0</v>
      </c>
      <c r="BR86" s="851">
        <f t="shared" si="89"/>
        <v>0</v>
      </c>
      <c r="BS86" s="851">
        <f t="shared" si="89"/>
        <v>0</v>
      </c>
      <c r="BT86" s="851">
        <f t="shared" si="89"/>
        <v>0</v>
      </c>
      <c r="BU86" s="851">
        <f t="shared" si="90"/>
        <v>0</v>
      </c>
      <c r="BV86" s="851">
        <f t="shared" si="90"/>
        <v>0</v>
      </c>
      <c r="BW86" s="851">
        <f t="shared" si="90"/>
        <v>0</v>
      </c>
      <c r="BX86" s="851">
        <f t="shared" si="90"/>
        <v>0</v>
      </c>
      <c r="BY86" s="851">
        <f t="shared" si="90"/>
        <v>0</v>
      </c>
      <c r="BZ86" s="851">
        <f t="shared" si="90"/>
        <v>0</v>
      </c>
      <c r="CA86" s="14"/>
    </row>
    <row r="87" spans="5:79" ht="15">
      <c r="E87" s="920" t="s">
        <v>942</v>
      </c>
      <c r="F87" s="921">
        <f t="shared" si="66"/>
        <v>0</v>
      </c>
      <c r="G87" s="851">
        <f t="shared" si="79"/>
        <v>0</v>
      </c>
      <c r="H87" s="851">
        <f t="shared" si="79"/>
        <v>0</v>
      </c>
      <c r="I87" s="851">
        <f t="shared" si="79"/>
        <v>0</v>
      </c>
      <c r="J87" s="851">
        <f t="shared" si="79"/>
        <v>0</v>
      </c>
      <c r="K87" s="851">
        <f t="shared" si="79"/>
        <v>0</v>
      </c>
      <c r="L87" s="851">
        <f t="shared" si="79"/>
        <v>0</v>
      </c>
      <c r="M87" s="851">
        <f t="shared" si="80"/>
        <v>0</v>
      </c>
      <c r="N87" s="851">
        <f t="shared" si="80"/>
        <v>0</v>
      </c>
      <c r="O87" s="851">
        <f t="shared" si="80"/>
        <v>0</v>
      </c>
      <c r="P87" s="851">
        <f t="shared" si="80"/>
        <v>0</v>
      </c>
      <c r="Q87" s="851">
        <f t="shared" si="80"/>
        <v>0</v>
      </c>
      <c r="R87" s="851">
        <f t="shared" si="80"/>
        <v>0</v>
      </c>
      <c r="S87" s="851">
        <f t="shared" si="81"/>
        <v>0</v>
      </c>
      <c r="T87" s="851">
        <f t="shared" si="81"/>
        <v>0</v>
      </c>
      <c r="U87" s="851">
        <f t="shared" si="81"/>
        <v>0</v>
      </c>
      <c r="V87" s="851">
        <f t="shared" si="81"/>
        <v>0</v>
      </c>
      <c r="W87" s="851">
        <f t="shared" si="81"/>
        <v>0</v>
      </c>
      <c r="X87" s="851">
        <f t="shared" si="81"/>
        <v>0</v>
      </c>
      <c r="Y87" s="851">
        <f t="shared" si="82"/>
        <v>0</v>
      </c>
      <c r="Z87" s="851">
        <f t="shared" si="82"/>
        <v>0</v>
      </c>
      <c r="AA87" s="851">
        <f t="shared" si="82"/>
        <v>0</v>
      </c>
      <c r="AB87" s="851">
        <f t="shared" si="82"/>
        <v>0</v>
      </c>
      <c r="AC87" s="851">
        <f t="shared" si="82"/>
        <v>0</v>
      </c>
      <c r="AD87" s="851">
        <f t="shared" si="82"/>
        <v>0</v>
      </c>
      <c r="AE87" s="851">
        <f t="shared" si="83"/>
        <v>0</v>
      </c>
      <c r="AF87" s="851">
        <f t="shared" si="83"/>
        <v>0</v>
      </c>
      <c r="AG87" s="851">
        <f t="shared" si="83"/>
        <v>0</v>
      </c>
      <c r="AH87" s="851">
        <f t="shared" si="83"/>
        <v>0</v>
      </c>
      <c r="AI87" s="851">
        <f t="shared" si="83"/>
        <v>0</v>
      </c>
      <c r="AJ87" s="851">
        <f t="shared" si="83"/>
        <v>0</v>
      </c>
      <c r="AK87" s="851">
        <f t="shared" si="84"/>
        <v>0</v>
      </c>
      <c r="AL87" s="851">
        <f t="shared" si="84"/>
        <v>0</v>
      </c>
      <c r="AM87" s="851">
        <f t="shared" si="84"/>
        <v>0</v>
      </c>
      <c r="AN87" s="851">
        <f t="shared" si="84"/>
        <v>0</v>
      </c>
      <c r="AO87" s="851">
        <f t="shared" si="84"/>
        <v>0</v>
      </c>
      <c r="AP87" s="851">
        <f t="shared" si="84"/>
        <v>0</v>
      </c>
      <c r="AQ87" s="851">
        <f t="shared" si="85"/>
        <v>0</v>
      </c>
      <c r="AR87" s="851">
        <f t="shared" si="85"/>
        <v>0</v>
      </c>
      <c r="AS87" s="851">
        <f t="shared" si="85"/>
        <v>0</v>
      </c>
      <c r="AT87" s="851">
        <f t="shared" si="85"/>
        <v>0</v>
      </c>
      <c r="AU87" s="851">
        <f t="shared" si="85"/>
        <v>0</v>
      </c>
      <c r="AV87" s="851">
        <f t="shared" si="85"/>
        <v>0</v>
      </c>
      <c r="AW87" s="851">
        <f t="shared" si="86"/>
        <v>0</v>
      </c>
      <c r="AX87" s="851">
        <f t="shared" si="86"/>
        <v>0</v>
      </c>
      <c r="AY87" s="851">
        <f t="shared" si="86"/>
        <v>0</v>
      </c>
      <c r="AZ87" s="851">
        <f t="shared" si="86"/>
        <v>0</v>
      </c>
      <c r="BA87" s="851">
        <f t="shared" si="86"/>
        <v>0</v>
      </c>
      <c r="BB87" s="851">
        <f t="shared" si="86"/>
        <v>0</v>
      </c>
      <c r="BC87" s="851">
        <f t="shared" si="87"/>
        <v>0</v>
      </c>
      <c r="BD87" s="851">
        <f t="shared" si="87"/>
        <v>0</v>
      </c>
      <c r="BE87" s="851">
        <f t="shared" si="87"/>
        <v>0</v>
      </c>
      <c r="BF87" s="851">
        <f t="shared" si="87"/>
        <v>0</v>
      </c>
      <c r="BG87" s="851">
        <f t="shared" si="87"/>
        <v>0</v>
      </c>
      <c r="BH87" s="851">
        <f t="shared" si="87"/>
        <v>0</v>
      </c>
      <c r="BI87" s="851">
        <f t="shared" si="88"/>
        <v>0</v>
      </c>
      <c r="BJ87" s="851">
        <f t="shared" si="88"/>
        <v>0</v>
      </c>
      <c r="BK87" s="851">
        <f t="shared" si="88"/>
        <v>0</v>
      </c>
      <c r="BL87" s="851">
        <f t="shared" si="88"/>
        <v>0</v>
      </c>
      <c r="BM87" s="851">
        <f t="shared" si="88"/>
        <v>0</v>
      </c>
      <c r="BN87" s="851">
        <f t="shared" si="88"/>
        <v>0</v>
      </c>
      <c r="BO87" s="851">
        <f t="shared" si="89"/>
        <v>0</v>
      </c>
      <c r="BP87" s="851">
        <f t="shared" si="89"/>
        <v>0</v>
      </c>
      <c r="BQ87" s="851">
        <f t="shared" si="89"/>
        <v>0</v>
      </c>
      <c r="BR87" s="851">
        <f t="shared" si="89"/>
        <v>0</v>
      </c>
      <c r="BS87" s="851">
        <f t="shared" si="89"/>
        <v>0</v>
      </c>
      <c r="BT87" s="851">
        <f t="shared" si="89"/>
        <v>0</v>
      </c>
      <c r="BU87" s="851">
        <f t="shared" si="90"/>
        <v>0</v>
      </c>
      <c r="BV87" s="851">
        <f t="shared" si="90"/>
        <v>0</v>
      </c>
      <c r="BW87" s="851">
        <f t="shared" si="90"/>
        <v>0</v>
      </c>
      <c r="BX87" s="851">
        <f t="shared" si="90"/>
        <v>0</v>
      </c>
      <c r="BY87" s="851">
        <f t="shared" si="90"/>
        <v>0</v>
      </c>
      <c r="BZ87" s="851">
        <f t="shared" si="90"/>
        <v>0</v>
      </c>
      <c r="CA87" s="14"/>
    </row>
    <row r="88" spans="5:79" ht="15">
      <c r="E88" s="920" t="s">
        <v>943</v>
      </c>
      <c r="F88" s="921">
        <f t="shared" si="66"/>
        <v>0</v>
      </c>
      <c r="G88" s="851">
        <f t="shared" si="79"/>
        <v>0</v>
      </c>
      <c r="H88" s="851">
        <f t="shared" si="79"/>
        <v>0</v>
      </c>
      <c r="I88" s="851">
        <f t="shared" si="79"/>
        <v>0</v>
      </c>
      <c r="J88" s="851">
        <f t="shared" si="79"/>
        <v>0</v>
      </c>
      <c r="K88" s="851">
        <f t="shared" si="79"/>
        <v>0</v>
      </c>
      <c r="L88" s="851">
        <f t="shared" si="79"/>
        <v>0</v>
      </c>
      <c r="M88" s="851">
        <f t="shared" si="80"/>
        <v>0</v>
      </c>
      <c r="N88" s="851">
        <f t="shared" si="80"/>
        <v>0</v>
      </c>
      <c r="O88" s="851">
        <f t="shared" si="80"/>
        <v>0</v>
      </c>
      <c r="P88" s="851">
        <f t="shared" si="80"/>
        <v>0</v>
      </c>
      <c r="Q88" s="851">
        <f t="shared" si="80"/>
        <v>0</v>
      </c>
      <c r="R88" s="851">
        <f t="shared" si="80"/>
        <v>0</v>
      </c>
      <c r="S88" s="851">
        <f t="shared" si="81"/>
        <v>0</v>
      </c>
      <c r="T88" s="851">
        <f t="shared" si="81"/>
        <v>0</v>
      </c>
      <c r="U88" s="851">
        <f t="shared" si="81"/>
        <v>0</v>
      </c>
      <c r="V88" s="851">
        <f t="shared" si="81"/>
        <v>0</v>
      </c>
      <c r="W88" s="851">
        <f t="shared" si="81"/>
        <v>0</v>
      </c>
      <c r="X88" s="851">
        <f t="shared" si="81"/>
        <v>0</v>
      </c>
      <c r="Y88" s="851">
        <f t="shared" si="82"/>
        <v>0</v>
      </c>
      <c r="Z88" s="851">
        <f t="shared" si="82"/>
        <v>0</v>
      </c>
      <c r="AA88" s="851">
        <f t="shared" si="82"/>
        <v>0</v>
      </c>
      <c r="AB88" s="851">
        <f t="shared" si="82"/>
        <v>0</v>
      </c>
      <c r="AC88" s="851">
        <f t="shared" si="82"/>
        <v>0</v>
      </c>
      <c r="AD88" s="851">
        <f t="shared" si="82"/>
        <v>0</v>
      </c>
      <c r="AE88" s="851">
        <f t="shared" si="83"/>
        <v>0</v>
      </c>
      <c r="AF88" s="851">
        <f t="shared" si="83"/>
        <v>0</v>
      </c>
      <c r="AG88" s="851">
        <f t="shared" si="83"/>
        <v>0</v>
      </c>
      <c r="AH88" s="851">
        <f t="shared" si="83"/>
        <v>0</v>
      </c>
      <c r="AI88" s="851">
        <f t="shared" si="83"/>
        <v>0</v>
      </c>
      <c r="AJ88" s="851">
        <f t="shared" si="83"/>
        <v>0</v>
      </c>
      <c r="AK88" s="851">
        <f t="shared" si="84"/>
        <v>0</v>
      </c>
      <c r="AL88" s="851">
        <f t="shared" si="84"/>
        <v>0</v>
      </c>
      <c r="AM88" s="851">
        <f t="shared" si="84"/>
        <v>0</v>
      </c>
      <c r="AN88" s="851">
        <f t="shared" si="84"/>
        <v>0</v>
      </c>
      <c r="AO88" s="851">
        <f t="shared" si="84"/>
        <v>0</v>
      </c>
      <c r="AP88" s="851">
        <f t="shared" si="84"/>
        <v>0</v>
      </c>
      <c r="AQ88" s="851">
        <f t="shared" si="85"/>
        <v>0</v>
      </c>
      <c r="AR88" s="851">
        <f t="shared" si="85"/>
        <v>0</v>
      </c>
      <c r="AS88" s="851">
        <f t="shared" si="85"/>
        <v>0</v>
      </c>
      <c r="AT88" s="851">
        <f t="shared" si="85"/>
        <v>0</v>
      </c>
      <c r="AU88" s="851">
        <f t="shared" si="85"/>
        <v>0</v>
      </c>
      <c r="AV88" s="851">
        <f t="shared" si="85"/>
        <v>0</v>
      </c>
      <c r="AW88" s="851">
        <f t="shared" si="86"/>
        <v>0</v>
      </c>
      <c r="AX88" s="851">
        <f t="shared" si="86"/>
        <v>0</v>
      </c>
      <c r="AY88" s="851">
        <f t="shared" si="86"/>
        <v>0</v>
      </c>
      <c r="AZ88" s="851">
        <f t="shared" si="86"/>
        <v>0</v>
      </c>
      <c r="BA88" s="851">
        <f t="shared" si="86"/>
        <v>0</v>
      </c>
      <c r="BB88" s="851">
        <f t="shared" si="86"/>
        <v>0</v>
      </c>
      <c r="BC88" s="851">
        <f t="shared" si="87"/>
        <v>0</v>
      </c>
      <c r="BD88" s="851">
        <f t="shared" si="87"/>
        <v>0</v>
      </c>
      <c r="BE88" s="851">
        <f t="shared" si="87"/>
        <v>0</v>
      </c>
      <c r="BF88" s="851">
        <f t="shared" si="87"/>
        <v>0</v>
      </c>
      <c r="BG88" s="851">
        <f t="shared" si="87"/>
        <v>0</v>
      </c>
      <c r="BH88" s="851">
        <f t="shared" si="87"/>
        <v>0</v>
      </c>
      <c r="BI88" s="851">
        <f t="shared" si="88"/>
        <v>0</v>
      </c>
      <c r="BJ88" s="851">
        <f t="shared" si="88"/>
        <v>0</v>
      </c>
      <c r="BK88" s="851">
        <f t="shared" si="88"/>
        <v>0</v>
      </c>
      <c r="BL88" s="851">
        <f t="shared" si="88"/>
        <v>0</v>
      </c>
      <c r="BM88" s="851">
        <f t="shared" si="88"/>
        <v>0</v>
      </c>
      <c r="BN88" s="851">
        <f t="shared" si="88"/>
        <v>0</v>
      </c>
      <c r="BO88" s="851">
        <f t="shared" si="89"/>
        <v>0</v>
      </c>
      <c r="BP88" s="851">
        <f t="shared" si="89"/>
        <v>0</v>
      </c>
      <c r="BQ88" s="851">
        <f t="shared" si="89"/>
        <v>0</v>
      </c>
      <c r="BR88" s="851">
        <f t="shared" si="89"/>
        <v>0</v>
      </c>
      <c r="BS88" s="851">
        <f t="shared" si="89"/>
        <v>0</v>
      </c>
      <c r="BT88" s="851">
        <f t="shared" si="89"/>
        <v>0</v>
      </c>
      <c r="BU88" s="851">
        <f t="shared" si="90"/>
        <v>0</v>
      </c>
      <c r="BV88" s="851">
        <f t="shared" si="90"/>
        <v>0</v>
      </c>
      <c r="BW88" s="851">
        <f t="shared" si="90"/>
        <v>0</v>
      </c>
      <c r="BX88" s="851">
        <f t="shared" si="90"/>
        <v>0</v>
      </c>
      <c r="BY88" s="851">
        <f t="shared" si="90"/>
        <v>0</v>
      </c>
      <c r="BZ88" s="851">
        <f t="shared" si="90"/>
        <v>0</v>
      </c>
      <c r="CA88" s="14"/>
    </row>
    <row r="89" spans="5:79" ht="15">
      <c r="E89" s="920" t="s">
        <v>944</v>
      </c>
      <c r="F89" s="921">
        <f t="shared" si="66"/>
        <v>0</v>
      </c>
      <c r="G89" s="851">
        <f t="shared" si="79"/>
        <v>0</v>
      </c>
      <c r="H89" s="851">
        <f t="shared" si="79"/>
        <v>0</v>
      </c>
      <c r="I89" s="851">
        <f t="shared" si="79"/>
        <v>0</v>
      </c>
      <c r="J89" s="851">
        <f t="shared" si="79"/>
        <v>0</v>
      </c>
      <c r="K89" s="851">
        <f t="shared" si="79"/>
        <v>0</v>
      </c>
      <c r="L89" s="851">
        <f t="shared" si="79"/>
        <v>0</v>
      </c>
      <c r="M89" s="851">
        <f t="shared" si="80"/>
        <v>0</v>
      </c>
      <c r="N89" s="851">
        <f t="shared" si="80"/>
        <v>0</v>
      </c>
      <c r="O89" s="851">
        <f t="shared" si="80"/>
        <v>0</v>
      </c>
      <c r="P89" s="851">
        <f t="shared" si="80"/>
        <v>0</v>
      </c>
      <c r="Q89" s="851">
        <f t="shared" si="80"/>
        <v>0</v>
      </c>
      <c r="R89" s="851">
        <f t="shared" si="80"/>
        <v>0</v>
      </c>
      <c r="S89" s="851">
        <f t="shared" si="81"/>
        <v>0</v>
      </c>
      <c r="T89" s="851">
        <f t="shared" si="81"/>
        <v>0</v>
      </c>
      <c r="U89" s="851">
        <f t="shared" si="81"/>
        <v>0</v>
      </c>
      <c r="V89" s="851">
        <f t="shared" si="81"/>
        <v>0</v>
      </c>
      <c r="W89" s="851">
        <f t="shared" si="81"/>
        <v>0</v>
      </c>
      <c r="X89" s="851">
        <f t="shared" si="81"/>
        <v>0</v>
      </c>
      <c r="Y89" s="851">
        <f t="shared" si="82"/>
        <v>0</v>
      </c>
      <c r="Z89" s="851">
        <f t="shared" si="82"/>
        <v>0</v>
      </c>
      <c r="AA89" s="851">
        <f t="shared" si="82"/>
        <v>0</v>
      </c>
      <c r="AB89" s="851">
        <f t="shared" si="82"/>
        <v>0</v>
      </c>
      <c r="AC89" s="851">
        <f t="shared" si="82"/>
        <v>0</v>
      </c>
      <c r="AD89" s="851">
        <f t="shared" si="82"/>
        <v>0</v>
      </c>
      <c r="AE89" s="851">
        <f t="shared" si="83"/>
        <v>0</v>
      </c>
      <c r="AF89" s="851">
        <f t="shared" si="83"/>
        <v>0</v>
      </c>
      <c r="AG89" s="851">
        <f t="shared" si="83"/>
        <v>0</v>
      </c>
      <c r="AH89" s="851">
        <f t="shared" si="83"/>
        <v>0</v>
      </c>
      <c r="AI89" s="851">
        <f t="shared" si="83"/>
        <v>0</v>
      </c>
      <c r="AJ89" s="851">
        <f t="shared" si="83"/>
        <v>0</v>
      </c>
      <c r="AK89" s="851">
        <f t="shared" si="84"/>
        <v>0</v>
      </c>
      <c r="AL89" s="851">
        <f t="shared" si="84"/>
        <v>0</v>
      </c>
      <c r="AM89" s="851">
        <f t="shared" si="84"/>
        <v>0</v>
      </c>
      <c r="AN89" s="851">
        <f t="shared" si="84"/>
        <v>0</v>
      </c>
      <c r="AO89" s="851">
        <f t="shared" si="84"/>
        <v>0</v>
      </c>
      <c r="AP89" s="851">
        <f t="shared" si="84"/>
        <v>0</v>
      </c>
      <c r="AQ89" s="851">
        <f t="shared" si="85"/>
        <v>0</v>
      </c>
      <c r="AR89" s="851">
        <f t="shared" si="85"/>
        <v>0</v>
      </c>
      <c r="AS89" s="851">
        <f t="shared" si="85"/>
        <v>0</v>
      </c>
      <c r="AT89" s="851">
        <f t="shared" si="85"/>
        <v>0</v>
      </c>
      <c r="AU89" s="851">
        <f t="shared" si="85"/>
        <v>0</v>
      </c>
      <c r="AV89" s="851">
        <f t="shared" si="85"/>
        <v>0</v>
      </c>
      <c r="AW89" s="851">
        <f t="shared" si="86"/>
        <v>0</v>
      </c>
      <c r="AX89" s="851">
        <f t="shared" si="86"/>
        <v>0</v>
      </c>
      <c r="AY89" s="851">
        <f t="shared" si="86"/>
        <v>0</v>
      </c>
      <c r="AZ89" s="851">
        <f t="shared" si="86"/>
        <v>0</v>
      </c>
      <c r="BA89" s="851">
        <f t="shared" si="86"/>
        <v>0</v>
      </c>
      <c r="BB89" s="851">
        <f t="shared" si="86"/>
        <v>0</v>
      </c>
      <c r="BC89" s="851">
        <f t="shared" si="87"/>
        <v>0</v>
      </c>
      <c r="BD89" s="851">
        <f t="shared" si="87"/>
        <v>0</v>
      </c>
      <c r="BE89" s="851">
        <f t="shared" si="87"/>
        <v>0</v>
      </c>
      <c r="BF89" s="851">
        <f t="shared" si="87"/>
        <v>0</v>
      </c>
      <c r="BG89" s="851">
        <f t="shared" si="87"/>
        <v>0</v>
      </c>
      <c r="BH89" s="851">
        <f t="shared" si="87"/>
        <v>0</v>
      </c>
      <c r="BI89" s="851">
        <f t="shared" si="88"/>
        <v>0</v>
      </c>
      <c r="BJ89" s="851">
        <f t="shared" si="88"/>
        <v>0</v>
      </c>
      <c r="BK89" s="851">
        <f t="shared" si="88"/>
        <v>0</v>
      </c>
      <c r="BL89" s="851">
        <f t="shared" si="88"/>
        <v>0</v>
      </c>
      <c r="BM89" s="851">
        <f t="shared" si="88"/>
        <v>0</v>
      </c>
      <c r="BN89" s="851">
        <f t="shared" si="88"/>
        <v>0</v>
      </c>
      <c r="BO89" s="851">
        <f t="shared" si="89"/>
        <v>0</v>
      </c>
      <c r="BP89" s="851">
        <f t="shared" si="89"/>
        <v>0</v>
      </c>
      <c r="BQ89" s="851">
        <f t="shared" si="89"/>
        <v>0</v>
      </c>
      <c r="BR89" s="851">
        <f t="shared" si="89"/>
        <v>0</v>
      </c>
      <c r="BS89" s="851">
        <f t="shared" si="89"/>
        <v>0</v>
      </c>
      <c r="BT89" s="851">
        <f t="shared" si="89"/>
        <v>0</v>
      </c>
      <c r="BU89" s="851">
        <f t="shared" si="90"/>
        <v>0</v>
      </c>
      <c r="BV89" s="851">
        <f t="shared" si="90"/>
        <v>0</v>
      </c>
      <c r="BW89" s="851">
        <f t="shared" si="90"/>
        <v>0</v>
      </c>
      <c r="BX89" s="851">
        <f t="shared" si="90"/>
        <v>0</v>
      </c>
      <c r="BY89" s="851">
        <f t="shared" si="90"/>
        <v>0</v>
      </c>
      <c r="BZ89" s="851">
        <f t="shared" si="90"/>
        <v>0</v>
      </c>
      <c r="CA89" s="14"/>
    </row>
    <row r="90" spans="5:79" ht="15">
      <c r="E90" s="920" t="s">
        <v>945</v>
      </c>
      <c r="F90" s="921">
        <f t="shared" si="66"/>
        <v>0</v>
      </c>
      <c r="G90" s="851">
        <f t="shared" si="79"/>
        <v>0</v>
      </c>
      <c r="H90" s="851">
        <f t="shared" si="79"/>
        <v>0</v>
      </c>
      <c r="I90" s="851">
        <f t="shared" si="79"/>
        <v>0</v>
      </c>
      <c r="J90" s="851">
        <f t="shared" si="79"/>
        <v>0</v>
      </c>
      <c r="K90" s="851">
        <f t="shared" si="79"/>
        <v>0</v>
      </c>
      <c r="L90" s="851">
        <f t="shared" si="79"/>
        <v>0</v>
      </c>
      <c r="M90" s="851">
        <f t="shared" si="80"/>
        <v>0</v>
      </c>
      <c r="N90" s="851">
        <f t="shared" si="80"/>
        <v>0</v>
      </c>
      <c r="O90" s="851">
        <f t="shared" si="80"/>
        <v>0</v>
      </c>
      <c r="P90" s="851">
        <f t="shared" si="80"/>
        <v>0</v>
      </c>
      <c r="Q90" s="851">
        <f t="shared" si="80"/>
        <v>0</v>
      </c>
      <c r="R90" s="851">
        <f t="shared" si="80"/>
        <v>0</v>
      </c>
      <c r="S90" s="851">
        <f t="shared" si="81"/>
        <v>0</v>
      </c>
      <c r="T90" s="851">
        <f t="shared" si="81"/>
        <v>0</v>
      </c>
      <c r="U90" s="851">
        <f t="shared" si="81"/>
        <v>0</v>
      </c>
      <c r="V90" s="851">
        <f t="shared" si="81"/>
        <v>0</v>
      </c>
      <c r="W90" s="851">
        <f t="shared" si="81"/>
        <v>0</v>
      </c>
      <c r="X90" s="851">
        <f t="shared" si="81"/>
        <v>0</v>
      </c>
      <c r="Y90" s="851">
        <f t="shared" si="82"/>
        <v>0</v>
      </c>
      <c r="Z90" s="851">
        <f t="shared" si="82"/>
        <v>0</v>
      </c>
      <c r="AA90" s="851">
        <f t="shared" si="82"/>
        <v>0</v>
      </c>
      <c r="AB90" s="851">
        <f t="shared" si="82"/>
        <v>0</v>
      </c>
      <c r="AC90" s="851">
        <f t="shared" si="82"/>
        <v>0</v>
      </c>
      <c r="AD90" s="851">
        <f t="shared" si="82"/>
        <v>0</v>
      </c>
      <c r="AE90" s="851">
        <f t="shared" si="83"/>
        <v>0</v>
      </c>
      <c r="AF90" s="851">
        <f t="shared" si="83"/>
        <v>0</v>
      </c>
      <c r="AG90" s="851">
        <f t="shared" si="83"/>
        <v>0</v>
      </c>
      <c r="AH90" s="851">
        <f t="shared" si="83"/>
        <v>0</v>
      </c>
      <c r="AI90" s="851">
        <f t="shared" si="83"/>
        <v>0</v>
      </c>
      <c r="AJ90" s="851">
        <f t="shared" si="83"/>
        <v>0</v>
      </c>
      <c r="AK90" s="851">
        <f t="shared" si="84"/>
        <v>0</v>
      </c>
      <c r="AL90" s="851">
        <f t="shared" si="84"/>
        <v>0</v>
      </c>
      <c r="AM90" s="851">
        <f t="shared" si="84"/>
        <v>0</v>
      </c>
      <c r="AN90" s="851">
        <f t="shared" si="84"/>
        <v>0</v>
      </c>
      <c r="AO90" s="851">
        <f t="shared" si="84"/>
        <v>0</v>
      </c>
      <c r="AP90" s="851">
        <f t="shared" si="84"/>
        <v>0</v>
      </c>
      <c r="AQ90" s="851">
        <f t="shared" si="85"/>
        <v>0</v>
      </c>
      <c r="AR90" s="851">
        <f t="shared" si="85"/>
        <v>0</v>
      </c>
      <c r="AS90" s="851">
        <f t="shared" si="85"/>
        <v>0</v>
      </c>
      <c r="AT90" s="851">
        <f t="shared" si="85"/>
        <v>0</v>
      </c>
      <c r="AU90" s="851">
        <f t="shared" si="85"/>
        <v>0</v>
      </c>
      <c r="AV90" s="851">
        <f t="shared" si="85"/>
        <v>0</v>
      </c>
      <c r="AW90" s="851">
        <f t="shared" si="86"/>
        <v>0</v>
      </c>
      <c r="AX90" s="851">
        <f t="shared" si="86"/>
        <v>0</v>
      </c>
      <c r="AY90" s="851">
        <f t="shared" si="86"/>
        <v>0</v>
      </c>
      <c r="AZ90" s="851">
        <f t="shared" si="86"/>
        <v>0</v>
      </c>
      <c r="BA90" s="851">
        <f t="shared" si="86"/>
        <v>0</v>
      </c>
      <c r="BB90" s="851">
        <f t="shared" si="86"/>
        <v>0</v>
      </c>
      <c r="BC90" s="851">
        <f t="shared" si="87"/>
        <v>0</v>
      </c>
      <c r="BD90" s="851">
        <f t="shared" si="87"/>
        <v>0</v>
      </c>
      <c r="BE90" s="851">
        <f t="shared" si="87"/>
        <v>0</v>
      </c>
      <c r="BF90" s="851">
        <f t="shared" si="87"/>
        <v>0</v>
      </c>
      <c r="BG90" s="851">
        <f t="shared" si="87"/>
        <v>0</v>
      </c>
      <c r="BH90" s="851">
        <f t="shared" si="87"/>
        <v>0</v>
      </c>
      <c r="BI90" s="851">
        <f t="shared" si="88"/>
        <v>0</v>
      </c>
      <c r="BJ90" s="851">
        <f t="shared" si="88"/>
        <v>0</v>
      </c>
      <c r="BK90" s="851">
        <f t="shared" si="88"/>
        <v>0</v>
      </c>
      <c r="BL90" s="851">
        <f t="shared" si="88"/>
        <v>0</v>
      </c>
      <c r="BM90" s="851">
        <f t="shared" si="88"/>
        <v>0</v>
      </c>
      <c r="BN90" s="851">
        <f t="shared" si="88"/>
        <v>0</v>
      </c>
      <c r="BO90" s="851">
        <f t="shared" si="89"/>
        <v>0</v>
      </c>
      <c r="BP90" s="851">
        <f t="shared" si="89"/>
        <v>0</v>
      </c>
      <c r="BQ90" s="851">
        <f t="shared" si="89"/>
        <v>0</v>
      </c>
      <c r="BR90" s="851">
        <f t="shared" si="89"/>
        <v>0</v>
      </c>
      <c r="BS90" s="851">
        <f t="shared" si="89"/>
        <v>0</v>
      </c>
      <c r="BT90" s="851">
        <f t="shared" si="89"/>
        <v>0</v>
      </c>
      <c r="BU90" s="851">
        <f t="shared" si="90"/>
        <v>0</v>
      </c>
      <c r="BV90" s="851">
        <f t="shared" si="90"/>
        <v>0</v>
      </c>
      <c r="BW90" s="851">
        <f t="shared" si="90"/>
        <v>0</v>
      </c>
      <c r="BX90" s="851">
        <f t="shared" si="90"/>
        <v>0</v>
      </c>
      <c r="BY90" s="851">
        <f t="shared" si="90"/>
        <v>0</v>
      </c>
      <c r="BZ90" s="851">
        <f t="shared" si="90"/>
        <v>0</v>
      </c>
      <c r="CA90" s="14"/>
    </row>
    <row r="91" spans="5:79" ht="15">
      <c r="E91" s="920" t="s">
        <v>946</v>
      </c>
      <c r="F91" s="921">
        <f t="shared" si="66"/>
        <v>0</v>
      </c>
      <c r="G91" s="851">
        <f t="shared" si="79"/>
        <v>0</v>
      </c>
      <c r="H91" s="851">
        <f t="shared" si="79"/>
        <v>0</v>
      </c>
      <c r="I91" s="851">
        <f t="shared" si="79"/>
        <v>0</v>
      </c>
      <c r="J91" s="851">
        <f t="shared" si="79"/>
        <v>0</v>
      </c>
      <c r="K91" s="851">
        <f t="shared" si="79"/>
        <v>0</v>
      </c>
      <c r="L91" s="851">
        <f t="shared" si="79"/>
        <v>0</v>
      </c>
      <c r="M91" s="851">
        <f t="shared" si="80"/>
        <v>0</v>
      </c>
      <c r="N91" s="851">
        <f t="shared" si="80"/>
        <v>0</v>
      </c>
      <c r="O91" s="851">
        <f t="shared" si="80"/>
        <v>0</v>
      </c>
      <c r="P91" s="851">
        <f t="shared" si="80"/>
        <v>0</v>
      </c>
      <c r="Q91" s="851">
        <f t="shared" si="80"/>
        <v>0</v>
      </c>
      <c r="R91" s="851">
        <f t="shared" si="80"/>
        <v>0</v>
      </c>
      <c r="S91" s="851">
        <f t="shared" si="81"/>
        <v>0</v>
      </c>
      <c r="T91" s="851">
        <f t="shared" si="81"/>
        <v>0</v>
      </c>
      <c r="U91" s="851">
        <f t="shared" si="81"/>
        <v>0</v>
      </c>
      <c r="V91" s="851">
        <f t="shared" si="81"/>
        <v>0</v>
      </c>
      <c r="W91" s="851">
        <f t="shared" si="81"/>
        <v>0</v>
      </c>
      <c r="X91" s="851">
        <f t="shared" si="81"/>
        <v>0</v>
      </c>
      <c r="Y91" s="851">
        <f t="shared" si="82"/>
        <v>0</v>
      </c>
      <c r="Z91" s="851">
        <f t="shared" si="82"/>
        <v>0</v>
      </c>
      <c r="AA91" s="851">
        <f t="shared" si="82"/>
        <v>0</v>
      </c>
      <c r="AB91" s="851">
        <f t="shared" si="82"/>
        <v>0</v>
      </c>
      <c r="AC91" s="851">
        <f t="shared" si="82"/>
        <v>0</v>
      </c>
      <c r="AD91" s="851">
        <f t="shared" si="82"/>
        <v>0</v>
      </c>
      <c r="AE91" s="851">
        <f t="shared" si="83"/>
        <v>0</v>
      </c>
      <c r="AF91" s="851">
        <f t="shared" si="83"/>
        <v>0</v>
      </c>
      <c r="AG91" s="851">
        <f t="shared" si="83"/>
        <v>0</v>
      </c>
      <c r="AH91" s="851">
        <f t="shared" si="83"/>
        <v>0</v>
      </c>
      <c r="AI91" s="851">
        <f t="shared" si="83"/>
        <v>0</v>
      </c>
      <c r="AJ91" s="851">
        <f t="shared" si="83"/>
        <v>0</v>
      </c>
      <c r="AK91" s="851">
        <f t="shared" si="84"/>
        <v>0</v>
      </c>
      <c r="AL91" s="851">
        <f t="shared" si="84"/>
        <v>0</v>
      </c>
      <c r="AM91" s="851">
        <f t="shared" si="84"/>
        <v>0</v>
      </c>
      <c r="AN91" s="851">
        <f t="shared" si="84"/>
        <v>0</v>
      </c>
      <c r="AO91" s="851">
        <f t="shared" si="84"/>
        <v>0</v>
      </c>
      <c r="AP91" s="851">
        <f t="shared" si="84"/>
        <v>0</v>
      </c>
      <c r="AQ91" s="851">
        <f t="shared" si="85"/>
        <v>0</v>
      </c>
      <c r="AR91" s="851">
        <f t="shared" si="85"/>
        <v>0</v>
      </c>
      <c r="AS91" s="851">
        <f t="shared" si="85"/>
        <v>0</v>
      </c>
      <c r="AT91" s="851">
        <f t="shared" si="85"/>
        <v>0</v>
      </c>
      <c r="AU91" s="851">
        <f t="shared" si="85"/>
        <v>0</v>
      </c>
      <c r="AV91" s="851">
        <f t="shared" si="85"/>
        <v>0</v>
      </c>
      <c r="AW91" s="851">
        <f t="shared" si="86"/>
        <v>0</v>
      </c>
      <c r="AX91" s="851">
        <f t="shared" si="86"/>
        <v>0</v>
      </c>
      <c r="AY91" s="851">
        <f t="shared" si="86"/>
        <v>0</v>
      </c>
      <c r="AZ91" s="851">
        <f t="shared" si="86"/>
        <v>0</v>
      </c>
      <c r="BA91" s="851">
        <f t="shared" si="86"/>
        <v>0</v>
      </c>
      <c r="BB91" s="851">
        <f t="shared" si="86"/>
        <v>0</v>
      </c>
      <c r="BC91" s="851">
        <f t="shared" si="87"/>
        <v>0</v>
      </c>
      <c r="BD91" s="851">
        <f t="shared" si="87"/>
        <v>0</v>
      </c>
      <c r="BE91" s="851">
        <f t="shared" si="87"/>
        <v>0</v>
      </c>
      <c r="BF91" s="851">
        <f t="shared" si="87"/>
        <v>0</v>
      </c>
      <c r="BG91" s="851">
        <f t="shared" si="87"/>
        <v>0</v>
      </c>
      <c r="BH91" s="851">
        <f t="shared" si="87"/>
        <v>0</v>
      </c>
      <c r="BI91" s="851">
        <f t="shared" si="88"/>
        <v>0</v>
      </c>
      <c r="BJ91" s="851">
        <f t="shared" si="88"/>
        <v>0</v>
      </c>
      <c r="BK91" s="851">
        <f t="shared" si="88"/>
        <v>0</v>
      </c>
      <c r="BL91" s="851">
        <f t="shared" si="88"/>
        <v>0</v>
      </c>
      <c r="BM91" s="851">
        <f t="shared" si="88"/>
        <v>0</v>
      </c>
      <c r="BN91" s="851">
        <f t="shared" si="88"/>
        <v>0</v>
      </c>
      <c r="BO91" s="851">
        <f t="shared" si="89"/>
        <v>0</v>
      </c>
      <c r="BP91" s="851">
        <f t="shared" si="89"/>
        <v>0</v>
      </c>
      <c r="BQ91" s="851">
        <f t="shared" si="89"/>
        <v>0</v>
      </c>
      <c r="BR91" s="851">
        <f t="shared" si="89"/>
        <v>0</v>
      </c>
      <c r="BS91" s="851">
        <f t="shared" si="89"/>
        <v>0</v>
      </c>
      <c r="BT91" s="851">
        <f t="shared" si="89"/>
        <v>0</v>
      </c>
      <c r="BU91" s="851">
        <f t="shared" si="90"/>
        <v>0</v>
      </c>
      <c r="BV91" s="851">
        <f t="shared" si="90"/>
        <v>0</v>
      </c>
      <c r="BW91" s="851">
        <f t="shared" si="90"/>
        <v>0</v>
      </c>
      <c r="BX91" s="851">
        <f t="shared" si="90"/>
        <v>0</v>
      </c>
      <c r="BY91" s="851">
        <f t="shared" si="90"/>
        <v>0</v>
      </c>
      <c r="BZ91" s="851">
        <f t="shared" si="90"/>
        <v>0</v>
      </c>
      <c r="CA91" s="14"/>
    </row>
    <row r="92" spans="5:79" ht="15">
      <c r="E92" s="920" t="s">
        <v>947</v>
      </c>
      <c r="F92" s="921">
        <f t="shared" si="66"/>
        <v>0</v>
      </c>
      <c r="G92" s="851">
        <f t="shared" ref="G92:L101" si="91">$G$70*G24</f>
        <v>0</v>
      </c>
      <c r="H92" s="851">
        <f t="shared" si="91"/>
        <v>0</v>
      </c>
      <c r="I92" s="851">
        <f t="shared" si="91"/>
        <v>0</v>
      </c>
      <c r="J92" s="851">
        <f t="shared" si="91"/>
        <v>0</v>
      </c>
      <c r="K92" s="851">
        <f t="shared" si="91"/>
        <v>0</v>
      </c>
      <c r="L92" s="851">
        <f t="shared" si="91"/>
        <v>0</v>
      </c>
      <c r="M92" s="851">
        <f t="shared" ref="M92:R101" si="92">$M$70*M24</f>
        <v>0</v>
      </c>
      <c r="N92" s="851">
        <f t="shared" si="92"/>
        <v>0</v>
      </c>
      <c r="O92" s="851">
        <f t="shared" si="92"/>
        <v>0</v>
      </c>
      <c r="P92" s="851">
        <f t="shared" si="92"/>
        <v>0</v>
      </c>
      <c r="Q92" s="851">
        <f t="shared" si="92"/>
        <v>0</v>
      </c>
      <c r="R92" s="851">
        <f t="shared" si="92"/>
        <v>0</v>
      </c>
      <c r="S92" s="851">
        <f t="shared" ref="S92:X101" si="93">$S$70*S24</f>
        <v>0</v>
      </c>
      <c r="T92" s="851">
        <f t="shared" si="93"/>
        <v>0</v>
      </c>
      <c r="U92" s="851">
        <f t="shared" si="93"/>
        <v>0</v>
      </c>
      <c r="V92" s="851">
        <f t="shared" si="93"/>
        <v>0</v>
      </c>
      <c r="W92" s="851">
        <f t="shared" si="93"/>
        <v>0</v>
      </c>
      <c r="X92" s="851">
        <f t="shared" si="93"/>
        <v>0</v>
      </c>
      <c r="Y92" s="851">
        <f t="shared" ref="Y92:AD101" si="94">$Y$70*Y24</f>
        <v>0</v>
      </c>
      <c r="Z92" s="851">
        <f t="shared" si="94"/>
        <v>0</v>
      </c>
      <c r="AA92" s="851">
        <f t="shared" si="94"/>
        <v>0</v>
      </c>
      <c r="AB92" s="851">
        <f t="shared" si="94"/>
        <v>0</v>
      </c>
      <c r="AC92" s="851">
        <f t="shared" si="94"/>
        <v>0</v>
      </c>
      <c r="AD92" s="851">
        <f t="shared" si="94"/>
        <v>0</v>
      </c>
      <c r="AE92" s="851">
        <f t="shared" ref="AE92:AJ101" si="95">$AE$70*AE24</f>
        <v>0</v>
      </c>
      <c r="AF92" s="851">
        <f t="shared" si="95"/>
        <v>0</v>
      </c>
      <c r="AG92" s="851">
        <f t="shared" si="95"/>
        <v>0</v>
      </c>
      <c r="AH92" s="851">
        <f t="shared" si="95"/>
        <v>0</v>
      </c>
      <c r="AI92" s="851">
        <f t="shared" si="95"/>
        <v>0</v>
      </c>
      <c r="AJ92" s="851">
        <f t="shared" si="95"/>
        <v>0</v>
      </c>
      <c r="AK92" s="851">
        <f t="shared" ref="AK92:AP101" si="96">$AK$70*AK24</f>
        <v>0</v>
      </c>
      <c r="AL92" s="851">
        <f t="shared" si="96"/>
        <v>0</v>
      </c>
      <c r="AM92" s="851">
        <f t="shared" si="96"/>
        <v>0</v>
      </c>
      <c r="AN92" s="851">
        <f t="shared" si="96"/>
        <v>0</v>
      </c>
      <c r="AO92" s="851">
        <f t="shared" si="96"/>
        <v>0</v>
      </c>
      <c r="AP92" s="851">
        <f t="shared" si="96"/>
        <v>0</v>
      </c>
      <c r="AQ92" s="851">
        <f t="shared" ref="AQ92:AV101" si="97">$AQ$70*AQ24</f>
        <v>0</v>
      </c>
      <c r="AR92" s="851">
        <f t="shared" si="97"/>
        <v>0</v>
      </c>
      <c r="AS92" s="851">
        <f t="shared" si="97"/>
        <v>0</v>
      </c>
      <c r="AT92" s="851">
        <f t="shared" si="97"/>
        <v>0</v>
      </c>
      <c r="AU92" s="851">
        <f t="shared" si="97"/>
        <v>0</v>
      </c>
      <c r="AV92" s="851">
        <f t="shared" si="97"/>
        <v>0</v>
      </c>
      <c r="AW92" s="851">
        <f t="shared" ref="AW92:BB101" si="98">$AW$70*AW24</f>
        <v>0</v>
      </c>
      <c r="AX92" s="851">
        <f t="shared" si="98"/>
        <v>0</v>
      </c>
      <c r="AY92" s="851">
        <f t="shared" si="98"/>
        <v>0</v>
      </c>
      <c r="AZ92" s="851">
        <f t="shared" si="98"/>
        <v>0</v>
      </c>
      <c r="BA92" s="851">
        <f t="shared" si="98"/>
        <v>0</v>
      </c>
      <c r="BB92" s="851">
        <f t="shared" si="98"/>
        <v>0</v>
      </c>
      <c r="BC92" s="851">
        <f t="shared" ref="BC92:BH101" si="99">$BC$70*BC24</f>
        <v>0</v>
      </c>
      <c r="BD92" s="851">
        <f t="shared" si="99"/>
        <v>0</v>
      </c>
      <c r="BE92" s="851">
        <f t="shared" si="99"/>
        <v>0</v>
      </c>
      <c r="BF92" s="851">
        <f t="shared" si="99"/>
        <v>0</v>
      </c>
      <c r="BG92" s="851">
        <f t="shared" si="99"/>
        <v>0</v>
      </c>
      <c r="BH92" s="851">
        <f t="shared" si="99"/>
        <v>0</v>
      </c>
      <c r="BI92" s="851">
        <f t="shared" ref="BI92:BN101" si="100">$BI$70*BI24</f>
        <v>0</v>
      </c>
      <c r="BJ92" s="851">
        <f t="shared" si="100"/>
        <v>0</v>
      </c>
      <c r="BK92" s="851">
        <f t="shared" si="100"/>
        <v>0</v>
      </c>
      <c r="BL92" s="851">
        <f t="shared" si="100"/>
        <v>0</v>
      </c>
      <c r="BM92" s="851">
        <f t="shared" si="100"/>
        <v>0</v>
      </c>
      <c r="BN92" s="851">
        <f t="shared" si="100"/>
        <v>0</v>
      </c>
      <c r="BO92" s="851">
        <f t="shared" ref="BO92:BT101" si="101">$BO$70*BO24</f>
        <v>0</v>
      </c>
      <c r="BP92" s="851">
        <f t="shared" si="101"/>
        <v>0</v>
      </c>
      <c r="BQ92" s="851">
        <f t="shared" si="101"/>
        <v>0</v>
      </c>
      <c r="BR92" s="851">
        <f t="shared" si="101"/>
        <v>0</v>
      </c>
      <c r="BS92" s="851">
        <f t="shared" si="101"/>
        <v>0</v>
      </c>
      <c r="BT92" s="851">
        <f t="shared" si="101"/>
        <v>0</v>
      </c>
      <c r="BU92" s="851">
        <f t="shared" ref="BU92:BZ101" si="102">$BU$70*BU24</f>
        <v>0</v>
      </c>
      <c r="BV92" s="851">
        <f t="shared" si="102"/>
        <v>0</v>
      </c>
      <c r="BW92" s="851">
        <f t="shared" si="102"/>
        <v>0</v>
      </c>
      <c r="BX92" s="851">
        <f t="shared" si="102"/>
        <v>0</v>
      </c>
      <c r="BY92" s="851">
        <f t="shared" si="102"/>
        <v>0</v>
      </c>
      <c r="BZ92" s="851">
        <f t="shared" si="102"/>
        <v>0</v>
      </c>
      <c r="CA92" s="14"/>
    </row>
    <row r="93" spans="5:79" ht="15">
      <c r="E93" s="920" t="s">
        <v>948</v>
      </c>
      <c r="F93" s="921">
        <f t="shared" si="66"/>
        <v>0</v>
      </c>
      <c r="G93" s="851">
        <f t="shared" si="91"/>
        <v>0</v>
      </c>
      <c r="H93" s="851">
        <f t="shared" si="91"/>
        <v>0</v>
      </c>
      <c r="I93" s="851">
        <f t="shared" si="91"/>
        <v>0</v>
      </c>
      <c r="J93" s="851">
        <f t="shared" si="91"/>
        <v>0</v>
      </c>
      <c r="K93" s="851">
        <f t="shared" si="91"/>
        <v>0</v>
      </c>
      <c r="L93" s="851">
        <f t="shared" si="91"/>
        <v>0</v>
      </c>
      <c r="M93" s="851">
        <f t="shared" si="92"/>
        <v>0</v>
      </c>
      <c r="N93" s="851">
        <f t="shared" si="92"/>
        <v>0</v>
      </c>
      <c r="O93" s="851">
        <f t="shared" si="92"/>
        <v>0</v>
      </c>
      <c r="P93" s="851">
        <f t="shared" si="92"/>
        <v>0</v>
      </c>
      <c r="Q93" s="851">
        <f t="shared" si="92"/>
        <v>0</v>
      </c>
      <c r="R93" s="851">
        <f t="shared" si="92"/>
        <v>0</v>
      </c>
      <c r="S93" s="851">
        <f t="shared" si="93"/>
        <v>0</v>
      </c>
      <c r="T93" s="851">
        <f t="shared" si="93"/>
        <v>0</v>
      </c>
      <c r="U93" s="851">
        <f t="shared" si="93"/>
        <v>0</v>
      </c>
      <c r="V93" s="851">
        <f t="shared" si="93"/>
        <v>0</v>
      </c>
      <c r="W93" s="851">
        <f t="shared" si="93"/>
        <v>0</v>
      </c>
      <c r="X93" s="851">
        <f t="shared" si="93"/>
        <v>0</v>
      </c>
      <c r="Y93" s="851">
        <f t="shared" si="94"/>
        <v>0</v>
      </c>
      <c r="Z93" s="851">
        <f t="shared" si="94"/>
        <v>0</v>
      </c>
      <c r="AA93" s="851">
        <f t="shared" si="94"/>
        <v>0</v>
      </c>
      <c r="AB93" s="851">
        <f t="shared" si="94"/>
        <v>0</v>
      </c>
      <c r="AC93" s="851">
        <f t="shared" si="94"/>
        <v>0</v>
      </c>
      <c r="AD93" s="851">
        <f t="shared" si="94"/>
        <v>0</v>
      </c>
      <c r="AE93" s="851">
        <f t="shared" si="95"/>
        <v>0</v>
      </c>
      <c r="AF93" s="851">
        <f t="shared" si="95"/>
        <v>0</v>
      </c>
      <c r="AG93" s="851">
        <f t="shared" si="95"/>
        <v>0</v>
      </c>
      <c r="AH93" s="851">
        <f t="shared" si="95"/>
        <v>0</v>
      </c>
      <c r="AI93" s="851">
        <f t="shared" si="95"/>
        <v>0</v>
      </c>
      <c r="AJ93" s="851">
        <f t="shared" si="95"/>
        <v>0</v>
      </c>
      <c r="AK93" s="851">
        <f t="shared" si="96"/>
        <v>0</v>
      </c>
      <c r="AL93" s="851">
        <f t="shared" si="96"/>
        <v>0</v>
      </c>
      <c r="AM93" s="851">
        <f t="shared" si="96"/>
        <v>0</v>
      </c>
      <c r="AN93" s="851">
        <f t="shared" si="96"/>
        <v>0</v>
      </c>
      <c r="AO93" s="851">
        <f t="shared" si="96"/>
        <v>0</v>
      </c>
      <c r="AP93" s="851">
        <f t="shared" si="96"/>
        <v>0</v>
      </c>
      <c r="AQ93" s="851">
        <f t="shared" si="97"/>
        <v>0</v>
      </c>
      <c r="AR93" s="851">
        <f t="shared" si="97"/>
        <v>0</v>
      </c>
      <c r="AS93" s="851">
        <f t="shared" si="97"/>
        <v>0</v>
      </c>
      <c r="AT93" s="851">
        <f t="shared" si="97"/>
        <v>0</v>
      </c>
      <c r="AU93" s="851">
        <f t="shared" si="97"/>
        <v>0</v>
      </c>
      <c r="AV93" s="851">
        <f t="shared" si="97"/>
        <v>0</v>
      </c>
      <c r="AW93" s="851">
        <f t="shared" si="98"/>
        <v>0</v>
      </c>
      <c r="AX93" s="851">
        <f t="shared" si="98"/>
        <v>0</v>
      </c>
      <c r="AY93" s="851">
        <f t="shared" si="98"/>
        <v>0</v>
      </c>
      <c r="AZ93" s="851">
        <f t="shared" si="98"/>
        <v>0</v>
      </c>
      <c r="BA93" s="851">
        <f t="shared" si="98"/>
        <v>0</v>
      </c>
      <c r="BB93" s="851">
        <f t="shared" si="98"/>
        <v>0</v>
      </c>
      <c r="BC93" s="851">
        <f t="shared" si="99"/>
        <v>0</v>
      </c>
      <c r="BD93" s="851">
        <f t="shared" si="99"/>
        <v>0</v>
      </c>
      <c r="BE93" s="851">
        <f t="shared" si="99"/>
        <v>0</v>
      </c>
      <c r="BF93" s="851">
        <f t="shared" si="99"/>
        <v>0</v>
      </c>
      <c r="BG93" s="851">
        <f t="shared" si="99"/>
        <v>0</v>
      </c>
      <c r="BH93" s="851">
        <f t="shared" si="99"/>
        <v>0</v>
      </c>
      <c r="BI93" s="851">
        <f t="shared" si="100"/>
        <v>0</v>
      </c>
      <c r="BJ93" s="851">
        <f t="shared" si="100"/>
        <v>0</v>
      </c>
      <c r="BK93" s="851">
        <f t="shared" si="100"/>
        <v>0</v>
      </c>
      <c r="BL93" s="851">
        <f t="shared" si="100"/>
        <v>0</v>
      </c>
      <c r="BM93" s="851">
        <f t="shared" si="100"/>
        <v>0</v>
      </c>
      <c r="BN93" s="851">
        <f t="shared" si="100"/>
        <v>0</v>
      </c>
      <c r="BO93" s="851">
        <f t="shared" si="101"/>
        <v>0</v>
      </c>
      <c r="BP93" s="851">
        <f t="shared" si="101"/>
        <v>0</v>
      </c>
      <c r="BQ93" s="851">
        <f t="shared" si="101"/>
        <v>0</v>
      </c>
      <c r="BR93" s="851">
        <f t="shared" si="101"/>
        <v>0</v>
      </c>
      <c r="BS93" s="851">
        <f t="shared" si="101"/>
        <v>0</v>
      </c>
      <c r="BT93" s="851">
        <f t="shared" si="101"/>
        <v>0</v>
      </c>
      <c r="BU93" s="851">
        <f t="shared" si="102"/>
        <v>0</v>
      </c>
      <c r="BV93" s="851">
        <f t="shared" si="102"/>
        <v>0</v>
      </c>
      <c r="BW93" s="851">
        <f t="shared" si="102"/>
        <v>0</v>
      </c>
      <c r="BX93" s="851">
        <f t="shared" si="102"/>
        <v>0</v>
      </c>
      <c r="BY93" s="851">
        <f t="shared" si="102"/>
        <v>0</v>
      </c>
      <c r="BZ93" s="851">
        <f t="shared" si="102"/>
        <v>0</v>
      </c>
      <c r="CA93" s="14"/>
    </row>
    <row r="94" spans="5:79" ht="15">
      <c r="E94" s="920" t="s">
        <v>949</v>
      </c>
      <c r="F94" s="921">
        <f t="shared" si="66"/>
        <v>0</v>
      </c>
      <c r="G94" s="851">
        <f t="shared" si="91"/>
        <v>0</v>
      </c>
      <c r="H94" s="851">
        <f t="shared" si="91"/>
        <v>0</v>
      </c>
      <c r="I94" s="851">
        <f t="shared" si="91"/>
        <v>0</v>
      </c>
      <c r="J94" s="851">
        <f t="shared" si="91"/>
        <v>0</v>
      </c>
      <c r="K94" s="851">
        <f t="shared" si="91"/>
        <v>0</v>
      </c>
      <c r="L94" s="851">
        <f t="shared" si="91"/>
        <v>0</v>
      </c>
      <c r="M94" s="851">
        <f t="shared" si="92"/>
        <v>0</v>
      </c>
      <c r="N94" s="851">
        <f t="shared" si="92"/>
        <v>0</v>
      </c>
      <c r="O94" s="851">
        <f t="shared" si="92"/>
        <v>0</v>
      </c>
      <c r="P94" s="851">
        <f t="shared" si="92"/>
        <v>0</v>
      </c>
      <c r="Q94" s="851">
        <f t="shared" si="92"/>
        <v>0</v>
      </c>
      <c r="R94" s="851">
        <f t="shared" si="92"/>
        <v>0</v>
      </c>
      <c r="S94" s="851">
        <f t="shared" si="93"/>
        <v>0</v>
      </c>
      <c r="T94" s="851">
        <f t="shared" si="93"/>
        <v>0</v>
      </c>
      <c r="U94" s="851">
        <f t="shared" si="93"/>
        <v>0</v>
      </c>
      <c r="V94" s="851">
        <f t="shared" si="93"/>
        <v>0</v>
      </c>
      <c r="W94" s="851">
        <f t="shared" si="93"/>
        <v>0</v>
      </c>
      <c r="X94" s="851">
        <f t="shared" si="93"/>
        <v>0</v>
      </c>
      <c r="Y94" s="851">
        <f t="shared" si="94"/>
        <v>0</v>
      </c>
      <c r="Z94" s="851">
        <f t="shared" si="94"/>
        <v>0</v>
      </c>
      <c r="AA94" s="851">
        <f t="shared" si="94"/>
        <v>0</v>
      </c>
      <c r="AB94" s="851">
        <f t="shared" si="94"/>
        <v>0</v>
      </c>
      <c r="AC94" s="851">
        <f t="shared" si="94"/>
        <v>0</v>
      </c>
      <c r="AD94" s="851">
        <f t="shared" si="94"/>
        <v>0</v>
      </c>
      <c r="AE94" s="851">
        <f t="shared" si="95"/>
        <v>0</v>
      </c>
      <c r="AF94" s="851">
        <f t="shared" si="95"/>
        <v>0</v>
      </c>
      <c r="AG94" s="851">
        <f t="shared" si="95"/>
        <v>0</v>
      </c>
      <c r="AH94" s="851">
        <f t="shared" si="95"/>
        <v>0</v>
      </c>
      <c r="AI94" s="851">
        <f t="shared" si="95"/>
        <v>0</v>
      </c>
      <c r="AJ94" s="851">
        <f t="shared" si="95"/>
        <v>0</v>
      </c>
      <c r="AK94" s="851">
        <f t="shared" si="96"/>
        <v>0</v>
      </c>
      <c r="AL94" s="851">
        <f t="shared" si="96"/>
        <v>0</v>
      </c>
      <c r="AM94" s="851">
        <f t="shared" si="96"/>
        <v>0</v>
      </c>
      <c r="AN94" s="851">
        <f t="shared" si="96"/>
        <v>0</v>
      </c>
      <c r="AO94" s="851">
        <f t="shared" si="96"/>
        <v>0</v>
      </c>
      <c r="AP94" s="851">
        <f t="shared" si="96"/>
        <v>0</v>
      </c>
      <c r="AQ94" s="851">
        <f t="shared" si="97"/>
        <v>0</v>
      </c>
      <c r="AR94" s="851">
        <f t="shared" si="97"/>
        <v>0</v>
      </c>
      <c r="AS94" s="851">
        <f t="shared" si="97"/>
        <v>0</v>
      </c>
      <c r="AT94" s="851">
        <f t="shared" si="97"/>
        <v>0</v>
      </c>
      <c r="AU94" s="851">
        <f t="shared" si="97"/>
        <v>0</v>
      </c>
      <c r="AV94" s="851">
        <f t="shared" si="97"/>
        <v>0</v>
      </c>
      <c r="AW94" s="851">
        <f t="shared" si="98"/>
        <v>0</v>
      </c>
      <c r="AX94" s="851">
        <f t="shared" si="98"/>
        <v>0</v>
      </c>
      <c r="AY94" s="851">
        <f t="shared" si="98"/>
        <v>0</v>
      </c>
      <c r="AZ94" s="851">
        <f t="shared" si="98"/>
        <v>0</v>
      </c>
      <c r="BA94" s="851">
        <f t="shared" si="98"/>
        <v>0</v>
      </c>
      <c r="BB94" s="851">
        <f t="shared" si="98"/>
        <v>0</v>
      </c>
      <c r="BC94" s="851">
        <f t="shared" si="99"/>
        <v>0</v>
      </c>
      <c r="BD94" s="851">
        <f t="shared" si="99"/>
        <v>0</v>
      </c>
      <c r="BE94" s="851">
        <f t="shared" si="99"/>
        <v>0</v>
      </c>
      <c r="BF94" s="851">
        <f t="shared" si="99"/>
        <v>0</v>
      </c>
      <c r="BG94" s="851">
        <f t="shared" si="99"/>
        <v>0</v>
      </c>
      <c r="BH94" s="851">
        <f t="shared" si="99"/>
        <v>0</v>
      </c>
      <c r="BI94" s="851">
        <f t="shared" si="100"/>
        <v>0</v>
      </c>
      <c r="BJ94" s="851">
        <f t="shared" si="100"/>
        <v>0</v>
      </c>
      <c r="BK94" s="851">
        <f t="shared" si="100"/>
        <v>0</v>
      </c>
      <c r="BL94" s="851">
        <f t="shared" si="100"/>
        <v>0</v>
      </c>
      <c r="BM94" s="851">
        <f t="shared" si="100"/>
        <v>0</v>
      </c>
      <c r="BN94" s="851">
        <f t="shared" si="100"/>
        <v>0</v>
      </c>
      <c r="BO94" s="851">
        <f t="shared" si="101"/>
        <v>0</v>
      </c>
      <c r="BP94" s="851">
        <f t="shared" si="101"/>
        <v>0</v>
      </c>
      <c r="BQ94" s="851">
        <f t="shared" si="101"/>
        <v>0</v>
      </c>
      <c r="BR94" s="851">
        <f t="shared" si="101"/>
        <v>0</v>
      </c>
      <c r="BS94" s="851">
        <f t="shared" si="101"/>
        <v>0</v>
      </c>
      <c r="BT94" s="851">
        <f t="shared" si="101"/>
        <v>0</v>
      </c>
      <c r="BU94" s="851">
        <f t="shared" si="102"/>
        <v>0</v>
      </c>
      <c r="BV94" s="851">
        <f t="shared" si="102"/>
        <v>0</v>
      </c>
      <c r="BW94" s="851">
        <f t="shared" si="102"/>
        <v>0</v>
      </c>
      <c r="BX94" s="851">
        <f t="shared" si="102"/>
        <v>0</v>
      </c>
      <c r="BY94" s="851">
        <f t="shared" si="102"/>
        <v>0</v>
      </c>
      <c r="BZ94" s="851">
        <f t="shared" si="102"/>
        <v>0</v>
      </c>
      <c r="CA94" s="14"/>
    </row>
    <row r="95" spans="5:79" ht="15">
      <c r="E95" s="920" t="s">
        <v>950</v>
      </c>
      <c r="F95" s="921">
        <f t="shared" si="66"/>
        <v>0</v>
      </c>
      <c r="G95" s="851">
        <f t="shared" si="91"/>
        <v>0</v>
      </c>
      <c r="H95" s="851">
        <f t="shared" si="91"/>
        <v>0</v>
      </c>
      <c r="I95" s="851">
        <f t="shared" si="91"/>
        <v>0</v>
      </c>
      <c r="J95" s="851">
        <f t="shared" si="91"/>
        <v>0</v>
      </c>
      <c r="K95" s="851">
        <f t="shared" si="91"/>
        <v>0</v>
      </c>
      <c r="L95" s="851">
        <f t="shared" si="91"/>
        <v>0</v>
      </c>
      <c r="M95" s="851">
        <f t="shared" si="92"/>
        <v>0</v>
      </c>
      <c r="N95" s="851">
        <f t="shared" si="92"/>
        <v>0</v>
      </c>
      <c r="O95" s="851">
        <f t="shared" si="92"/>
        <v>0</v>
      </c>
      <c r="P95" s="851">
        <f t="shared" si="92"/>
        <v>0</v>
      </c>
      <c r="Q95" s="851">
        <f t="shared" si="92"/>
        <v>0</v>
      </c>
      <c r="R95" s="851">
        <f t="shared" si="92"/>
        <v>0</v>
      </c>
      <c r="S95" s="851">
        <f t="shared" si="93"/>
        <v>0</v>
      </c>
      <c r="T95" s="851">
        <f t="shared" si="93"/>
        <v>0</v>
      </c>
      <c r="U95" s="851">
        <f t="shared" si="93"/>
        <v>0</v>
      </c>
      <c r="V95" s="851">
        <f t="shared" si="93"/>
        <v>0</v>
      </c>
      <c r="W95" s="851">
        <f t="shared" si="93"/>
        <v>0</v>
      </c>
      <c r="X95" s="851">
        <f t="shared" si="93"/>
        <v>0</v>
      </c>
      <c r="Y95" s="851">
        <f t="shared" si="94"/>
        <v>0</v>
      </c>
      <c r="Z95" s="851">
        <f t="shared" si="94"/>
        <v>0</v>
      </c>
      <c r="AA95" s="851">
        <f t="shared" si="94"/>
        <v>0</v>
      </c>
      <c r="AB95" s="851">
        <f t="shared" si="94"/>
        <v>0</v>
      </c>
      <c r="AC95" s="851">
        <f t="shared" si="94"/>
        <v>0</v>
      </c>
      <c r="AD95" s="851">
        <f t="shared" si="94"/>
        <v>0</v>
      </c>
      <c r="AE95" s="851">
        <f t="shared" si="95"/>
        <v>0</v>
      </c>
      <c r="AF95" s="851">
        <f t="shared" si="95"/>
        <v>0</v>
      </c>
      <c r="AG95" s="851">
        <f t="shared" si="95"/>
        <v>0</v>
      </c>
      <c r="AH95" s="851">
        <f t="shared" si="95"/>
        <v>0</v>
      </c>
      <c r="AI95" s="851">
        <f t="shared" si="95"/>
        <v>0</v>
      </c>
      <c r="AJ95" s="851">
        <f t="shared" si="95"/>
        <v>0</v>
      </c>
      <c r="AK95" s="851">
        <f t="shared" si="96"/>
        <v>0</v>
      </c>
      <c r="AL95" s="851">
        <f t="shared" si="96"/>
        <v>0</v>
      </c>
      <c r="AM95" s="851">
        <f t="shared" si="96"/>
        <v>0</v>
      </c>
      <c r="AN95" s="851">
        <f t="shared" si="96"/>
        <v>0</v>
      </c>
      <c r="AO95" s="851">
        <f t="shared" si="96"/>
        <v>0</v>
      </c>
      <c r="AP95" s="851">
        <f t="shared" si="96"/>
        <v>0</v>
      </c>
      <c r="AQ95" s="851">
        <f t="shared" si="97"/>
        <v>0</v>
      </c>
      <c r="AR95" s="851">
        <f t="shared" si="97"/>
        <v>0</v>
      </c>
      <c r="AS95" s="851">
        <f t="shared" si="97"/>
        <v>0</v>
      </c>
      <c r="AT95" s="851">
        <f t="shared" si="97"/>
        <v>0</v>
      </c>
      <c r="AU95" s="851">
        <f t="shared" si="97"/>
        <v>0</v>
      </c>
      <c r="AV95" s="851">
        <f t="shared" si="97"/>
        <v>0</v>
      </c>
      <c r="AW95" s="851">
        <f t="shared" si="98"/>
        <v>0</v>
      </c>
      <c r="AX95" s="851">
        <f t="shared" si="98"/>
        <v>0</v>
      </c>
      <c r="AY95" s="851">
        <f t="shared" si="98"/>
        <v>0</v>
      </c>
      <c r="AZ95" s="851">
        <f t="shared" si="98"/>
        <v>0</v>
      </c>
      <c r="BA95" s="851">
        <f t="shared" si="98"/>
        <v>0</v>
      </c>
      <c r="BB95" s="851">
        <f t="shared" si="98"/>
        <v>0</v>
      </c>
      <c r="BC95" s="851">
        <f t="shared" si="99"/>
        <v>0</v>
      </c>
      <c r="BD95" s="851">
        <f t="shared" si="99"/>
        <v>0</v>
      </c>
      <c r="BE95" s="851">
        <f t="shared" si="99"/>
        <v>0</v>
      </c>
      <c r="BF95" s="851">
        <f t="shared" si="99"/>
        <v>0</v>
      </c>
      <c r="BG95" s="851">
        <f t="shared" si="99"/>
        <v>0</v>
      </c>
      <c r="BH95" s="851">
        <f t="shared" si="99"/>
        <v>0</v>
      </c>
      <c r="BI95" s="851">
        <f t="shared" si="100"/>
        <v>0</v>
      </c>
      <c r="BJ95" s="851">
        <f t="shared" si="100"/>
        <v>0</v>
      </c>
      <c r="BK95" s="851">
        <f t="shared" si="100"/>
        <v>0</v>
      </c>
      <c r="BL95" s="851">
        <f t="shared" si="100"/>
        <v>0</v>
      </c>
      <c r="BM95" s="851">
        <f t="shared" si="100"/>
        <v>0</v>
      </c>
      <c r="BN95" s="851">
        <f t="shared" si="100"/>
        <v>0</v>
      </c>
      <c r="BO95" s="851">
        <f t="shared" si="101"/>
        <v>0</v>
      </c>
      <c r="BP95" s="851">
        <f t="shared" si="101"/>
        <v>0</v>
      </c>
      <c r="BQ95" s="851">
        <f t="shared" si="101"/>
        <v>0</v>
      </c>
      <c r="BR95" s="851">
        <f t="shared" si="101"/>
        <v>0</v>
      </c>
      <c r="BS95" s="851">
        <f t="shared" si="101"/>
        <v>0</v>
      </c>
      <c r="BT95" s="851">
        <f t="shared" si="101"/>
        <v>0</v>
      </c>
      <c r="BU95" s="851">
        <f t="shared" si="102"/>
        <v>0</v>
      </c>
      <c r="BV95" s="851">
        <f t="shared" si="102"/>
        <v>0</v>
      </c>
      <c r="BW95" s="851">
        <f t="shared" si="102"/>
        <v>0</v>
      </c>
      <c r="BX95" s="851">
        <f t="shared" si="102"/>
        <v>0</v>
      </c>
      <c r="BY95" s="851">
        <f t="shared" si="102"/>
        <v>0</v>
      </c>
      <c r="BZ95" s="851">
        <f t="shared" si="102"/>
        <v>0</v>
      </c>
      <c r="CA95" s="14"/>
    </row>
    <row r="96" spans="5:79" ht="15">
      <c r="E96" s="920" t="s">
        <v>951</v>
      </c>
      <c r="F96" s="921">
        <f t="shared" si="66"/>
        <v>0</v>
      </c>
      <c r="G96" s="851">
        <f t="shared" si="91"/>
        <v>0</v>
      </c>
      <c r="H96" s="851">
        <f t="shared" si="91"/>
        <v>0</v>
      </c>
      <c r="I96" s="851">
        <f t="shared" si="91"/>
        <v>0</v>
      </c>
      <c r="J96" s="851">
        <f t="shared" si="91"/>
        <v>0</v>
      </c>
      <c r="K96" s="851">
        <f t="shared" si="91"/>
        <v>0</v>
      </c>
      <c r="L96" s="851">
        <f t="shared" si="91"/>
        <v>0</v>
      </c>
      <c r="M96" s="851">
        <f t="shared" si="92"/>
        <v>0</v>
      </c>
      <c r="N96" s="851">
        <f t="shared" si="92"/>
        <v>0</v>
      </c>
      <c r="O96" s="851">
        <f t="shared" si="92"/>
        <v>0</v>
      </c>
      <c r="P96" s="851">
        <f t="shared" si="92"/>
        <v>0</v>
      </c>
      <c r="Q96" s="851">
        <f t="shared" si="92"/>
        <v>0</v>
      </c>
      <c r="R96" s="851">
        <f t="shared" si="92"/>
        <v>0</v>
      </c>
      <c r="S96" s="851">
        <f t="shared" si="93"/>
        <v>0</v>
      </c>
      <c r="T96" s="851">
        <f t="shared" si="93"/>
        <v>0</v>
      </c>
      <c r="U96" s="851">
        <f t="shared" si="93"/>
        <v>0</v>
      </c>
      <c r="V96" s="851">
        <f t="shared" si="93"/>
        <v>0</v>
      </c>
      <c r="W96" s="851">
        <f t="shared" si="93"/>
        <v>0</v>
      </c>
      <c r="X96" s="851">
        <f t="shared" si="93"/>
        <v>0</v>
      </c>
      <c r="Y96" s="851">
        <f t="shared" si="94"/>
        <v>0</v>
      </c>
      <c r="Z96" s="851">
        <f t="shared" si="94"/>
        <v>0</v>
      </c>
      <c r="AA96" s="851">
        <f t="shared" si="94"/>
        <v>0</v>
      </c>
      <c r="AB96" s="851">
        <f t="shared" si="94"/>
        <v>0</v>
      </c>
      <c r="AC96" s="851">
        <f t="shared" si="94"/>
        <v>0</v>
      </c>
      <c r="AD96" s="851">
        <f t="shared" si="94"/>
        <v>0</v>
      </c>
      <c r="AE96" s="851">
        <f t="shared" si="95"/>
        <v>0</v>
      </c>
      <c r="AF96" s="851">
        <f t="shared" si="95"/>
        <v>0</v>
      </c>
      <c r="AG96" s="851">
        <f t="shared" si="95"/>
        <v>0</v>
      </c>
      <c r="AH96" s="851">
        <f t="shared" si="95"/>
        <v>0</v>
      </c>
      <c r="AI96" s="851">
        <f t="shared" si="95"/>
        <v>0</v>
      </c>
      <c r="AJ96" s="851">
        <f t="shared" si="95"/>
        <v>0</v>
      </c>
      <c r="AK96" s="851">
        <f t="shared" si="96"/>
        <v>0</v>
      </c>
      <c r="AL96" s="851">
        <f t="shared" si="96"/>
        <v>0</v>
      </c>
      <c r="AM96" s="851">
        <f t="shared" si="96"/>
        <v>0</v>
      </c>
      <c r="AN96" s="851">
        <f t="shared" si="96"/>
        <v>0</v>
      </c>
      <c r="AO96" s="851">
        <f t="shared" si="96"/>
        <v>0</v>
      </c>
      <c r="AP96" s="851">
        <f t="shared" si="96"/>
        <v>0</v>
      </c>
      <c r="AQ96" s="851">
        <f t="shared" si="97"/>
        <v>0</v>
      </c>
      <c r="AR96" s="851">
        <f t="shared" si="97"/>
        <v>0</v>
      </c>
      <c r="AS96" s="851">
        <f t="shared" si="97"/>
        <v>0</v>
      </c>
      <c r="AT96" s="851">
        <f t="shared" si="97"/>
        <v>0</v>
      </c>
      <c r="AU96" s="851">
        <f t="shared" si="97"/>
        <v>0</v>
      </c>
      <c r="AV96" s="851">
        <f t="shared" si="97"/>
        <v>0</v>
      </c>
      <c r="AW96" s="851">
        <f t="shared" si="98"/>
        <v>0</v>
      </c>
      <c r="AX96" s="851">
        <f t="shared" si="98"/>
        <v>0</v>
      </c>
      <c r="AY96" s="851">
        <f t="shared" si="98"/>
        <v>0</v>
      </c>
      <c r="AZ96" s="851">
        <f t="shared" si="98"/>
        <v>0</v>
      </c>
      <c r="BA96" s="851">
        <f t="shared" si="98"/>
        <v>0</v>
      </c>
      <c r="BB96" s="851">
        <f t="shared" si="98"/>
        <v>0</v>
      </c>
      <c r="BC96" s="851">
        <f t="shared" si="99"/>
        <v>0</v>
      </c>
      <c r="BD96" s="851">
        <f t="shared" si="99"/>
        <v>0</v>
      </c>
      <c r="BE96" s="851">
        <f t="shared" si="99"/>
        <v>0</v>
      </c>
      <c r="BF96" s="851">
        <f t="shared" si="99"/>
        <v>0</v>
      </c>
      <c r="BG96" s="851">
        <f t="shared" si="99"/>
        <v>0</v>
      </c>
      <c r="BH96" s="851">
        <f t="shared" si="99"/>
        <v>0</v>
      </c>
      <c r="BI96" s="851">
        <f t="shared" si="100"/>
        <v>0</v>
      </c>
      <c r="BJ96" s="851">
        <f t="shared" si="100"/>
        <v>0</v>
      </c>
      <c r="BK96" s="851">
        <f t="shared" si="100"/>
        <v>0</v>
      </c>
      <c r="BL96" s="851">
        <f t="shared" si="100"/>
        <v>0</v>
      </c>
      <c r="BM96" s="851">
        <f t="shared" si="100"/>
        <v>0</v>
      </c>
      <c r="BN96" s="851">
        <f t="shared" si="100"/>
        <v>0</v>
      </c>
      <c r="BO96" s="851">
        <f t="shared" si="101"/>
        <v>0</v>
      </c>
      <c r="BP96" s="851">
        <f t="shared" si="101"/>
        <v>0</v>
      </c>
      <c r="BQ96" s="851">
        <f t="shared" si="101"/>
        <v>0</v>
      </c>
      <c r="BR96" s="851">
        <f t="shared" si="101"/>
        <v>0</v>
      </c>
      <c r="BS96" s="851">
        <f t="shared" si="101"/>
        <v>0</v>
      </c>
      <c r="BT96" s="851">
        <f t="shared" si="101"/>
        <v>0</v>
      </c>
      <c r="BU96" s="851">
        <f t="shared" si="102"/>
        <v>0</v>
      </c>
      <c r="BV96" s="851">
        <f t="shared" si="102"/>
        <v>0</v>
      </c>
      <c r="BW96" s="851">
        <f t="shared" si="102"/>
        <v>0</v>
      </c>
      <c r="BX96" s="851">
        <f t="shared" si="102"/>
        <v>0</v>
      </c>
      <c r="BY96" s="851">
        <f t="shared" si="102"/>
        <v>0</v>
      </c>
      <c r="BZ96" s="851">
        <f t="shared" si="102"/>
        <v>0</v>
      </c>
      <c r="CA96" s="14"/>
    </row>
    <row r="97" spans="5:79" ht="15">
      <c r="E97" s="920" t="s">
        <v>952</v>
      </c>
      <c r="F97" s="921">
        <f t="shared" si="66"/>
        <v>0</v>
      </c>
      <c r="G97" s="851">
        <f t="shared" si="91"/>
        <v>0</v>
      </c>
      <c r="H97" s="851">
        <f t="shared" si="91"/>
        <v>0</v>
      </c>
      <c r="I97" s="851">
        <f t="shared" si="91"/>
        <v>0</v>
      </c>
      <c r="J97" s="851">
        <f t="shared" si="91"/>
        <v>0</v>
      </c>
      <c r="K97" s="851">
        <f t="shared" si="91"/>
        <v>0</v>
      </c>
      <c r="L97" s="851">
        <f t="shared" si="91"/>
        <v>0</v>
      </c>
      <c r="M97" s="851">
        <f t="shared" si="92"/>
        <v>0</v>
      </c>
      <c r="N97" s="851">
        <f t="shared" si="92"/>
        <v>0</v>
      </c>
      <c r="O97" s="851">
        <f t="shared" si="92"/>
        <v>0</v>
      </c>
      <c r="P97" s="851">
        <f t="shared" si="92"/>
        <v>0</v>
      </c>
      <c r="Q97" s="851">
        <f t="shared" si="92"/>
        <v>0</v>
      </c>
      <c r="R97" s="851">
        <f t="shared" si="92"/>
        <v>0</v>
      </c>
      <c r="S97" s="851">
        <f t="shared" si="93"/>
        <v>0</v>
      </c>
      <c r="T97" s="851">
        <f t="shared" si="93"/>
        <v>0</v>
      </c>
      <c r="U97" s="851">
        <f t="shared" si="93"/>
        <v>0</v>
      </c>
      <c r="V97" s="851">
        <f t="shared" si="93"/>
        <v>0</v>
      </c>
      <c r="W97" s="851">
        <f t="shared" si="93"/>
        <v>0</v>
      </c>
      <c r="X97" s="851">
        <f t="shared" si="93"/>
        <v>0</v>
      </c>
      <c r="Y97" s="851">
        <f t="shared" si="94"/>
        <v>0</v>
      </c>
      <c r="Z97" s="851">
        <f t="shared" si="94"/>
        <v>0</v>
      </c>
      <c r="AA97" s="851">
        <f t="shared" si="94"/>
        <v>0</v>
      </c>
      <c r="AB97" s="851">
        <f t="shared" si="94"/>
        <v>0</v>
      </c>
      <c r="AC97" s="851">
        <f t="shared" si="94"/>
        <v>0</v>
      </c>
      <c r="AD97" s="851">
        <f t="shared" si="94"/>
        <v>0</v>
      </c>
      <c r="AE97" s="851">
        <f t="shared" si="95"/>
        <v>0</v>
      </c>
      <c r="AF97" s="851">
        <f t="shared" si="95"/>
        <v>0</v>
      </c>
      <c r="AG97" s="851">
        <f t="shared" si="95"/>
        <v>0</v>
      </c>
      <c r="AH97" s="851">
        <f t="shared" si="95"/>
        <v>0</v>
      </c>
      <c r="AI97" s="851">
        <f t="shared" si="95"/>
        <v>0</v>
      </c>
      <c r="AJ97" s="851">
        <f t="shared" si="95"/>
        <v>0</v>
      </c>
      <c r="AK97" s="851">
        <f t="shared" si="96"/>
        <v>0</v>
      </c>
      <c r="AL97" s="851">
        <f t="shared" si="96"/>
        <v>0</v>
      </c>
      <c r="AM97" s="851">
        <f t="shared" si="96"/>
        <v>0</v>
      </c>
      <c r="AN97" s="851">
        <f t="shared" si="96"/>
        <v>0</v>
      </c>
      <c r="AO97" s="851">
        <f t="shared" si="96"/>
        <v>0</v>
      </c>
      <c r="AP97" s="851">
        <f t="shared" si="96"/>
        <v>0</v>
      </c>
      <c r="AQ97" s="851">
        <f t="shared" si="97"/>
        <v>0</v>
      </c>
      <c r="AR97" s="851">
        <f t="shared" si="97"/>
        <v>0</v>
      </c>
      <c r="AS97" s="851">
        <f t="shared" si="97"/>
        <v>0</v>
      </c>
      <c r="AT97" s="851">
        <f t="shared" si="97"/>
        <v>0</v>
      </c>
      <c r="AU97" s="851">
        <f t="shared" si="97"/>
        <v>0</v>
      </c>
      <c r="AV97" s="851">
        <f t="shared" si="97"/>
        <v>0</v>
      </c>
      <c r="AW97" s="851">
        <f t="shared" si="98"/>
        <v>0</v>
      </c>
      <c r="AX97" s="851">
        <f t="shared" si="98"/>
        <v>0</v>
      </c>
      <c r="AY97" s="851">
        <f t="shared" si="98"/>
        <v>0</v>
      </c>
      <c r="AZ97" s="851">
        <f t="shared" si="98"/>
        <v>0</v>
      </c>
      <c r="BA97" s="851">
        <f t="shared" si="98"/>
        <v>0</v>
      </c>
      <c r="BB97" s="851">
        <f t="shared" si="98"/>
        <v>0</v>
      </c>
      <c r="BC97" s="851">
        <f t="shared" si="99"/>
        <v>0</v>
      </c>
      <c r="BD97" s="851">
        <f t="shared" si="99"/>
        <v>0</v>
      </c>
      <c r="BE97" s="851">
        <f t="shared" si="99"/>
        <v>0</v>
      </c>
      <c r="BF97" s="851">
        <f t="shared" si="99"/>
        <v>0</v>
      </c>
      <c r="BG97" s="851">
        <f t="shared" si="99"/>
        <v>0</v>
      </c>
      <c r="BH97" s="851">
        <f t="shared" si="99"/>
        <v>0</v>
      </c>
      <c r="BI97" s="851">
        <f t="shared" si="100"/>
        <v>0</v>
      </c>
      <c r="BJ97" s="851">
        <f t="shared" si="100"/>
        <v>0</v>
      </c>
      <c r="BK97" s="851">
        <f t="shared" si="100"/>
        <v>0</v>
      </c>
      <c r="BL97" s="851">
        <f t="shared" si="100"/>
        <v>0</v>
      </c>
      <c r="BM97" s="851">
        <f t="shared" si="100"/>
        <v>0</v>
      </c>
      <c r="BN97" s="851">
        <f t="shared" si="100"/>
        <v>0</v>
      </c>
      <c r="BO97" s="851">
        <f t="shared" si="101"/>
        <v>0</v>
      </c>
      <c r="BP97" s="851">
        <f t="shared" si="101"/>
        <v>0</v>
      </c>
      <c r="BQ97" s="851">
        <f t="shared" si="101"/>
        <v>0</v>
      </c>
      <c r="BR97" s="851">
        <f t="shared" si="101"/>
        <v>0</v>
      </c>
      <c r="BS97" s="851">
        <f t="shared" si="101"/>
        <v>0</v>
      </c>
      <c r="BT97" s="851">
        <f t="shared" si="101"/>
        <v>0</v>
      </c>
      <c r="BU97" s="851">
        <f t="shared" si="102"/>
        <v>0</v>
      </c>
      <c r="BV97" s="851">
        <f t="shared" si="102"/>
        <v>0</v>
      </c>
      <c r="BW97" s="851">
        <f t="shared" si="102"/>
        <v>0</v>
      </c>
      <c r="BX97" s="851">
        <f t="shared" si="102"/>
        <v>0</v>
      </c>
      <c r="BY97" s="851">
        <f t="shared" si="102"/>
        <v>0</v>
      </c>
      <c r="BZ97" s="851">
        <f t="shared" si="102"/>
        <v>0</v>
      </c>
      <c r="CA97" s="14"/>
    </row>
    <row r="98" spans="5:79" ht="15">
      <c r="E98" s="920" t="s">
        <v>953</v>
      </c>
      <c r="F98" s="921">
        <f t="shared" si="66"/>
        <v>0</v>
      </c>
      <c r="G98" s="851">
        <f t="shared" si="91"/>
        <v>0</v>
      </c>
      <c r="H98" s="851">
        <f t="shared" si="91"/>
        <v>0</v>
      </c>
      <c r="I98" s="851">
        <f t="shared" si="91"/>
        <v>0</v>
      </c>
      <c r="J98" s="851">
        <f t="shared" si="91"/>
        <v>0</v>
      </c>
      <c r="K98" s="851">
        <f t="shared" si="91"/>
        <v>0</v>
      </c>
      <c r="L98" s="851">
        <f t="shared" si="91"/>
        <v>0</v>
      </c>
      <c r="M98" s="851">
        <f t="shared" si="92"/>
        <v>0</v>
      </c>
      <c r="N98" s="851">
        <f t="shared" si="92"/>
        <v>0</v>
      </c>
      <c r="O98" s="851">
        <f t="shared" si="92"/>
        <v>0</v>
      </c>
      <c r="P98" s="851">
        <f t="shared" si="92"/>
        <v>0</v>
      </c>
      <c r="Q98" s="851">
        <f t="shared" si="92"/>
        <v>0</v>
      </c>
      <c r="R98" s="851">
        <f t="shared" si="92"/>
        <v>0</v>
      </c>
      <c r="S98" s="851">
        <f t="shared" si="93"/>
        <v>0</v>
      </c>
      <c r="T98" s="851">
        <f t="shared" si="93"/>
        <v>0</v>
      </c>
      <c r="U98" s="851">
        <f t="shared" si="93"/>
        <v>0</v>
      </c>
      <c r="V98" s="851">
        <f t="shared" si="93"/>
        <v>0</v>
      </c>
      <c r="W98" s="851">
        <f t="shared" si="93"/>
        <v>0</v>
      </c>
      <c r="X98" s="851">
        <f t="shared" si="93"/>
        <v>0</v>
      </c>
      <c r="Y98" s="851">
        <f t="shared" si="94"/>
        <v>0</v>
      </c>
      <c r="Z98" s="851">
        <f t="shared" si="94"/>
        <v>0</v>
      </c>
      <c r="AA98" s="851">
        <f t="shared" si="94"/>
        <v>0</v>
      </c>
      <c r="AB98" s="851">
        <f t="shared" si="94"/>
        <v>0</v>
      </c>
      <c r="AC98" s="851">
        <f t="shared" si="94"/>
        <v>0</v>
      </c>
      <c r="AD98" s="851">
        <f t="shared" si="94"/>
        <v>0</v>
      </c>
      <c r="AE98" s="851">
        <f t="shared" si="95"/>
        <v>0</v>
      </c>
      <c r="AF98" s="851">
        <f t="shared" si="95"/>
        <v>0</v>
      </c>
      <c r="AG98" s="851">
        <f t="shared" si="95"/>
        <v>0</v>
      </c>
      <c r="AH98" s="851">
        <f t="shared" si="95"/>
        <v>0</v>
      </c>
      <c r="AI98" s="851">
        <f t="shared" si="95"/>
        <v>0</v>
      </c>
      <c r="AJ98" s="851">
        <f t="shared" si="95"/>
        <v>0</v>
      </c>
      <c r="AK98" s="851">
        <f t="shared" si="96"/>
        <v>0</v>
      </c>
      <c r="AL98" s="851">
        <f t="shared" si="96"/>
        <v>0</v>
      </c>
      <c r="AM98" s="851">
        <f t="shared" si="96"/>
        <v>0</v>
      </c>
      <c r="AN98" s="851">
        <f t="shared" si="96"/>
        <v>0</v>
      </c>
      <c r="AO98" s="851">
        <f t="shared" si="96"/>
        <v>0</v>
      </c>
      <c r="AP98" s="851">
        <f t="shared" si="96"/>
        <v>0</v>
      </c>
      <c r="AQ98" s="851">
        <f t="shared" si="97"/>
        <v>0</v>
      </c>
      <c r="AR98" s="851">
        <f t="shared" si="97"/>
        <v>0</v>
      </c>
      <c r="AS98" s="851">
        <f t="shared" si="97"/>
        <v>0</v>
      </c>
      <c r="AT98" s="851">
        <f t="shared" si="97"/>
        <v>0</v>
      </c>
      <c r="AU98" s="851">
        <f t="shared" si="97"/>
        <v>0</v>
      </c>
      <c r="AV98" s="851">
        <f t="shared" si="97"/>
        <v>0</v>
      </c>
      <c r="AW98" s="851">
        <f t="shared" si="98"/>
        <v>0</v>
      </c>
      <c r="AX98" s="851">
        <f t="shared" si="98"/>
        <v>0</v>
      </c>
      <c r="AY98" s="851">
        <f t="shared" si="98"/>
        <v>0</v>
      </c>
      <c r="AZ98" s="851">
        <f t="shared" si="98"/>
        <v>0</v>
      </c>
      <c r="BA98" s="851">
        <f t="shared" si="98"/>
        <v>0</v>
      </c>
      <c r="BB98" s="851">
        <f t="shared" si="98"/>
        <v>0</v>
      </c>
      <c r="BC98" s="851">
        <f t="shared" si="99"/>
        <v>0</v>
      </c>
      <c r="BD98" s="851">
        <f t="shared" si="99"/>
        <v>0</v>
      </c>
      <c r="BE98" s="851">
        <f t="shared" si="99"/>
        <v>0</v>
      </c>
      <c r="BF98" s="851">
        <f t="shared" si="99"/>
        <v>0</v>
      </c>
      <c r="BG98" s="851">
        <f t="shared" si="99"/>
        <v>0</v>
      </c>
      <c r="BH98" s="851">
        <f t="shared" si="99"/>
        <v>0</v>
      </c>
      <c r="BI98" s="851">
        <f t="shared" si="100"/>
        <v>0</v>
      </c>
      <c r="BJ98" s="851">
        <f t="shared" si="100"/>
        <v>0</v>
      </c>
      <c r="BK98" s="851">
        <f t="shared" si="100"/>
        <v>0</v>
      </c>
      <c r="BL98" s="851">
        <f t="shared" si="100"/>
        <v>0</v>
      </c>
      <c r="BM98" s="851">
        <f t="shared" si="100"/>
        <v>0</v>
      </c>
      <c r="BN98" s="851">
        <f t="shared" si="100"/>
        <v>0</v>
      </c>
      <c r="BO98" s="851">
        <f t="shared" si="101"/>
        <v>0</v>
      </c>
      <c r="BP98" s="851">
        <f t="shared" si="101"/>
        <v>0</v>
      </c>
      <c r="BQ98" s="851">
        <f t="shared" si="101"/>
        <v>0</v>
      </c>
      <c r="BR98" s="851">
        <f t="shared" si="101"/>
        <v>0</v>
      </c>
      <c r="BS98" s="851">
        <f t="shared" si="101"/>
        <v>0</v>
      </c>
      <c r="BT98" s="851">
        <f t="shared" si="101"/>
        <v>0</v>
      </c>
      <c r="BU98" s="851">
        <f t="shared" si="102"/>
        <v>0</v>
      </c>
      <c r="BV98" s="851">
        <f t="shared" si="102"/>
        <v>0</v>
      </c>
      <c r="BW98" s="851">
        <f t="shared" si="102"/>
        <v>0</v>
      </c>
      <c r="BX98" s="851">
        <f t="shared" si="102"/>
        <v>0</v>
      </c>
      <c r="BY98" s="851">
        <f t="shared" si="102"/>
        <v>0</v>
      </c>
      <c r="BZ98" s="851">
        <f t="shared" si="102"/>
        <v>0</v>
      </c>
      <c r="CA98" s="14"/>
    </row>
    <row r="99" spans="5:79" ht="15">
      <c r="E99" s="920" t="s">
        <v>954</v>
      </c>
      <c r="F99" s="921">
        <f t="shared" si="66"/>
        <v>0</v>
      </c>
      <c r="G99" s="851">
        <f t="shared" si="91"/>
        <v>0</v>
      </c>
      <c r="H99" s="851">
        <f t="shared" si="91"/>
        <v>0</v>
      </c>
      <c r="I99" s="851">
        <f t="shared" si="91"/>
        <v>0</v>
      </c>
      <c r="J99" s="851">
        <f t="shared" si="91"/>
        <v>0</v>
      </c>
      <c r="K99" s="851">
        <f t="shared" si="91"/>
        <v>0</v>
      </c>
      <c r="L99" s="851">
        <f t="shared" si="91"/>
        <v>0</v>
      </c>
      <c r="M99" s="851">
        <f t="shared" si="92"/>
        <v>0</v>
      </c>
      <c r="N99" s="851">
        <f t="shared" si="92"/>
        <v>0</v>
      </c>
      <c r="O99" s="851">
        <f t="shared" si="92"/>
        <v>0</v>
      </c>
      <c r="P99" s="851">
        <f t="shared" si="92"/>
        <v>0</v>
      </c>
      <c r="Q99" s="851">
        <f t="shared" si="92"/>
        <v>0</v>
      </c>
      <c r="R99" s="851">
        <f t="shared" si="92"/>
        <v>0</v>
      </c>
      <c r="S99" s="851">
        <f t="shared" si="93"/>
        <v>0</v>
      </c>
      <c r="T99" s="851">
        <f t="shared" si="93"/>
        <v>0</v>
      </c>
      <c r="U99" s="851">
        <f t="shared" si="93"/>
        <v>0</v>
      </c>
      <c r="V99" s="851">
        <f t="shared" si="93"/>
        <v>0</v>
      </c>
      <c r="W99" s="851">
        <f t="shared" si="93"/>
        <v>0</v>
      </c>
      <c r="X99" s="851">
        <f t="shared" si="93"/>
        <v>0</v>
      </c>
      <c r="Y99" s="851">
        <f t="shared" si="94"/>
        <v>0</v>
      </c>
      <c r="Z99" s="851">
        <f t="shared" si="94"/>
        <v>0</v>
      </c>
      <c r="AA99" s="851">
        <f t="shared" si="94"/>
        <v>0</v>
      </c>
      <c r="AB99" s="851">
        <f t="shared" si="94"/>
        <v>0</v>
      </c>
      <c r="AC99" s="851">
        <f t="shared" si="94"/>
        <v>0</v>
      </c>
      <c r="AD99" s="851">
        <f t="shared" si="94"/>
        <v>0</v>
      </c>
      <c r="AE99" s="851">
        <f t="shared" si="95"/>
        <v>0</v>
      </c>
      <c r="AF99" s="851">
        <f t="shared" si="95"/>
        <v>0</v>
      </c>
      <c r="AG99" s="851">
        <f t="shared" si="95"/>
        <v>0</v>
      </c>
      <c r="AH99" s="851">
        <f t="shared" si="95"/>
        <v>0</v>
      </c>
      <c r="AI99" s="851">
        <f t="shared" si="95"/>
        <v>0</v>
      </c>
      <c r="AJ99" s="851">
        <f t="shared" si="95"/>
        <v>0</v>
      </c>
      <c r="AK99" s="851">
        <f t="shared" si="96"/>
        <v>0</v>
      </c>
      <c r="AL99" s="851">
        <f t="shared" si="96"/>
        <v>0</v>
      </c>
      <c r="AM99" s="851">
        <f t="shared" si="96"/>
        <v>0</v>
      </c>
      <c r="AN99" s="851">
        <f t="shared" si="96"/>
        <v>0</v>
      </c>
      <c r="AO99" s="851">
        <f t="shared" si="96"/>
        <v>0</v>
      </c>
      <c r="AP99" s="851">
        <f t="shared" si="96"/>
        <v>0</v>
      </c>
      <c r="AQ99" s="851">
        <f t="shared" si="97"/>
        <v>0</v>
      </c>
      <c r="AR99" s="851">
        <f t="shared" si="97"/>
        <v>0</v>
      </c>
      <c r="AS99" s="851">
        <f t="shared" si="97"/>
        <v>0</v>
      </c>
      <c r="AT99" s="851">
        <f t="shared" si="97"/>
        <v>0</v>
      </c>
      <c r="AU99" s="851">
        <f t="shared" si="97"/>
        <v>0</v>
      </c>
      <c r="AV99" s="851">
        <f t="shared" si="97"/>
        <v>0</v>
      </c>
      <c r="AW99" s="851">
        <f t="shared" si="98"/>
        <v>0</v>
      </c>
      <c r="AX99" s="851">
        <f t="shared" si="98"/>
        <v>0</v>
      </c>
      <c r="AY99" s="851">
        <f t="shared" si="98"/>
        <v>0</v>
      </c>
      <c r="AZ99" s="851">
        <f t="shared" si="98"/>
        <v>0</v>
      </c>
      <c r="BA99" s="851">
        <f t="shared" si="98"/>
        <v>0</v>
      </c>
      <c r="BB99" s="851">
        <f t="shared" si="98"/>
        <v>0</v>
      </c>
      <c r="BC99" s="851">
        <f t="shared" si="99"/>
        <v>0</v>
      </c>
      <c r="BD99" s="851">
        <f t="shared" si="99"/>
        <v>0</v>
      </c>
      <c r="BE99" s="851">
        <f t="shared" si="99"/>
        <v>0</v>
      </c>
      <c r="BF99" s="851">
        <f t="shared" si="99"/>
        <v>0</v>
      </c>
      <c r="BG99" s="851">
        <f t="shared" si="99"/>
        <v>0</v>
      </c>
      <c r="BH99" s="851">
        <f t="shared" si="99"/>
        <v>0</v>
      </c>
      <c r="BI99" s="851">
        <f t="shared" si="100"/>
        <v>0</v>
      </c>
      <c r="BJ99" s="851">
        <f t="shared" si="100"/>
        <v>0</v>
      </c>
      <c r="BK99" s="851">
        <f t="shared" si="100"/>
        <v>0</v>
      </c>
      <c r="BL99" s="851">
        <f t="shared" si="100"/>
        <v>0</v>
      </c>
      <c r="BM99" s="851">
        <f t="shared" si="100"/>
        <v>0</v>
      </c>
      <c r="BN99" s="851">
        <f t="shared" si="100"/>
        <v>0</v>
      </c>
      <c r="BO99" s="851">
        <f t="shared" si="101"/>
        <v>0</v>
      </c>
      <c r="BP99" s="851">
        <f t="shared" si="101"/>
        <v>0</v>
      </c>
      <c r="BQ99" s="851">
        <f t="shared" si="101"/>
        <v>0</v>
      </c>
      <c r="BR99" s="851">
        <f t="shared" si="101"/>
        <v>0</v>
      </c>
      <c r="BS99" s="851">
        <f t="shared" si="101"/>
        <v>0</v>
      </c>
      <c r="BT99" s="851">
        <f t="shared" si="101"/>
        <v>0</v>
      </c>
      <c r="BU99" s="851">
        <f t="shared" si="102"/>
        <v>0</v>
      </c>
      <c r="BV99" s="851">
        <f t="shared" si="102"/>
        <v>0</v>
      </c>
      <c r="BW99" s="851">
        <f t="shared" si="102"/>
        <v>0</v>
      </c>
      <c r="BX99" s="851">
        <f t="shared" si="102"/>
        <v>0</v>
      </c>
      <c r="BY99" s="851">
        <f t="shared" si="102"/>
        <v>0</v>
      </c>
      <c r="BZ99" s="851">
        <f t="shared" si="102"/>
        <v>0</v>
      </c>
      <c r="CA99" s="14"/>
    </row>
    <row r="100" spans="5:79" ht="15">
      <c r="E100" s="920" t="s">
        <v>955</v>
      </c>
      <c r="F100" s="921">
        <f t="shared" si="66"/>
        <v>0</v>
      </c>
      <c r="G100" s="851">
        <f t="shared" si="91"/>
        <v>0</v>
      </c>
      <c r="H100" s="851">
        <f t="shared" si="91"/>
        <v>0</v>
      </c>
      <c r="I100" s="851">
        <f t="shared" si="91"/>
        <v>0</v>
      </c>
      <c r="J100" s="851">
        <f t="shared" si="91"/>
        <v>0</v>
      </c>
      <c r="K100" s="851">
        <f t="shared" si="91"/>
        <v>0</v>
      </c>
      <c r="L100" s="851">
        <f t="shared" si="91"/>
        <v>0</v>
      </c>
      <c r="M100" s="851">
        <f t="shared" si="92"/>
        <v>0</v>
      </c>
      <c r="N100" s="851">
        <f t="shared" si="92"/>
        <v>0</v>
      </c>
      <c r="O100" s="851">
        <f t="shared" si="92"/>
        <v>0</v>
      </c>
      <c r="P100" s="851">
        <f t="shared" si="92"/>
        <v>0</v>
      </c>
      <c r="Q100" s="851">
        <f t="shared" si="92"/>
        <v>0</v>
      </c>
      <c r="R100" s="851">
        <f t="shared" si="92"/>
        <v>0</v>
      </c>
      <c r="S100" s="851">
        <f t="shared" si="93"/>
        <v>0</v>
      </c>
      <c r="T100" s="851">
        <f t="shared" si="93"/>
        <v>0</v>
      </c>
      <c r="U100" s="851">
        <f t="shared" si="93"/>
        <v>0</v>
      </c>
      <c r="V100" s="851">
        <f t="shared" si="93"/>
        <v>0</v>
      </c>
      <c r="W100" s="851">
        <f t="shared" si="93"/>
        <v>0</v>
      </c>
      <c r="X100" s="851">
        <f t="shared" si="93"/>
        <v>0</v>
      </c>
      <c r="Y100" s="851">
        <f t="shared" si="94"/>
        <v>0</v>
      </c>
      <c r="Z100" s="851">
        <f t="shared" si="94"/>
        <v>0</v>
      </c>
      <c r="AA100" s="851">
        <f t="shared" si="94"/>
        <v>0</v>
      </c>
      <c r="AB100" s="851">
        <f t="shared" si="94"/>
        <v>0</v>
      </c>
      <c r="AC100" s="851">
        <f t="shared" si="94"/>
        <v>0</v>
      </c>
      <c r="AD100" s="851">
        <f t="shared" si="94"/>
        <v>0</v>
      </c>
      <c r="AE100" s="851">
        <f t="shared" si="95"/>
        <v>0</v>
      </c>
      <c r="AF100" s="851">
        <f t="shared" si="95"/>
        <v>0</v>
      </c>
      <c r="AG100" s="851">
        <f t="shared" si="95"/>
        <v>0</v>
      </c>
      <c r="AH100" s="851">
        <f t="shared" si="95"/>
        <v>0</v>
      </c>
      <c r="AI100" s="851">
        <f t="shared" si="95"/>
        <v>0</v>
      </c>
      <c r="AJ100" s="851">
        <f t="shared" si="95"/>
        <v>0</v>
      </c>
      <c r="AK100" s="851">
        <f t="shared" si="96"/>
        <v>0</v>
      </c>
      <c r="AL100" s="851">
        <f t="shared" si="96"/>
        <v>0</v>
      </c>
      <c r="AM100" s="851">
        <f t="shared" si="96"/>
        <v>0</v>
      </c>
      <c r="AN100" s="851">
        <f t="shared" si="96"/>
        <v>0</v>
      </c>
      <c r="AO100" s="851">
        <f t="shared" si="96"/>
        <v>0</v>
      </c>
      <c r="AP100" s="851">
        <f t="shared" si="96"/>
        <v>0</v>
      </c>
      <c r="AQ100" s="851">
        <f t="shared" si="97"/>
        <v>0</v>
      </c>
      <c r="AR100" s="851">
        <f t="shared" si="97"/>
        <v>0</v>
      </c>
      <c r="AS100" s="851">
        <f t="shared" si="97"/>
        <v>0</v>
      </c>
      <c r="AT100" s="851">
        <f t="shared" si="97"/>
        <v>0</v>
      </c>
      <c r="AU100" s="851">
        <f t="shared" si="97"/>
        <v>0</v>
      </c>
      <c r="AV100" s="851">
        <f t="shared" si="97"/>
        <v>0</v>
      </c>
      <c r="AW100" s="851">
        <f t="shared" si="98"/>
        <v>0</v>
      </c>
      <c r="AX100" s="851">
        <f t="shared" si="98"/>
        <v>0</v>
      </c>
      <c r="AY100" s="851">
        <f t="shared" si="98"/>
        <v>0</v>
      </c>
      <c r="AZ100" s="851">
        <f t="shared" si="98"/>
        <v>0</v>
      </c>
      <c r="BA100" s="851">
        <f t="shared" si="98"/>
        <v>0</v>
      </c>
      <c r="BB100" s="851">
        <f t="shared" si="98"/>
        <v>0</v>
      </c>
      <c r="BC100" s="851">
        <f t="shared" si="99"/>
        <v>0</v>
      </c>
      <c r="BD100" s="851">
        <f t="shared" si="99"/>
        <v>0</v>
      </c>
      <c r="BE100" s="851">
        <f t="shared" si="99"/>
        <v>0</v>
      </c>
      <c r="BF100" s="851">
        <f t="shared" si="99"/>
        <v>0</v>
      </c>
      <c r="BG100" s="851">
        <f t="shared" si="99"/>
        <v>0</v>
      </c>
      <c r="BH100" s="851">
        <f t="shared" si="99"/>
        <v>0</v>
      </c>
      <c r="BI100" s="851">
        <f t="shared" si="100"/>
        <v>0</v>
      </c>
      <c r="BJ100" s="851">
        <f t="shared" si="100"/>
        <v>0</v>
      </c>
      <c r="BK100" s="851">
        <f t="shared" si="100"/>
        <v>0</v>
      </c>
      <c r="BL100" s="851">
        <f t="shared" si="100"/>
        <v>0</v>
      </c>
      <c r="BM100" s="851">
        <f t="shared" si="100"/>
        <v>0</v>
      </c>
      <c r="BN100" s="851">
        <f t="shared" si="100"/>
        <v>0</v>
      </c>
      <c r="BO100" s="851">
        <f t="shared" si="101"/>
        <v>0</v>
      </c>
      <c r="BP100" s="851">
        <f t="shared" si="101"/>
        <v>0</v>
      </c>
      <c r="BQ100" s="851">
        <f t="shared" si="101"/>
        <v>0</v>
      </c>
      <c r="BR100" s="851">
        <f t="shared" si="101"/>
        <v>0</v>
      </c>
      <c r="BS100" s="851">
        <f t="shared" si="101"/>
        <v>0</v>
      </c>
      <c r="BT100" s="851">
        <f t="shared" si="101"/>
        <v>0</v>
      </c>
      <c r="BU100" s="851">
        <f t="shared" si="102"/>
        <v>0</v>
      </c>
      <c r="BV100" s="851">
        <f t="shared" si="102"/>
        <v>0</v>
      </c>
      <c r="BW100" s="851">
        <f t="shared" si="102"/>
        <v>0</v>
      </c>
      <c r="BX100" s="851">
        <f t="shared" si="102"/>
        <v>0</v>
      </c>
      <c r="BY100" s="851">
        <f t="shared" si="102"/>
        <v>0</v>
      </c>
      <c r="BZ100" s="851">
        <f t="shared" si="102"/>
        <v>0</v>
      </c>
      <c r="CA100" s="14"/>
    </row>
    <row r="101" spans="5:79" ht="15.75" thickBot="1">
      <c r="E101" s="920" t="s">
        <v>956</v>
      </c>
      <c r="F101" s="921">
        <f t="shared" si="66"/>
        <v>0</v>
      </c>
      <c r="G101" s="851">
        <f t="shared" si="91"/>
        <v>0</v>
      </c>
      <c r="H101" s="851">
        <f t="shared" si="91"/>
        <v>0</v>
      </c>
      <c r="I101" s="851">
        <f t="shared" si="91"/>
        <v>0</v>
      </c>
      <c r="J101" s="851">
        <f t="shared" si="91"/>
        <v>0</v>
      </c>
      <c r="K101" s="851">
        <f t="shared" si="91"/>
        <v>0</v>
      </c>
      <c r="L101" s="851">
        <f t="shared" si="91"/>
        <v>0</v>
      </c>
      <c r="M101" s="851">
        <f t="shared" si="92"/>
        <v>0</v>
      </c>
      <c r="N101" s="851">
        <f t="shared" si="92"/>
        <v>0</v>
      </c>
      <c r="O101" s="851">
        <f t="shared" si="92"/>
        <v>0</v>
      </c>
      <c r="P101" s="851">
        <f t="shared" si="92"/>
        <v>0</v>
      </c>
      <c r="Q101" s="851">
        <f t="shared" si="92"/>
        <v>0</v>
      </c>
      <c r="R101" s="851">
        <f t="shared" si="92"/>
        <v>0</v>
      </c>
      <c r="S101" s="851">
        <f t="shared" si="93"/>
        <v>0</v>
      </c>
      <c r="T101" s="851">
        <f t="shared" si="93"/>
        <v>0</v>
      </c>
      <c r="U101" s="851">
        <f t="shared" si="93"/>
        <v>0</v>
      </c>
      <c r="V101" s="851">
        <f t="shared" si="93"/>
        <v>0</v>
      </c>
      <c r="W101" s="851">
        <f t="shared" si="93"/>
        <v>0</v>
      </c>
      <c r="X101" s="851">
        <f t="shared" si="93"/>
        <v>0</v>
      </c>
      <c r="Y101" s="851">
        <f t="shared" si="94"/>
        <v>0</v>
      </c>
      <c r="Z101" s="851">
        <f t="shared" si="94"/>
        <v>0</v>
      </c>
      <c r="AA101" s="851">
        <f t="shared" si="94"/>
        <v>0</v>
      </c>
      <c r="AB101" s="851">
        <f t="shared" si="94"/>
        <v>0</v>
      </c>
      <c r="AC101" s="851">
        <f t="shared" si="94"/>
        <v>0</v>
      </c>
      <c r="AD101" s="851">
        <f t="shared" si="94"/>
        <v>0</v>
      </c>
      <c r="AE101" s="851">
        <f t="shared" si="95"/>
        <v>0</v>
      </c>
      <c r="AF101" s="851">
        <f t="shared" si="95"/>
        <v>0</v>
      </c>
      <c r="AG101" s="851">
        <f t="shared" si="95"/>
        <v>0</v>
      </c>
      <c r="AH101" s="851">
        <f t="shared" si="95"/>
        <v>0</v>
      </c>
      <c r="AI101" s="851">
        <f t="shared" si="95"/>
        <v>0</v>
      </c>
      <c r="AJ101" s="851">
        <f t="shared" si="95"/>
        <v>0</v>
      </c>
      <c r="AK101" s="851">
        <f t="shared" si="96"/>
        <v>0</v>
      </c>
      <c r="AL101" s="851">
        <f t="shared" si="96"/>
        <v>0</v>
      </c>
      <c r="AM101" s="851">
        <f t="shared" si="96"/>
        <v>0</v>
      </c>
      <c r="AN101" s="851">
        <f t="shared" si="96"/>
        <v>0</v>
      </c>
      <c r="AO101" s="851">
        <f t="shared" si="96"/>
        <v>0</v>
      </c>
      <c r="AP101" s="851">
        <f t="shared" si="96"/>
        <v>0</v>
      </c>
      <c r="AQ101" s="851">
        <f t="shared" si="97"/>
        <v>0</v>
      </c>
      <c r="AR101" s="851">
        <f t="shared" si="97"/>
        <v>0</v>
      </c>
      <c r="AS101" s="851">
        <f t="shared" si="97"/>
        <v>0</v>
      </c>
      <c r="AT101" s="851">
        <f t="shared" si="97"/>
        <v>0</v>
      </c>
      <c r="AU101" s="851">
        <f t="shared" si="97"/>
        <v>0</v>
      </c>
      <c r="AV101" s="851">
        <f t="shared" si="97"/>
        <v>0</v>
      </c>
      <c r="AW101" s="851">
        <f t="shared" si="98"/>
        <v>0</v>
      </c>
      <c r="AX101" s="851">
        <f t="shared" si="98"/>
        <v>0</v>
      </c>
      <c r="AY101" s="851">
        <f t="shared" si="98"/>
        <v>0</v>
      </c>
      <c r="AZ101" s="851">
        <f t="shared" si="98"/>
        <v>0</v>
      </c>
      <c r="BA101" s="851">
        <f t="shared" si="98"/>
        <v>0</v>
      </c>
      <c r="BB101" s="851">
        <f t="shared" si="98"/>
        <v>0</v>
      </c>
      <c r="BC101" s="851">
        <f t="shared" si="99"/>
        <v>0</v>
      </c>
      <c r="BD101" s="851">
        <f t="shared" si="99"/>
        <v>0</v>
      </c>
      <c r="BE101" s="851">
        <f t="shared" si="99"/>
        <v>0</v>
      </c>
      <c r="BF101" s="851">
        <f t="shared" si="99"/>
        <v>0</v>
      </c>
      <c r="BG101" s="851">
        <f t="shared" si="99"/>
        <v>0</v>
      </c>
      <c r="BH101" s="851">
        <f t="shared" si="99"/>
        <v>0</v>
      </c>
      <c r="BI101" s="851">
        <f t="shared" si="100"/>
        <v>0</v>
      </c>
      <c r="BJ101" s="851">
        <f t="shared" si="100"/>
        <v>0</v>
      </c>
      <c r="BK101" s="851">
        <f t="shared" si="100"/>
        <v>0</v>
      </c>
      <c r="BL101" s="851">
        <f t="shared" si="100"/>
        <v>0</v>
      </c>
      <c r="BM101" s="851">
        <f t="shared" si="100"/>
        <v>0</v>
      </c>
      <c r="BN101" s="851">
        <f t="shared" si="100"/>
        <v>0</v>
      </c>
      <c r="BO101" s="851">
        <f t="shared" si="101"/>
        <v>0</v>
      </c>
      <c r="BP101" s="851">
        <f t="shared" si="101"/>
        <v>0</v>
      </c>
      <c r="BQ101" s="851">
        <f t="shared" si="101"/>
        <v>0</v>
      </c>
      <c r="BR101" s="851">
        <f t="shared" si="101"/>
        <v>0</v>
      </c>
      <c r="BS101" s="851">
        <f t="shared" si="101"/>
        <v>0</v>
      </c>
      <c r="BT101" s="851">
        <f t="shared" si="101"/>
        <v>0</v>
      </c>
      <c r="BU101" s="851">
        <f t="shared" si="102"/>
        <v>0</v>
      </c>
      <c r="BV101" s="851">
        <f t="shared" si="102"/>
        <v>0</v>
      </c>
      <c r="BW101" s="851">
        <f t="shared" si="102"/>
        <v>0</v>
      </c>
      <c r="BX101" s="851">
        <f t="shared" si="102"/>
        <v>0</v>
      </c>
      <c r="BY101" s="851">
        <f t="shared" si="102"/>
        <v>0</v>
      </c>
      <c r="BZ101" s="851">
        <f t="shared" si="102"/>
        <v>0</v>
      </c>
      <c r="CA101" s="14"/>
    </row>
    <row r="102" spans="5:79" ht="13.5" thickBot="1">
      <c r="E102" s="922"/>
      <c r="F102" s="923"/>
      <c r="G102" s="913">
        <f t="shared" ref="G102:AL102" si="103">SUM(G72:G101)</f>
        <v>0</v>
      </c>
      <c r="H102" s="914">
        <f t="shared" si="103"/>
        <v>0</v>
      </c>
      <c r="I102" s="914">
        <f t="shared" si="103"/>
        <v>0</v>
      </c>
      <c r="J102" s="914">
        <f t="shared" si="103"/>
        <v>0</v>
      </c>
      <c r="K102" s="914">
        <f t="shared" si="103"/>
        <v>0</v>
      </c>
      <c r="L102" s="915">
        <f t="shared" si="103"/>
        <v>0</v>
      </c>
      <c r="M102" s="913">
        <f t="shared" si="103"/>
        <v>0</v>
      </c>
      <c r="N102" s="914">
        <f t="shared" si="103"/>
        <v>0</v>
      </c>
      <c r="O102" s="914">
        <f t="shared" si="103"/>
        <v>0</v>
      </c>
      <c r="P102" s="914">
        <f t="shared" si="103"/>
        <v>0</v>
      </c>
      <c r="Q102" s="914">
        <f t="shared" si="103"/>
        <v>0</v>
      </c>
      <c r="R102" s="915">
        <f t="shared" si="103"/>
        <v>0</v>
      </c>
      <c r="S102" s="913">
        <f t="shared" si="103"/>
        <v>0</v>
      </c>
      <c r="T102" s="914">
        <f t="shared" si="103"/>
        <v>0</v>
      </c>
      <c r="U102" s="914">
        <f t="shared" si="103"/>
        <v>0</v>
      </c>
      <c r="V102" s="914">
        <f t="shared" si="103"/>
        <v>0</v>
      </c>
      <c r="W102" s="914">
        <f t="shared" si="103"/>
        <v>0</v>
      </c>
      <c r="X102" s="915">
        <f t="shared" si="103"/>
        <v>0</v>
      </c>
      <c r="Y102" s="913">
        <f t="shared" si="103"/>
        <v>0</v>
      </c>
      <c r="Z102" s="914">
        <f t="shared" si="103"/>
        <v>0</v>
      </c>
      <c r="AA102" s="914">
        <f t="shared" si="103"/>
        <v>0</v>
      </c>
      <c r="AB102" s="914">
        <f t="shared" si="103"/>
        <v>0</v>
      </c>
      <c r="AC102" s="914">
        <f t="shared" si="103"/>
        <v>0</v>
      </c>
      <c r="AD102" s="915">
        <f t="shared" si="103"/>
        <v>0</v>
      </c>
      <c r="AE102" s="913">
        <f t="shared" si="103"/>
        <v>0</v>
      </c>
      <c r="AF102" s="914">
        <f t="shared" si="103"/>
        <v>0</v>
      </c>
      <c r="AG102" s="914">
        <f t="shared" si="103"/>
        <v>0</v>
      </c>
      <c r="AH102" s="914">
        <f t="shared" si="103"/>
        <v>0</v>
      </c>
      <c r="AI102" s="914">
        <f t="shared" si="103"/>
        <v>0</v>
      </c>
      <c r="AJ102" s="915">
        <f t="shared" si="103"/>
        <v>0</v>
      </c>
      <c r="AK102" s="913">
        <f t="shared" si="103"/>
        <v>0</v>
      </c>
      <c r="AL102" s="914">
        <f t="shared" si="103"/>
        <v>0</v>
      </c>
      <c r="AM102" s="914">
        <f t="shared" ref="AM102:BR102" si="104">SUM(AM72:AM101)</f>
        <v>0</v>
      </c>
      <c r="AN102" s="914">
        <f t="shared" si="104"/>
        <v>0</v>
      </c>
      <c r="AO102" s="914">
        <f t="shared" si="104"/>
        <v>0</v>
      </c>
      <c r="AP102" s="915">
        <f t="shared" si="104"/>
        <v>0</v>
      </c>
      <c r="AQ102" s="913">
        <f t="shared" si="104"/>
        <v>0</v>
      </c>
      <c r="AR102" s="914">
        <f t="shared" si="104"/>
        <v>0</v>
      </c>
      <c r="AS102" s="914">
        <f t="shared" si="104"/>
        <v>0</v>
      </c>
      <c r="AT102" s="914">
        <f t="shared" si="104"/>
        <v>0</v>
      </c>
      <c r="AU102" s="914">
        <f t="shared" si="104"/>
        <v>0</v>
      </c>
      <c r="AV102" s="915">
        <f t="shared" si="104"/>
        <v>0</v>
      </c>
      <c r="AW102" s="913">
        <f t="shared" si="104"/>
        <v>0</v>
      </c>
      <c r="AX102" s="914">
        <f t="shared" si="104"/>
        <v>0</v>
      </c>
      <c r="AY102" s="914">
        <f t="shared" si="104"/>
        <v>0</v>
      </c>
      <c r="AZ102" s="914">
        <f t="shared" si="104"/>
        <v>0</v>
      </c>
      <c r="BA102" s="914">
        <f t="shared" si="104"/>
        <v>0</v>
      </c>
      <c r="BB102" s="915">
        <f t="shared" si="104"/>
        <v>0</v>
      </c>
      <c r="BC102" s="913">
        <f t="shared" si="104"/>
        <v>0</v>
      </c>
      <c r="BD102" s="914">
        <f t="shared" si="104"/>
        <v>0</v>
      </c>
      <c r="BE102" s="914">
        <f t="shared" si="104"/>
        <v>0</v>
      </c>
      <c r="BF102" s="914">
        <f t="shared" si="104"/>
        <v>0</v>
      </c>
      <c r="BG102" s="914">
        <f t="shared" si="104"/>
        <v>0</v>
      </c>
      <c r="BH102" s="915">
        <f t="shared" si="104"/>
        <v>0</v>
      </c>
      <c r="BI102" s="913">
        <f t="shared" si="104"/>
        <v>0</v>
      </c>
      <c r="BJ102" s="914">
        <f t="shared" si="104"/>
        <v>0</v>
      </c>
      <c r="BK102" s="914">
        <f t="shared" si="104"/>
        <v>0</v>
      </c>
      <c r="BL102" s="914">
        <f t="shared" si="104"/>
        <v>0</v>
      </c>
      <c r="BM102" s="914">
        <f t="shared" si="104"/>
        <v>0</v>
      </c>
      <c r="BN102" s="915">
        <f t="shared" si="104"/>
        <v>0</v>
      </c>
      <c r="BO102" s="913">
        <f t="shared" si="104"/>
        <v>0</v>
      </c>
      <c r="BP102" s="914">
        <f t="shared" si="104"/>
        <v>0</v>
      </c>
      <c r="BQ102" s="914">
        <f t="shared" si="104"/>
        <v>0</v>
      </c>
      <c r="BR102" s="914">
        <f t="shared" si="104"/>
        <v>0</v>
      </c>
      <c r="BS102" s="914">
        <f t="shared" ref="BS102:BZ102" si="105">SUM(BS72:BS101)</f>
        <v>0</v>
      </c>
      <c r="BT102" s="915">
        <f t="shared" si="105"/>
        <v>0</v>
      </c>
      <c r="BU102" s="913">
        <f t="shared" si="105"/>
        <v>0</v>
      </c>
      <c r="BV102" s="914">
        <f t="shared" si="105"/>
        <v>0</v>
      </c>
      <c r="BW102" s="914">
        <f t="shared" si="105"/>
        <v>0</v>
      </c>
      <c r="BX102" s="914">
        <f t="shared" si="105"/>
        <v>0</v>
      </c>
      <c r="BY102" s="914">
        <f t="shared" si="105"/>
        <v>0</v>
      </c>
      <c r="BZ102" s="915">
        <f t="shared" si="105"/>
        <v>0</v>
      </c>
      <c r="CA102" s="14"/>
    </row>
    <row r="103" spans="5:79">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row>
    <row r="104" spans="5:79">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row>
    <row r="106" spans="5:79" ht="15.75">
      <c r="E106" s="961" t="s">
        <v>986</v>
      </c>
      <c r="F106" s="961"/>
      <c r="G106" s="961"/>
      <c r="H106" s="961"/>
      <c r="AA106" s="961" t="s">
        <v>990</v>
      </c>
      <c r="AB106" s="961"/>
      <c r="AC106" s="961"/>
      <c r="AD106" s="961"/>
      <c r="AE106" s="747"/>
      <c r="AF106" s="747"/>
      <c r="AG106" s="747"/>
      <c r="AH106" s="747"/>
      <c r="AI106" s="747"/>
      <c r="AJ106" s="747"/>
      <c r="AK106" s="747"/>
      <c r="AL106" s="747"/>
      <c r="AM106" s="747"/>
      <c r="AN106" s="747"/>
      <c r="AO106" s="747"/>
      <c r="AP106" s="747"/>
      <c r="AQ106" s="747"/>
      <c r="AR106" s="747"/>
      <c r="AS106" s="747"/>
      <c r="AT106" s="747"/>
      <c r="AW106" s="961" t="s">
        <v>991</v>
      </c>
      <c r="AX106" s="961"/>
      <c r="AY106" s="961"/>
      <c r="AZ106" s="961"/>
      <c r="BA106" s="747"/>
      <c r="BB106" s="747"/>
      <c r="BC106" s="747"/>
      <c r="BD106" s="747"/>
      <c r="BE106" s="747"/>
      <c r="BF106" s="747"/>
      <c r="BG106" s="747"/>
      <c r="BH106" s="747"/>
      <c r="BI106" s="747"/>
      <c r="BJ106" s="747"/>
      <c r="BK106" s="747"/>
      <c r="BL106" s="747"/>
      <c r="BM106" s="747"/>
      <c r="BN106" s="747"/>
      <c r="BO106" s="747"/>
      <c r="BP106" s="747"/>
    </row>
    <row r="107" spans="5:79">
      <c r="E107" s="747"/>
      <c r="F107" s="747"/>
      <c r="G107" s="747"/>
      <c r="H107" s="747">
        <v>13</v>
      </c>
      <c r="I107" s="747">
        <v>19</v>
      </c>
      <c r="J107" s="747">
        <v>25</v>
      </c>
      <c r="K107" s="747">
        <v>31</v>
      </c>
      <c r="L107" s="747">
        <v>37</v>
      </c>
      <c r="M107" s="747">
        <v>43</v>
      </c>
      <c r="N107" s="747">
        <v>49</v>
      </c>
      <c r="O107" s="747">
        <v>55</v>
      </c>
      <c r="P107" s="747">
        <v>61</v>
      </c>
      <c r="Q107" s="747">
        <v>67</v>
      </c>
      <c r="R107" s="747">
        <v>73</v>
      </c>
      <c r="S107" s="747">
        <v>79</v>
      </c>
      <c r="T107" s="747">
        <v>85</v>
      </c>
      <c r="U107" s="747">
        <v>91</v>
      </c>
      <c r="V107" s="747">
        <v>97</v>
      </c>
      <c r="W107" s="747">
        <v>103</v>
      </c>
      <c r="X107" s="747">
        <v>109</v>
      </c>
      <c r="AA107" s="747"/>
      <c r="AB107" s="747"/>
      <c r="AC107" s="747"/>
      <c r="AD107" s="747"/>
      <c r="AE107" s="747"/>
      <c r="AF107" s="747"/>
      <c r="AG107" s="747"/>
      <c r="AH107" s="747"/>
      <c r="AI107" s="747"/>
      <c r="AJ107" s="747"/>
      <c r="AK107" s="747"/>
      <c r="AL107" s="747"/>
      <c r="AM107" s="747"/>
      <c r="AN107" s="747"/>
      <c r="AO107" s="747"/>
      <c r="AP107" s="747"/>
      <c r="AQ107" s="747"/>
      <c r="AR107" s="747"/>
      <c r="AS107" s="747"/>
      <c r="AT107" s="747"/>
      <c r="AW107" s="747"/>
      <c r="AX107" s="747"/>
      <c r="AY107" s="747"/>
      <c r="AZ107" s="747"/>
      <c r="BA107" s="747"/>
      <c r="BB107" s="747"/>
      <c r="BC107" s="747"/>
      <c r="BD107" s="747"/>
      <c r="BE107" s="747"/>
      <c r="BF107" s="747"/>
      <c r="BG107" s="747"/>
      <c r="BH107" s="747"/>
      <c r="BI107" s="747"/>
      <c r="BJ107" s="747"/>
      <c r="BK107" s="747"/>
      <c r="BL107" s="747"/>
      <c r="BM107" s="747"/>
      <c r="BN107" s="747"/>
      <c r="BO107" s="747"/>
      <c r="BP107" s="747"/>
    </row>
    <row r="108" spans="5:79">
      <c r="E108" s="747"/>
      <c r="F108" s="943">
        <f>G36</f>
        <v>0</v>
      </c>
      <c r="G108" s="943">
        <f>M36</f>
        <v>0</v>
      </c>
      <c r="H108" s="943">
        <f>S36</f>
        <v>0</v>
      </c>
      <c r="I108" s="943">
        <f>Y36</f>
        <v>0</v>
      </c>
      <c r="J108" s="943">
        <f>AE36</f>
        <v>0</v>
      </c>
      <c r="K108" s="943">
        <f>AK36</f>
        <v>0</v>
      </c>
      <c r="L108" s="943">
        <f>AQ36</f>
        <v>0</v>
      </c>
      <c r="M108" s="943">
        <f>AW36</f>
        <v>0</v>
      </c>
      <c r="N108" s="943">
        <f>BC36</f>
        <v>0</v>
      </c>
      <c r="O108" s="943">
        <f>BI36</f>
        <v>0</v>
      </c>
      <c r="P108" s="943">
        <f>BO36</f>
        <v>0</v>
      </c>
      <c r="Q108" s="943">
        <f>BU36</f>
        <v>0</v>
      </c>
      <c r="R108" s="1389"/>
      <c r="S108" s="1389"/>
      <c r="T108" s="1389"/>
      <c r="U108" s="1389"/>
      <c r="V108" s="1389"/>
      <c r="W108" s="1389"/>
      <c r="X108" s="1389"/>
      <c r="AA108" s="747"/>
      <c r="AB108" s="943">
        <f>F108</f>
        <v>0</v>
      </c>
      <c r="AC108" s="943">
        <f t="shared" ref="AC108:AM108" si="106">G108</f>
        <v>0</v>
      </c>
      <c r="AD108" s="943">
        <f t="shared" si="106"/>
        <v>0</v>
      </c>
      <c r="AE108" s="943">
        <f t="shared" si="106"/>
        <v>0</v>
      </c>
      <c r="AF108" s="943">
        <f t="shared" si="106"/>
        <v>0</v>
      </c>
      <c r="AG108" s="943">
        <f t="shared" si="106"/>
        <v>0</v>
      </c>
      <c r="AH108" s="943">
        <f t="shared" si="106"/>
        <v>0</v>
      </c>
      <c r="AI108" s="943">
        <f t="shared" si="106"/>
        <v>0</v>
      </c>
      <c r="AJ108" s="943">
        <f t="shared" si="106"/>
        <v>0</v>
      </c>
      <c r="AK108" s="943">
        <f t="shared" si="106"/>
        <v>0</v>
      </c>
      <c r="AL108" s="943">
        <f t="shared" si="106"/>
        <v>0</v>
      </c>
      <c r="AM108" s="943">
        <f t="shared" si="106"/>
        <v>0</v>
      </c>
      <c r="AN108" s="1389"/>
      <c r="AO108" s="1389"/>
      <c r="AP108" s="1389"/>
      <c r="AQ108" s="1389"/>
      <c r="AR108" s="1389"/>
      <c r="AS108" s="1389"/>
      <c r="AT108" s="1389"/>
      <c r="AW108" s="747"/>
      <c r="AX108" s="943">
        <f>F108</f>
        <v>0</v>
      </c>
      <c r="AY108" s="943">
        <f t="shared" ref="AY108:BI108" si="107">G108</f>
        <v>0</v>
      </c>
      <c r="AZ108" s="943">
        <f t="shared" si="107"/>
        <v>0</v>
      </c>
      <c r="BA108" s="943">
        <f t="shared" si="107"/>
        <v>0</v>
      </c>
      <c r="BB108" s="943">
        <f t="shared" si="107"/>
        <v>0</v>
      </c>
      <c r="BC108" s="943">
        <f t="shared" si="107"/>
        <v>0</v>
      </c>
      <c r="BD108" s="943">
        <f t="shared" si="107"/>
        <v>0</v>
      </c>
      <c r="BE108" s="943">
        <f t="shared" si="107"/>
        <v>0</v>
      </c>
      <c r="BF108" s="943">
        <f t="shared" si="107"/>
        <v>0</v>
      </c>
      <c r="BG108" s="943">
        <f t="shared" si="107"/>
        <v>0</v>
      </c>
      <c r="BH108" s="943">
        <f t="shared" si="107"/>
        <v>0</v>
      </c>
      <c r="BI108" s="943">
        <f t="shared" si="107"/>
        <v>0</v>
      </c>
      <c r="BJ108" s="1389"/>
      <c r="BK108" s="1389"/>
      <c r="BL108" s="1389"/>
      <c r="BM108" s="1389"/>
      <c r="BN108" s="1389"/>
      <c r="BO108" s="1389"/>
      <c r="BP108" s="1389"/>
    </row>
    <row r="109" spans="5:79" ht="15">
      <c r="E109" s="912" t="s">
        <v>927</v>
      </c>
      <c r="F109" s="941">
        <f t="shared" ref="F109:F138" si="108">SUM(G38:L38)</f>
        <v>0</v>
      </c>
      <c r="G109" s="941">
        <f>SUM(M38:R38)</f>
        <v>0</v>
      </c>
      <c r="H109" s="941">
        <f t="shared" ref="H109:H138" si="109">SUM(S38:X38)</f>
        <v>0</v>
      </c>
      <c r="I109" s="941">
        <f t="shared" ref="I109:I138" si="110">SUM(Y38:AD38)</f>
        <v>0</v>
      </c>
      <c r="J109" s="941">
        <f t="shared" ref="J109:J138" si="111">SUM(AE38:AJ38)</f>
        <v>0</v>
      </c>
      <c r="K109" s="941">
        <f t="shared" ref="K109:K138" si="112">SUM(AK38:AP38)</f>
        <v>0</v>
      </c>
      <c r="L109" s="941">
        <f t="shared" ref="L109:L138" si="113">SUM(AQ38:AV38)</f>
        <v>0</v>
      </c>
      <c r="M109" s="941">
        <f t="shared" ref="M109:M138" si="114">SUM(AW38:BB38)</f>
        <v>0</v>
      </c>
      <c r="N109" s="941">
        <f t="shared" ref="N109:N138" si="115">SUM(BC38:BH38)</f>
        <v>0</v>
      </c>
      <c r="O109" s="941">
        <f t="shared" ref="O109:O138" si="116">SUM(BI38:BN38)</f>
        <v>0</v>
      </c>
      <c r="P109" s="941">
        <f t="shared" ref="P109:P138" si="117">SUM(BO38:BT38)</f>
        <v>0</v>
      </c>
      <c r="Q109" s="941">
        <f t="shared" ref="Q109:Q138" si="118">SUM(BU38:BZ38)</f>
        <v>0</v>
      </c>
      <c r="R109" s="1390"/>
      <c r="S109" s="1390"/>
      <c r="T109" s="1390"/>
      <c r="U109" s="1390"/>
      <c r="V109" s="1390"/>
      <c r="W109" s="1390"/>
      <c r="X109" s="1390"/>
      <c r="AA109" s="912" t="s">
        <v>927</v>
      </c>
      <c r="AB109" s="930">
        <f>IF(S_1!$G$8="NEIN",0,S_1!$AM$20)</f>
        <v>0</v>
      </c>
      <c r="AC109" s="1601">
        <f>IF(S_1!$G$8="NEIN",0,S_1!$AM$21)</f>
        <v>0</v>
      </c>
      <c r="AD109" s="1601">
        <f>IF(S_1!$G$8="NEIN",0,S_1!$AM$22)</f>
        <v>0</v>
      </c>
      <c r="AE109" s="1601">
        <f>IF(S_1!$G$8="NEIN",0,S_1!$AM$23)</f>
        <v>0</v>
      </c>
      <c r="AF109" s="1601">
        <f>IF(S_1!$G$8="NEIN",0,S_1!$AM$24)</f>
        <v>0</v>
      </c>
      <c r="AG109" s="1601">
        <f>IF(S_1!$G$8="NEIN",0,S_1!$AM$25)</f>
        <v>0</v>
      </c>
      <c r="AH109" s="1601">
        <f>IF(S_1!$G$8="NEIN",0,S_1!$AM$26)</f>
        <v>0</v>
      </c>
      <c r="AI109" s="1601">
        <f>IF(S_1!$G$8="NEIN",0,S_1!$AM$27)</f>
        <v>0</v>
      </c>
      <c r="AJ109" s="1601">
        <f>IF(S_1!$G$8="NEIN",0,S_1!$AM$28)</f>
        <v>0</v>
      </c>
      <c r="AK109" s="1601">
        <f>IF(S_1!$G$8="NEIN",0,S_1!$AM$29)</f>
        <v>0</v>
      </c>
      <c r="AL109" s="1601">
        <f>IF(S_1!$G$8="NEIN",0,S_1!$AM$30)</f>
        <v>0</v>
      </c>
      <c r="AM109" s="1601">
        <f>IF(S_1!$G$8="NEIN",0,S_1!$AM$31)</f>
        <v>0</v>
      </c>
      <c r="AN109" s="1388"/>
      <c r="AO109" s="1388"/>
      <c r="AP109" s="1388"/>
      <c r="AQ109" s="1388"/>
      <c r="AR109" s="1388"/>
      <c r="AS109" s="1388"/>
      <c r="AT109" s="1388"/>
      <c r="AW109" s="912" t="s">
        <v>927</v>
      </c>
      <c r="AX109" s="930"/>
      <c r="AY109" s="930"/>
      <c r="AZ109" s="930"/>
      <c r="BA109" s="930"/>
      <c r="BB109" s="930"/>
      <c r="BC109" s="930"/>
      <c r="BD109" s="930"/>
      <c r="BE109" s="930"/>
      <c r="BF109" s="930"/>
      <c r="BG109" s="930"/>
      <c r="BH109" s="930"/>
      <c r="BI109" s="930"/>
      <c r="BJ109" s="1388"/>
      <c r="BK109" s="1388"/>
      <c r="BL109" s="1388"/>
      <c r="BM109" s="1388"/>
      <c r="BN109" s="1388"/>
      <c r="BO109" s="1388"/>
      <c r="BP109" s="1388"/>
    </row>
    <row r="110" spans="5:79" ht="15">
      <c r="E110" s="912" t="s">
        <v>928</v>
      </c>
      <c r="F110" s="941">
        <f t="shared" si="108"/>
        <v>0</v>
      </c>
      <c r="G110" s="941">
        <f t="shared" ref="G110:G138" si="119">SUM(M39:R39)</f>
        <v>0</v>
      </c>
      <c r="H110" s="941">
        <f t="shared" si="109"/>
        <v>0</v>
      </c>
      <c r="I110" s="941">
        <f t="shared" si="110"/>
        <v>0</v>
      </c>
      <c r="J110" s="941">
        <f t="shared" si="111"/>
        <v>0</v>
      </c>
      <c r="K110" s="941">
        <f t="shared" si="112"/>
        <v>0</v>
      </c>
      <c r="L110" s="941">
        <f t="shared" si="113"/>
        <v>0</v>
      </c>
      <c r="M110" s="941">
        <f t="shared" si="114"/>
        <v>0</v>
      </c>
      <c r="N110" s="941">
        <f t="shared" si="115"/>
        <v>0</v>
      </c>
      <c r="O110" s="941">
        <f t="shared" si="116"/>
        <v>0</v>
      </c>
      <c r="P110" s="941">
        <f t="shared" si="117"/>
        <v>0</v>
      </c>
      <c r="Q110" s="941">
        <f t="shared" si="118"/>
        <v>0</v>
      </c>
      <c r="R110" s="1390"/>
      <c r="S110" s="1390"/>
      <c r="T110" s="1390"/>
      <c r="U110" s="1390"/>
      <c r="V110" s="1390"/>
      <c r="W110" s="1390"/>
      <c r="X110" s="1390"/>
      <c r="AA110" s="912" t="s">
        <v>928</v>
      </c>
      <c r="AB110" s="1601">
        <f>IF(S_2!$G$8="NEIN",0,S_2!$AM$20)</f>
        <v>0</v>
      </c>
      <c r="AC110" s="1601">
        <f>IF(S_2!$G$8="NEIN",0,S_2!$AM$21)</f>
        <v>0</v>
      </c>
      <c r="AD110" s="1601" t="str">
        <f>IF(S_2!$G$8="NEIN",0,S_2!$AM$2)</f>
        <v>Dauerweide einführen</v>
      </c>
      <c r="AE110" s="1601">
        <f>IF(S_2!$G$8="NEIN",0,S_2!$AM$23)</f>
        <v>0</v>
      </c>
      <c r="AF110" s="1601">
        <f>IF(S_2!$G$8="NEIN",0,S_2!$AM$24)</f>
        <v>0</v>
      </c>
      <c r="AG110" s="1601">
        <f>IF(S_2!$G$8="NEIN",0,S_2!$AM$25)</f>
        <v>0</v>
      </c>
      <c r="AH110" s="1601">
        <f>IF(S_2!$G$8="NEIN",0,S_2!$AM$26)</f>
        <v>0</v>
      </c>
      <c r="AI110" s="1601">
        <f>IF(S_2!$G$8="NEIN",0,S_2!$AM$27)</f>
        <v>0</v>
      </c>
      <c r="AJ110" s="1601">
        <f>IF(S_2!$G$8="NEIN",0,S_2!$AM$28)</f>
        <v>0</v>
      </c>
      <c r="AK110" s="1601">
        <f>IF(S_2!$G$8="NEIN",0,S_2!$AM$29)</f>
        <v>0</v>
      </c>
      <c r="AL110" s="1601">
        <f>IF(S_2!$G$8="NEIN",0,S_2!$AM$30)</f>
        <v>0</v>
      </c>
      <c r="AM110" s="1601">
        <f>IF(S_2!$G$8="NEIN",0,S_2!$AM$31)</f>
        <v>0</v>
      </c>
      <c r="AN110" s="1388"/>
      <c r="AO110" s="1388"/>
      <c r="AP110" s="1388"/>
      <c r="AQ110" s="1388"/>
      <c r="AR110" s="1388"/>
      <c r="AS110" s="1388"/>
      <c r="AT110" s="1388"/>
      <c r="AW110" s="912" t="s">
        <v>928</v>
      </c>
      <c r="AX110" s="941"/>
      <c r="AY110" s="941"/>
      <c r="AZ110" s="941"/>
      <c r="BA110" s="941"/>
      <c r="BB110" s="941"/>
      <c r="BC110" s="941"/>
      <c r="BD110" s="941"/>
      <c r="BE110" s="941"/>
      <c r="BF110" s="941"/>
      <c r="BG110" s="941"/>
      <c r="BH110" s="941"/>
      <c r="BI110" s="941"/>
      <c r="BJ110" s="1390"/>
      <c r="BK110" s="1390"/>
      <c r="BL110" s="1390"/>
      <c r="BM110" s="1390"/>
      <c r="BN110" s="1390"/>
      <c r="BO110" s="1390"/>
      <c r="BP110" s="1390"/>
    </row>
    <row r="111" spans="5:79" ht="15">
      <c r="E111" s="912" t="s">
        <v>929</v>
      </c>
      <c r="F111" s="941">
        <f t="shared" si="108"/>
        <v>0</v>
      </c>
      <c r="G111" s="941">
        <f t="shared" si="119"/>
        <v>0</v>
      </c>
      <c r="H111" s="941">
        <f t="shared" si="109"/>
        <v>0</v>
      </c>
      <c r="I111" s="941">
        <f t="shared" si="110"/>
        <v>0</v>
      </c>
      <c r="J111" s="941">
        <f t="shared" si="111"/>
        <v>0</v>
      </c>
      <c r="K111" s="941">
        <f t="shared" si="112"/>
        <v>0</v>
      </c>
      <c r="L111" s="941">
        <f t="shared" si="113"/>
        <v>0</v>
      </c>
      <c r="M111" s="941">
        <f t="shared" si="114"/>
        <v>0</v>
      </c>
      <c r="N111" s="941">
        <f t="shared" si="115"/>
        <v>0</v>
      </c>
      <c r="O111" s="941">
        <f t="shared" si="116"/>
        <v>0</v>
      </c>
      <c r="P111" s="941">
        <f t="shared" si="117"/>
        <v>0</v>
      </c>
      <c r="Q111" s="941">
        <f t="shared" si="118"/>
        <v>0</v>
      </c>
      <c r="R111" s="1390"/>
      <c r="S111" s="1390"/>
      <c r="T111" s="1390"/>
      <c r="U111" s="1390"/>
      <c r="V111" s="1390"/>
      <c r="W111" s="1390"/>
      <c r="X111" s="1390"/>
      <c r="AA111" s="912" t="s">
        <v>929</v>
      </c>
      <c r="AB111" s="1601">
        <f>IF(S_3!$G$8="NEIN",0,S_3!$AM$20)</f>
        <v>0</v>
      </c>
      <c r="AC111" s="1601">
        <f>IF(S_3!$G$8="NEIN",0,S_3!$AM$21)</f>
        <v>0</v>
      </c>
      <c r="AD111" s="1601">
        <f>IF(S_3!$G$8="NEIN",0,S_3!$AM$22)</f>
        <v>0</v>
      </c>
      <c r="AE111" s="1601">
        <f>IF(S_3!$G$8="NEIN",0,S_3!$AM$23)</f>
        <v>0</v>
      </c>
      <c r="AF111" s="1601">
        <f>IF(S_3!$G$8="NEIN",0,S_3!$AM$24)</f>
        <v>0</v>
      </c>
      <c r="AG111" s="1601">
        <f>IF(S_3!$G$8="NEIN",0,S_3!$AM$25)</f>
        <v>0</v>
      </c>
      <c r="AH111" s="1601">
        <f>IF(S_3!$G$8="NEIN",0,S_3!$AM$26)</f>
        <v>0</v>
      </c>
      <c r="AI111" s="1601">
        <f>IF(S_3!$G$8="NEIN",0,S_3!$AM$27)</f>
        <v>0</v>
      </c>
      <c r="AJ111" s="1601">
        <f>IF(S_3!$G$8="NEIN",0,S_3!$AM$28)</f>
        <v>0</v>
      </c>
      <c r="AK111" s="1601">
        <f>IF(S_3!$G$8="NEIN",0,S_3!$AM$29)</f>
        <v>0</v>
      </c>
      <c r="AL111" s="1601">
        <f>IF(S_3!$G$8="NEIN",0,S_3!$AM$30)</f>
        <v>0</v>
      </c>
      <c r="AM111" s="1601">
        <f>IF(S_3!$G$8="NEIN",0,S_3!$AM$31)</f>
        <v>0</v>
      </c>
      <c r="AN111" s="1390"/>
      <c r="AO111" s="1390"/>
      <c r="AP111" s="1390"/>
      <c r="AQ111" s="1390"/>
      <c r="AR111" s="1390"/>
      <c r="AS111" s="1390"/>
      <c r="AT111" s="1390"/>
      <c r="AW111" s="912" t="s">
        <v>929</v>
      </c>
      <c r="AX111" s="941"/>
      <c r="AY111" s="941"/>
      <c r="AZ111" s="941"/>
      <c r="BA111" s="941"/>
      <c r="BB111" s="941"/>
      <c r="BC111" s="941"/>
      <c r="BD111" s="941"/>
      <c r="BE111" s="941"/>
      <c r="BF111" s="941"/>
      <c r="BG111" s="941"/>
      <c r="BH111" s="941"/>
      <c r="BI111" s="941"/>
      <c r="BJ111" s="1390"/>
      <c r="BK111" s="1390"/>
      <c r="BL111" s="1390"/>
      <c r="BM111" s="1390"/>
      <c r="BN111" s="1390"/>
      <c r="BO111" s="1390"/>
      <c r="BP111" s="1390"/>
    </row>
    <row r="112" spans="5:79" ht="15">
      <c r="E112" s="912" t="s">
        <v>930</v>
      </c>
      <c r="F112" s="941">
        <f t="shared" si="108"/>
        <v>0</v>
      </c>
      <c r="G112" s="941">
        <f t="shared" si="119"/>
        <v>0</v>
      </c>
      <c r="H112" s="941">
        <f t="shared" si="109"/>
        <v>0</v>
      </c>
      <c r="I112" s="941">
        <f t="shared" si="110"/>
        <v>0</v>
      </c>
      <c r="J112" s="941">
        <f t="shared" si="111"/>
        <v>0</v>
      </c>
      <c r="K112" s="941">
        <f t="shared" si="112"/>
        <v>0</v>
      </c>
      <c r="L112" s="941">
        <f t="shared" si="113"/>
        <v>0</v>
      </c>
      <c r="M112" s="941">
        <f t="shared" si="114"/>
        <v>0</v>
      </c>
      <c r="N112" s="941">
        <f t="shared" si="115"/>
        <v>0</v>
      </c>
      <c r="O112" s="941">
        <f t="shared" si="116"/>
        <v>0</v>
      </c>
      <c r="P112" s="941">
        <f t="shared" si="117"/>
        <v>0</v>
      </c>
      <c r="Q112" s="941">
        <f t="shared" si="118"/>
        <v>0</v>
      </c>
      <c r="R112" s="1390"/>
      <c r="S112" s="1390"/>
      <c r="T112" s="1390"/>
      <c r="U112" s="1390"/>
      <c r="V112" s="1390"/>
      <c r="W112" s="1390"/>
      <c r="X112" s="1390"/>
      <c r="AA112" s="912" t="s">
        <v>930</v>
      </c>
      <c r="AB112" s="1601">
        <f>IF(S_4!$G$8="NEIN",0,S_4!$AM$20)</f>
        <v>0</v>
      </c>
      <c r="AC112" s="1601">
        <f>IF(S_4!$G$8="NEIN",0,S_4!$AM$21)</f>
        <v>0</v>
      </c>
      <c r="AD112" s="1601">
        <f>IF(S_4!$G$8="NEIN",0,S_4!$AM$22)</f>
        <v>0</v>
      </c>
      <c r="AE112" s="1601">
        <f>IF(S_4!$G$8="NEIN",0,S_4!$AM$23)</f>
        <v>0</v>
      </c>
      <c r="AF112" s="1601">
        <f>IF(S_4!$G$8="NEIN",0,S_4!$AM$24)</f>
        <v>0</v>
      </c>
      <c r="AG112" s="1601">
        <f>IF(S_4!$G$8="NEIN",0,S_4!$AM$25)</f>
        <v>0</v>
      </c>
      <c r="AH112" s="1601">
        <f>IF(S_4!$G$8="NEIN",0,S_4!$AM$26)</f>
        <v>0</v>
      </c>
      <c r="AI112" s="1601">
        <f>IF(S_4!$G$8="NEIN",0,S_4!$AM$27)</f>
        <v>0</v>
      </c>
      <c r="AJ112" s="1601">
        <f>IF(S_4!$G$8="NEIN",0,S_4!$AM$28)</f>
        <v>0</v>
      </c>
      <c r="AK112" s="1601">
        <f>IF(S_4!$G$8="NEIN",0,S_4!$AM$29)</f>
        <v>0</v>
      </c>
      <c r="AL112" s="1601">
        <f>IF(S_4!$G$8="NEIN",0,S_4!$AM$30)</f>
        <v>0</v>
      </c>
      <c r="AM112" s="1601">
        <f>IF(S_4!$G$8="NEIN",0,S_4!$AM$31)</f>
        <v>0</v>
      </c>
      <c r="AN112" s="1390"/>
      <c r="AO112" s="1390"/>
      <c r="AP112" s="1390"/>
      <c r="AQ112" s="1390"/>
      <c r="AR112" s="1390"/>
      <c r="AS112" s="1390"/>
      <c r="AT112" s="1390"/>
      <c r="AW112" s="912" t="s">
        <v>930</v>
      </c>
      <c r="AX112" s="941"/>
      <c r="AY112" s="941"/>
      <c r="AZ112" s="941"/>
      <c r="BA112" s="941"/>
      <c r="BB112" s="941"/>
      <c r="BC112" s="941"/>
      <c r="BD112" s="941"/>
      <c r="BE112" s="941"/>
      <c r="BF112" s="941"/>
      <c r="BG112" s="941"/>
      <c r="BH112" s="941"/>
      <c r="BI112" s="941"/>
      <c r="BJ112" s="1390"/>
      <c r="BK112" s="1390"/>
      <c r="BL112" s="1390"/>
      <c r="BM112" s="1390"/>
      <c r="BN112" s="1390"/>
      <c r="BO112" s="1390"/>
      <c r="BP112" s="1390"/>
    </row>
    <row r="113" spans="5:68" ht="15">
      <c r="E113" s="912" t="s">
        <v>931</v>
      </c>
      <c r="F113" s="941">
        <f t="shared" si="108"/>
        <v>0</v>
      </c>
      <c r="G113" s="941">
        <f t="shared" si="119"/>
        <v>0</v>
      </c>
      <c r="H113" s="941">
        <f t="shared" si="109"/>
        <v>0</v>
      </c>
      <c r="I113" s="941">
        <f t="shared" si="110"/>
        <v>0</v>
      </c>
      <c r="J113" s="941">
        <f t="shared" si="111"/>
        <v>0</v>
      </c>
      <c r="K113" s="941">
        <f t="shared" si="112"/>
        <v>0</v>
      </c>
      <c r="L113" s="941">
        <f t="shared" si="113"/>
        <v>0</v>
      </c>
      <c r="M113" s="941">
        <f t="shared" si="114"/>
        <v>0</v>
      </c>
      <c r="N113" s="941">
        <f t="shared" si="115"/>
        <v>0</v>
      </c>
      <c r="O113" s="941">
        <f t="shared" si="116"/>
        <v>0</v>
      </c>
      <c r="P113" s="941">
        <f t="shared" si="117"/>
        <v>0</v>
      </c>
      <c r="Q113" s="941">
        <f t="shared" si="118"/>
        <v>0</v>
      </c>
      <c r="R113" s="1390"/>
      <c r="S113" s="1390"/>
      <c r="T113" s="1390"/>
      <c r="U113" s="1390"/>
      <c r="V113" s="1390"/>
      <c r="W113" s="1390"/>
      <c r="X113" s="1390"/>
      <c r="AA113" s="912" t="s">
        <v>931</v>
      </c>
      <c r="AB113" s="1601">
        <f>IF(S_5!$G$8="NEIN",0,S_5!$AM$20)</f>
        <v>0</v>
      </c>
      <c r="AC113" s="1601">
        <f>IF(S_5!$G$8="NEIN",0,S_5!$AM$21)</f>
        <v>0</v>
      </c>
      <c r="AD113" s="1601">
        <f>IF(S_5!$G$8="NEIN",0,S_5!$AM$22)</f>
        <v>0</v>
      </c>
      <c r="AE113" s="1601">
        <f>IF(S_5!$G$8="NEIN",0,S_5!$AM$23)</f>
        <v>0</v>
      </c>
      <c r="AF113" s="1601">
        <f>IF(S_5!$G$8="NEIN",0,S_5!$AM$24)</f>
        <v>0</v>
      </c>
      <c r="AG113" s="1601">
        <f>IF(S_5!$G$8="NEIN",0,S_5!$AM$25)</f>
        <v>0</v>
      </c>
      <c r="AH113" s="1601">
        <f>IF(S_5!$G$8="NEIN",0,S_5!$AM$26)</f>
        <v>0</v>
      </c>
      <c r="AI113" s="1601">
        <f>IF(S_5!$G$8="NEIN",0,S_5!$AM$27)</f>
        <v>0</v>
      </c>
      <c r="AJ113" s="1601">
        <f>IF(S_5!$G$8="NEIN",0,S_5!$AM$28)</f>
        <v>0</v>
      </c>
      <c r="AK113" s="1601">
        <f>IF(S_5!$G$8="NEIN",0,S_5!$AM$29)</f>
        <v>0</v>
      </c>
      <c r="AL113" s="1601">
        <f>IF(S_5!$G$8="NEIN",0,S_5!$AM$30)</f>
        <v>0</v>
      </c>
      <c r="AM113" s="1601">
        <f>IF(S_5!$G$8="NEIN",0,S_5!$AM$31)</f>
        <v>0</v>
      </c>
      <c r="AN113" s="1390"/>
      <c r="AO113" s="1390"/>
      <c r="AP113" s="1390"/>
      <c r="AQ113" s="1390"/>
      <c r="AR113" s="1390"/>
      <c r="AS113" s="1390"/>
      <c r="AT113" s="1390"/>
      <c r="AW113" s="912" t="s">
        <v>931</v>
      </c>
      <c r="AX113" s="941"/>
      <c r="AY113" s="941"/>
      <c r="AZ113" s="941"/>
      <c r="BA113" s="941"/>
      <c r="BB113" s="941"/>
      <c r="BC113" s="941"/>
      <c r="BD113" s="941"/>
      <c r="BE113" s="941"/>
      <c r="BF113" s="941"/>
      <c r="BG113" s="941"/>
      <c r="BH113" s="941"/>
      <c r="BI113" s="941"/>
      <c r="BJ113" s="1390"/>
      <c r="BK113" s="1390"/>
      <c r="BL113" s="1390"/>
      <c r="BM113" s="1390"/>
      <c r="BN113" s="1390"/>
      <c r="BO113" s="1390"/>
      <c r="BP113" s="1390"/>
    </row>
    <row r="114" spans="5:68" ht="15">
      <c r="E114" s="912" t="s">
        <v>932</v>
      </c>
      <c r="F114" s="941">
        <f t="shared" si="108"/>
        <v>0</v>
      </c>
      <c r="G114" s="941">
        <f t="shared" si="119"/>
        <v>0</v>
      </c>
      <c r="H114" s="941">
        <f t="shared" si="109"/>
        <v>0</v>
      </c>
      <c r="I114" s="941">
        <f t="shared" si="110"/>
        <v>0</v>
      </c>
      <c r="J114" s="941">
        <f t="shared" si="111"/>
        <v>0</v>
      </c>
      <c r="K114" s="941">
        <f t="shared" si="112"/>
        <v>0</v>
      </c>
      <c r="L114" s="941">
        <f t="shared" si="113"/>
        <v>0</v>
      </c>
      <c r="M114" s="941">
        <f t="shared" si="114"/>
        <v>0</v>
      </c>
      <c r="N114" s="941">
        <f t="shared" si="115"/>
        <v>0</v>
      </c>
      <c r="O114" s="941">
        <f t="shared" si="116"/>
        <v>0</v>
      </c>
      <c r="P114" s="941">
        <f t="shared" si="117"/>
        <v>0</v>
      </c>
      <c r="Q114" s="941">
        <f t="shared" si="118"/>
        <v>0</v>
      </c>
      <c r="R114" s="1390"/>
      <c r="S114" s="1390"/>
      <c r="T114" s="1390"/>
      <c r="U114" s="1390"/>
      <c r="V114" s="1390"/>
      <c r="W114" s="1390"/>
      <c r="X114" s="1390"/>
      <c r="AA114" s="912" t="s">
        <v>932</v>
      </c>
      <c r="AB114" s="1601">
        <f>IF(S_6!$G$8="NEIN",0,S_6!$AM$20)</f>
        <v>0</v>
      </c>
      <c r="AC114" s="1601">
        <f>IF(S_6!$G$8="NEIN",0,S_6!$AM$21)</f>
        <v>0</v>
      </c>
      <c r="AD114" s="1601">
        <f>IF(S_6!$G$8="NEIN",0,S_6!$AM$22)</f>
        <v>0</v>
      </c>
      <c r="AE114" s="1601">
        <f>IF(S_6!$G$8="NEIN",0,S_6!$AM$23)</f>
        <v>0</v>
      </c>
      <c r="AF114" s="1601">
        <f>IF(S_6!$G$8="NEIN",0,S_6!$AM$24)</f>
        <v>0</v>
      </c>
      <c r="AG114" s="1601">
        <f>IF(S_6!$G$8="NEIN",0,S_6!$AM$25)</f>
        <v>0</v>
      </c>
      <c r="AH114" s="1601">
        <f>IF(S_6!$G$8="NEIN",0,S_6!$AM$26)</f>
        <v>0</v>
      </c>
      <c r="AI114" s="1601">
        <f>IF(S_6!$G$8="NEIN",0,S_6!$AM$27)</f>
        <v>0</v>
      </c>
      <c r="AJ114" s="1601">
        <f>IF(S_6!$G$8="NEIN",0,S_6!$AM$28)</f>
        <v>0</v>
      </c>
      <c r="AK114" s="1601">
        <f>IF(S_6!$G$8="NEIN",0,S_6!$AM$29)</f>
        <v>0</v>
      </c>
      <c r="AL114" s="1601">
        <f>IF(S_6!$G$8="NEIN",0,S_6!$AM$30)</f>
        <v>0</v>
      </c>
      <c r="AM114" s="1601">
        <f>IF(S_6!$G$8="NEIN",0,S_6!$AM$31)</f>
        <v>0</v>
      </c>
      <c r="AN114" s="1390"/>
      <c r="AO114" s="1390"/>
      <c r="AP114" s="1390"/>
      <c r="AQ114" s="1390"/>
      <c r="AR114" s="1390"/>
      <c r="AS114" s="1390"/>
      <c r="AT114" s="1390"/>
      <c r="AW114" s="912" t="s">
        <v>932</v>
      </c>
      <c r="AX114" s="941"/>
      <c r="AY114" s="941"/>
      <c r="AZ114" s="941"/>
      <c r="BA114" s="941"/>
      <c r="BB114" s="941"/>
      <c r="BC114" s="941"/>
      <c r="BD114" s="941"/>
      <c r="BE114" s="941"/>
      <c r="BF114" s="941"/>
      <c r="BG114" s="941"/>
      <c r="BH114" s="941"/>
      <c r="BI114" s="941"/>
      <c r="BJ114" s="1390"/>
      <c r="BK114" s="1390"/>
      <c r="BL114" s="1390"/>
      <c r="BM114" s="1390"/>
      <c r="BN114" s="1390"/>
      <c r="BO114" s="1390"/>
      <c r="BP114" s="1390"/>
    </row>
    <row r="115" spans="5:68" ht="15">
      <c r="E115" s="912" t="s">
        <v>933</v>
      </c>
      <c r="F115" s="941">
        <f t="shared" si="108"/>
        <v>0</v>
      </c>
      <c r="G115" s="941">
        <f t="shared" si="119"/>
        <v>0</v>
      </c>
      <c r="H115" s="941">
        <f t="shared" si="109"/>
        <v>0</v>
      </c>
      <c r="I115" s="941">
        <f t="shared" si="110"/>
        <v>0</v>
      </c>
      <c r="J115" s="941">
        <f t="shared" si="111"/>
        <v>0</v>
      </c>
      <c r="K115" s="941">
        <f t="shared" si="112"/>
        <v>0</v>
      </c>
      <c r="L115" s="941">
        <f t="shared" si="113"/>
        <v>0</v>
      </c>
      <c r="M115" s="941">
        <f t="shared" si="114"/>
        <v>0</v>
      </c>
      <c r="N115" s="941">
        <f t="shared" si="115"/>
        <v>0</v>
      </c>
      <c r="O115" s="941">
        <f t="shared" si="116"/>
        <v>0</v>
      </c>
      <c r="P115" s="941">
        <f t="shared" si="117"/>
        <v>0</v>
      </c>
      <c r="Q115" s="941">
        <f t="shared" si="118"/>
        <v>0</v>
      </c>
      <c r="R115" s="1390"/>
      <c r="S115" s="1390"/>
      <c r="T115" s="1390"/>
      <c r="U115" s="1390"/>
      <c r="V115" s="1390"/>
      <c r="W115" s="1390"/>
      <c r="X115" s="1390"/>
      <c r="AA115" s="912" t="s">
        <v>933</v>
      </c>
      <c r="AB115" s="1601">
        <f>IF(S_7!$G$8="NEIN",0,S_7!$AM$20)</f>
        <v>0</v>
      </c>
      <c r="AC115" s="1601">
        <f>IF(S_7!$G$8="NEIN",0,S_7!$AM$21)</f>
        <v>0</v>
      </c>
      <c r="AD115" s="1601">
        <f>IF(S_7!$G$8="NEIN",0,S_7!$AM$22)</f>
        <v>0</v>
      </c>
      <c r="AE115" s="1601">
        <f>IF(S_7!$G$8="NEIN",0,S_7!$AM$23)</f>
        <v>0</v>
      </c>
      <c r="AF115" s="1601">
        <f>IF(S_7!$G$8="NEIN",0,S_7!$AM$24)</f>
        <v>0</v>
      </c>
      <c r="AG115" s="1601">
        <f>IF(S_7!$G$8="NEIN",0,S_7!$AM$25)</f>
        <v>0</v>
      </c>
      <c r="AH115" s="1601">
        <f>IF(S_7!$G$8="NEIN",0,S_7!$AM$26)</f>
        <v>0</v>
      </c>
      <c r="AI115" s="1601">
        <f>IF(S_7!$G$8="NEIN",0,S_7!$AM$27)</f>
        <v>0</v>
      </c>
      <c r="AJ115" s="1601">
        <f>IF(S_7!$G$8="NEIN",0,S_7!$AM$28)</f>
        <v>0</v>
      </c>
      <c r="AK115" s="1601">
        <f>IF(S_7!$G$8="NEIN",0,S_7!$AM$29)</f>
        <v>0</v>
      </c>
      <c r="AL115" s="1601">
        <f>IF(S_7!$G$8="NEIN",0,S_7!$AM$30)</f>
        <v>0</v>
      </c>
      <c r="AM115" s="1601">
        <f>IF(S_7!$G$8="NEIN",0,S_7!$AM$31)</f>
        <v>0</v>
      </c>
      <c r="AN115" s="1390"/>
      <c r="AO115" s="1390"/>
      <c r="AP115" s="1390"/>
      <c r="AQ115" s="1390"/>
      <c r="AR115" s="1390"/>
      <c r="AS115" s="1390"/>
      <c r="AT115" s="1390"/>
      <c r="AW115" s="912" t="s">
        <v>933</v>
      </c>
      <c r="AX115" s="941"/>
      <c r="AY115" s="941"/>
      <c r="AZ115" s="941"/>
      <c r="BA115" s="941"/>
      <c r="BB115" s="941"/>
      <c r="BC115" s="941"/>
      <c r="BD115" s="941"/>
      <c r="BE115" s="941"/>
      <c r="BF115" s="941"/>
      <c r="BG115" s="941"/>
      <c r="BH115" s="941"/>
      <c r="BI115" s="941"/>
      <c r="BJ115" s="1390"/>
      <c r="BK115" s="1390"/>
      <c r="BL115" s="1390"/>
      <c r="BM115" s="1390"/>
      <c r="BN115" s="1390"/>
      <c r="BO115" s="1390"/>
      <c r="BP115" s="1390"/>
    </row>
    <row r="116" spans="5:68" ht="15">
      <c r="E116" s="912" t="s">
        <v>934</v>
      </c>
      <c r="F116" s="941">
        <f t="shared" si="108"/>
        <v>0</v>
      </c>
      <c r="G116" s="941">
        <f t="shared" si="119"/>
        <v>0</v>
      </c>
      <c r="H116" s="941">
        <f t="shared" si="109"/>
        <v>0</v>
      </c>
      <c r="I116" s="941">
        <f t="shared" si="110"/>
        <v>0</v>
      </c>
      <c r="J116" s="941">
        <f t="shared" si="111"/>
        <v>0</v>
      </c>
      <c r="K116" s="941">
        <f t="shared" si="112"/>
        <v>0</v>
      </c>
      <c r="L116" s="941">
        <f t="shared" si="113"/>
        <v>0</v>
      </c>
      <c r="M116" s="941">
        <f t="shared" si="114"/>
        <v>0</v>
      </c>
      <c r="N116" s="941">
        <f t="shared" si="115"/>
        <v>0</v>
      </c>
      <c r="O116" s="941">
        <f t="shared" si="116"/>
        <v>0</v>
      </c>
      <c r="P116" s="941">
        <f t="shared" si="117"/>
        <v>0</v>
      </c>
      <c r="Q116" s="941">
        <f t="shared" si="118"/>
        <v>0</v>
      </c>
      <c r="R116" s="1390"/>
      <c r="S116" s="1390"/>
      <c r="T116" s="1390"/>
      <c r="U116" s="1390"/>
      <c r="V116" s="1390"/>
      <c r="W116" s="1390"/>
      <c r="X116" s="1390"/>
      <c r="AA116" s="912" t="s">
        <v>934</v>
      </c>
      <c r="AB116" s="1601">
        <f>IF(S_8!$G$8="NEIN",0,S_8!$AM$20)</f>
        <v>0</v>
      </c>
      <c r="AC116" s="1601">
        <f>IF(S_8!$G$8="NEIN",0,S_8!$AM$21)</f>
        <v>0</v>
      </c>
      <c r="AD116" s="1601">
        <f>IF(S_8!$G$8="NEIN",0,S_8!$AM$22)</f>
        <v>0</v>
      </c>
      <c r="AE116" s="1601">
        <f>IF(S_8!$G$8="NEIN",0,S_8!$AM$23)</f>
        <v>0</v>
      </c>
      <c r="AF116" s="1601">
        <f>IF(S_8!$G$8="NEIN",0,S_8!$AM$24)</f>
        <v>0</v>
      </c>
      <c r="AG116" s="1601">
        <f>IF(S_8!$G$8="NEIN",0,S_8!$AM$25)</f>
        <v>0</v>
      </c>
      <c r="AH116" s="1601">
        <f>IF(S_8!$G$8="NEIN",0,S_8!$AM$26)</f>
        <v>0</v>
      </c>
      <c r="AI116" s="1601">
        <f>IF(S_8!$G$8="NEIN",0,S_8!$AM$27)</f>
        <v>0</v>
      </c>
      <c r="AJ116" s="1601">
        <f>IF(S_8!$G$8="NEIN",0,S_8!$AM$28)</f>
        <v>0</v>
      </c>
      <c r="AK116" s="1601">
        <f>IF(S_8!$G$8="NEIN",0,S_8!$AM$29)</f>
        <v>0</v>
      </c>
      <c r="AL116" s="1601">
        <f>IF(S_8!$G$8="NEIN",0,S_8!$AM$30)</f>
        <v>0</v>
      </c>
      <c r="AM116" s="1601">
        <f>IF(S_8!$G$8="NEIN",0,S_8!$AM$31)</f>
        <v>0</v>
      </c>
      <c r="AN116" s="1390"/>
      <c r="AO116" s="1390"/>
      <c r="AP116" s="1390"/>
      <c r="AQ116" s="1390"/>
      <c r="AR116" s="1390"/>
      <c r="AS116" s="1390"/>
      <c r="AT116" s="1390"/>
      <c r="AW116" s="912" t="s">
        <v>934</v>
      </c>
      <c r="AX116" s="941"/>
      <c r="AY116" s="941"/>
      <c r="AZ116" s="941"/>
      <c r="BA116" s="941"/>
      <c r="BB116" s="941"/>
      <c r="BC116" s="941"/>
      <c r="BD116" s="941"/>
      <c r="BE116" s="941"/>
      <c r="BF116" s="941"/>
      <c r="BG116" s="941"/>
      <c r="BH116" s="941"/>
      <c r="BI116" s="941"/>
      <c r="BJ116" s="1390"/>
      <c r="BK116" s="1390"/>
      <c r="BL116" s="1390"/>
      <c r="BM116" s="1390"/>
      <c r="BN116" s="1390"/>
      <c r="BO116" s="1390"/>
      <c r="BP116" s="1390"/>
    </row>
    <row r="117" spans="5:68" ht="15">
      <c r="E117" s="912" t="s">
        <v>935</v>
      </c>
      <c r="F117" s="941">
        <f t="shared" si="108"/>
        <v>0</v>
      </c>
      <c r="G117" s="941">
        <f t="shared" si="119"/>
        <v>0</v>
      </c>
      <c r="H117" s="941">
        <f t="shared" si="109"/>
        <v>0</v>
      </c>
      <c r="I117" s="941">
        <f t="shared" si="110"/>
        <v>0</v>
      </c>
      <c r="J117" s="941">
        <f t="shared" si="111"/>
        <v>0</v>
      </c>
      <c r="K117" s="941">
        <f t="shared" si="112"/>
        <v>0</v>
      </c>
      <c r="L117" s="941">
        <f t="shared" si="113"/>
        <v>0</v>
      </c>
      <c r="M117" s="941">
        <f t="shared" si="114"/>
        <v>0</v>
      </c>
      <c r="N117" s="941">
        <f t="shared" si="115"/>
        <v>0</v>
      </c>
      <c r="O117" s="941">
        <f t="shared" si="116"/>
        <v>0</v>
      </c>
      <c r="P117" s="941">
        <f t="shared" si="117"/>
        <v>0</v>
      </c>
      <c r="Q117" s="941">
        <f t="shared" si="118"/>
        <v>0</v>
      </c>
      <c r="R117" s="1390"/>
      <c r="S117" s="1390"/>
      <c r="T117" s="1390"/>
      <c r="U117" s="1390"/>
      <c r="V117" s="1390"/>
      <c r="W117" s="1390"/>
      <c r="X117" s="1390"/>
      <c r="AA117" s="912" t="s">
        <v>935</v>
      </c>
      <c r="AB117" s="1601">
        <f>IF(S_9!$G$8="NEIN",0,S_9!$AM$20)</f>
        <v>0</v>
      </c>
      <c r="AC117" s="1601">
        <f>IF(S_9!$G$8="NEIN",0,S_9!$AM$21)</f>
        <v>0</v>
      </c>
      <c r="AD117" s="1601">
        <f>IF(S_9!$G$8="NEIN",0,S_9!$AM$22)</f>
        <v>0</v>
      </c>
      <c r="AE117" s="1601">
        <f>IF(S_9!$G$8="NEIN",0,S_9!$AM$23)</f>
        <v>0</v>
      </c>
      <c r="AF117" s="1601">
        <f>IF(S_9!$G$8="NEIN",0,S_9!$AM$24)</f>
        <v>0</v>
      </c>
      <c r="AG117" s="1601">
        <f>IF(S_9!$G$8="NEIN",0,S_9!$AM$25)</f>
        <v>0</v>
      </c>
      <c r="AH117" s="1601">
        <f>IF(S_9!$G$8="NEIN",0,S_9!$AM$26)</f>
        <v>0</v>
      </c>
      <c r="AI117" s="1601">
        <f>IF(S_9!$G$8="NEIN",0,S_9!$AM$27)</f>
        <v>0</v>
      </c>
      <c r="AJ117" s="1601">
        <f>IF(S_9!$G$8="NEIN",0,S_9!$AM$28)</f>
        <v>0</v>
      </c>
      <c r="AK117" s="1601">
        <f>IF(S_9!$G$8="NEIN",0,S_9!$AM$29)</f>
        <v>0</v>
      </c>
      <c r="AL117" s="1601">
        <f>IF(S_9!$G$8="NEIN",0,S_9!$AM$30)</f>
        <v>0</v>
      </c>
      <c r="AM117" s="1601">
        <f>IF(S_9!$G$8="NEIN",0,S_9!$AM$31)</f>
        <v>0</v>
      </c>
      <c r="AN117" s="1390"/>
      <c r="AO117" s="1390"/>
      <c r="AP117" s="1390"/>
      <c r="AQ117" s="1390"/>
      <c r="AR117" s="1390"/>
      <c r="AS117" s="1390"/>
      <c r="AT117" s="1390"/>
      <c r="AW117" s="912" t="s">
        <v>935</v>
      </c>
      <c r="AX117" s="941"/>
      <c r="AY117" s="941"/>
      <c r="AZ117" s="941"/>
      <c r="BA117" s="941"/>
      <c r="BB117" s="941"/>
      <c r="BC117" s="941"/>
      <c r="BD117" s="941"/>
      <c r="BE117" s="941"/>
      <c r="BF117" s="941"/>
      <c r="BG117" s="941"/>
      <c r="BH117" s="941"/>
      <c r="BI117" s="941"/>
      <c r="BJ117" s="1390"/>
      <c r="BK117" s="1390"/>
      <c r="BL117" s="1390"/>
      <c r="BM117" s="1390"/>
      <c r="BN117" s="1390"/>
      <c r="BO117" s="1390"/>
      <c r="BP117" s="1390"/>
    </row>
    <row r="118" spans="5:68" ht="15">
      <c r="E118" s="912" t="s">
        <v>936</v>
      </c>
      <c r="F118" s="941">
        <f t="shared" si="108"/>
        <v>0</v>
      </c>
      <c r="G118" s="941">
        <f>SUM(M47:R47)</f>
        <v>0</v>
      </c>
      <c r="H118" s="941">
        <f t="shared" si="109"/>
        <v>0</v>
      </c>
      <c r="I118" s="941">
        <f t="shared" si="110"/>
        <v>0</v>
      </c>
      <c r="J118" s="941">
        <f t="shared" si="111"/>
        <v>0</v>
      </c>
      <c r="K118" s="941">
        <f t="shared" si="112"/>
        <v>0</v>
      </c>
      <c r="L118" s="941">
        <f t="shared" si="113"/>
        <v>0</v>
      </c>
      <c r="M118" s="941">
        <f t="shared" si="114"/>
        <v>0</v>
      </c>
      <c r="N118" s="941">
        <f t="shared" si="115"/>
        <v>0</v>
      </c>
      <c r="O118" s="941">
        <f t="shared" si="116"/>
        <v>0</v>
      </c>
      <c r="P118" s="941">
        <f t="shared" si="117"/>
        <v>0</v>
      </c>
      <c r="Q118" s="941">
        <f t="shared" si="118"/>
        <v>0</v>
      </c>
      <c r="R118" s="1390"/>
      <c r="S118" s="1390"/>
      <c r="T118" s="1390"/>
      <c r="U118" s="1390"/>
      <c r="V118" s="1390"/>
      <c r="W118" s="1390"/>
      <c r="X118" s="1390"/>
      <c r="AA118" s="912" t="s">
        <v>936</v>
      </c>
      <c r="AB118" s="1601">
        <f>IF(S_10!$G$8="NEIN",0,S_10!$AM$20)</f>
        <v>0</v>
      </c>
      <c r="AC118" s="1601">
        <f>IF(S_10!$G$8="NEIN",0,S_10!$AM$21)</f>
        <v>0</v>
      </c>
      <c r="AD118" s="1601">
        <f>IF(S_10!$G$8="NEIN",0,S_10!$AM$22)</f>
        <v>0</v>
      </c>
      <c r="AE118" s="1601">
        <f>IF(S_10!$G$8="NEIN",0,S_10!$AM$23)</f>
        <v>0</v>
      </c>
      <c r="AF118" s="1601">
        <f>IF(S_10!$G$8="NEIN",0,S_10!$AM$24)</f>
        <v>0</v>
      </c>
      <c r="AG118" s="1601">
        <f>IF(S_10!$G$8="NEIN",0,S_10!$AM$25)</f>
        <v>0</v>
      </c>
      <c r="AH118" s="1601">
        <f>IF(S_10!$G$8="NEIN",0,S_10!$AM$26)</f>
        <v>0</v>
      </c>
      <c r="AI118" s="1601">
        <f>IF(S_10!$G$8="NEIN",0,S_10!$AM$27)</f>
        <v>0</v>
      </c>
      <c r="AJ118" s="1601">
        <f>IF(S_10!$G$8="NEIN",0,S_10!$AM$28)</f>
        <v>0</v>
      </c>
      <c r="AK118" s="1601">
        <f>IF(S_10!$G$8="NEIN",0,S_10!$AM$29)</f>
        <v>0</v>
      </c>
      <c r="AL118" s="1601">
        <f>IF(S_10!$G$8="NEIN",0,S_10!$AM$30)</f>
        <v>0</v>
      </c>
      <c r="AM118" s="1601">
        <f>IF(S_10!$G$8="NEIN",0,S_10!$AM$31)</f>
        <v>0</v>
      </c>
      <c r="AN118" s="1390"/>
      <c r="AO118" s="1390"/>
      <c r="AP118" s="1390"/>
      <c r="AQ118" s="1390"/>
      <c r="AR118" s="1390"/>
      <c r="AS118" s="1390"/>
      <c r="AT118" s="1390"/>
      <c r="AW118" s="912" t="s">
        <v>936</v>
      </c>
      <c r="AX118" s="941"/>
      <c r="AY118" s="941"/>
      <c r="AZ118" s="941"/>
      <c r="BA118" s="941"/>
      <c r="BB118" s="941"/>
      <c r="BC118" s="941"/>
      <c r="BD118" s="941"/>
      <c r="BE118" s="941"/>
      <c r="BF118" s="941"/>
      <c r="BG118" s="941"/>
      <c r="BH118" s="941"/>
      <c r="BI118" s="941"/>
      <c r="BJ118" s="1390"/>
      <c r="BK118" s="1390"/>
      <c r="BL118" s="1390"/>
      <c r="BM118" s="1390"/>
      <c r="BN118" s="1390"/>
      <c r="BO118" s="1390"/>
      <c r="BP118" s="1390"/>
    </row>
    <row r="119" spans="5:68" ht="15">
      <c r="E119" s="912" t="s">
        <v>937</v>
      </c>
      <c r="F119" s="941">
        <f>SUM(G48:L48)</f>
        <v>0</v>
      </c>
      <c r="G119" s="941">
        <f t="shared" si="119"/>
        <v>0</v>
      </c>
      <c r="H119" s="941">
        <f t="shared" si="109"/>
        <v>0</v>
      </c>
      <c r="I119" s="941">
        <f t="shared" si="110"/>
        <v>0</v>
      </c>
      <c r="J119" s="941">
        <f t="shared" si="111"/>
        <v>0</v>
      </c>
      <c r="K119" s="941">
        <f t="shared" si="112"/>
        <v>0</v>
      </c>
      <c r="L119" s="941">
        <f t="shared" si="113"/>
        <v>0</v>
      </c>
      <c r="M119" s="941">
        <f t="shared" si="114"/>
        <v>0</v>
      </c>
      <c r="N119" s="941">
        <f t="shared" si="115"/>
        <v>0</v>
      </c>
      <c r="O119" s="941">
        <f t="shared" si="116"/>
        <v>0</v>
      </c>
      <c r="P119" s="941">
        <f t="shared" si="117"/>
        <v>0</v>
      </c>
      <c r="Q119" s="941">
        <f t="shared" si="118"/>
        <v>0</v>
      </c>
      <c r="R119" s="1390"/>
      <c r="S119" s="1390"/>
      <c r="T119" s="1390"/>
      <c r="U119" s="1390"/>
      <c r="V119" s="1390"/>
      <c r="W119" s="1390"/>
      <c r="X119" s="1390"/>
      <c r="AA119" s="912" t="s">
        <v>937</v>
      </c>
      <c r="AB119" s="1601">
        <f>IF(S_11!$G$8="NEIN",0,S_11!$AM$20)</f>
        <v>0</v>
      </c>
      <c r="AC119" s="1601">
        <f>IF(S_11!$G$8="NEIN",0,S_11!$AM$21)</f>
        <v>0</v>
      </c>
      <c r="AD119" s="1601">
        <f>IF(S_11!$G$8="NEIN",0,S_11!$AM$22)</f>
        <v>0</v>
      </c>
      <c r="AE119" s="1601">
        <f>IF(S_11!$G$8="NEIN",0,S_11!$AM$23)</f>
        <v>0</v>
      </c>
      <c r="AF119" s="1601">
        <f>IF(S_11!$G$8="NEIN",0,S_11!$AM$24)</f>
        <v>0</v>
      </c>
      <c r="AG119" s="1601">
        <f>IF(S_11!$G$8="NEIN",0,S_11!$AM$25)</f>
        <v>0</v>
      </c>
      <c r="AH119" s="1601">
        <f>IF(S_11!$G$8="NEIN",0,S_11!$AM$26)</f>
        <v>0</v>
      </c>
      <c r="AI119" s="1601">
        <f>IF(S_11!$G$8="NEIN",0,S_11!$AM$27)</f>
        <v>0</v>
      </c>
      <c r="AJ119" s="1601">
        <f>IF(S_11!$G$8="NEIN",0,S_11!$AM$28)</f>
        <v>0</v>
      </c>
      <c r="AK119" s="1601">
        <f>IF(S_11!$G$8="NEIN",0,S_11!$AM$29)</f>
        <v>0</v>
      </c>
      <c r="AL119" s="1601">
        <f>IF(S_11!$G$8="NEIN",0,S_11!$AM$30)</f>
        <v>0</v>
      </c>
      <c r="AM119" s="1601">
        <f>IF(S_11!$G$8="NEIN",0,S_11!$AM$31)</f>
        <v>0</v>
      </c>
      <c r="AN119" s="1390"/>
      <c r="AO119" s="1390"/>
      <c r="AP119" s="1390"/>
      <c r="AQ119" s="1390"/>
      <c r="AR119" s="1390"/>
      <c r="AS119" s="1390"/>
      <c r="AT119" s="1390"/>
      <c r="AW119" s="912" t="s">
        <v>937</v>
      </c>
      <c r="AX119" s="941"/>
      <c r="AY119" s="941"/>
      <c r="AZ119" s="941"/>
      <c r="BA119" s="941"/>
      <c r="BB119" s="941"/>
      <c r="BC119" s="941"/>
      <c r="BD119" s="941"/>
      <c r="BE119" s="941"/>
      <c r="BF119" s="941"/>
      <c r="BG119" s="941"/>
      <c r="BH119" s="941"/>
      <c r="BI119" s="941"/>
      <c r="BJ119" s="1390"/>
      <c r="BK119" s="1390"/>
      <c r="BL119" s="1390"/>
      <c r="BM119" s="1390"/>
      <c r="BN119" s="1390"/>
      <c r="BO119" s="1390"/>
      <c r="BP119" s="1390"/>
    </row>
    <row r="120" spans="5:68" ht="15">
      <c r="E120" s="912" t="s">
        <v>938</v>
      </c>
      <c r="F120" s="941">
        <f t="shared" si="108"/>
        <v>0</v>
      </c>
      <c r="G120" s="941">
        <f t="shared" si="119"/>
        <v>0</v>
      </c>
      <c r="H120" s="941">
        <f t="shared" si="109"/>
        <v>0</v>
      </c>
      <c r="I120" s="941">
        <f t="shared" si="110"/>
        <v>0</v>
      </c>
      <c r="J120" s="941">
        <f t="shared" si="111"/>
        <v>0</v>
      </c>
      <c r="K120" s="941">
        <f t="shared" si="112"/>
        <v>0</v>
      </c>
      <c r="L120" s="941">
        <f t="shared" si="113"/>
        <v>0</v>
      </c>
      <c r="M120" s="941">
        <f t="shared" si="114"/>
        <v>0</v>
      </c>
      <c r="N120" s="941">
        <f t="shared" si="115"/>
        <v>0</v>
      </c>
      <c r="O120" s="941">
        <f t="shared" si="116"/>
        <v>0</v>
      </c>
      <c r="P120" s="941">
        <f t="shared" si="117"/>
        <v>0</v>
      </c>
      <c r="Q120" s="941">
        <f t="shared" si="118"/>
        <v>0</v>
      </c>
      <c r="R120" s="1390"/>
      <c r="S120" s="1390"/>
      <c r="T120" s="1390"/>
      <c r="U120" s="1390"/>
      <c r="V120" s="1390"/>
      <c r="W120" s="1390"/>
      <c r="X120" s="1390"/>
      <c r="AA120" s="912" t="s">
        <v>938</v>
      </c>
      <c r="AB120" s="1601">
        <f>IF(S_12!$G$8="NEIN",0,S_12!$AM$20)</f>
        <v>0</v>
      </c>
      <c r="AC120" s="1601">
        <f>IF(S_12!$G$8="NEIN",0,S_12!$AM$21)</f>
        <v>0</v>
      </c>
      <c r="AD120" s="1601">
        <f>IF(S_12!$G$8="NEIN",0,S_12!$AM$22)</f>
        <v>0</v>
      </c>
      <c r="AE120" s="1601">
        <f>IF(S_12!$G$8="NEIN",0,S_12!$AM$23)</f>
        <v>0</v>
      </c>
      <c r="AF120" s="1601">
        <f>IF(S_12!$G$8="NEIN",0,S_12!$AM$24)</f>
        <v>0</v>
      </c>
      <c r="AG120" s="1601">
        <f>IF(S_12!$G$8="NEIN",0,S_12!$AM$25)</f>
        <v>0</v>
      </c>
      <c r="AH120" s="1601">
        <f>IF(S_12!$G$8="NEIN",0,S_12!$AM$26)</f>
        <v>0</v>
      </c>
      <c r="AI120" s="1601">
        <f>IF(S_12!$G$8="NEIN",0,S_12!$AM$27)</f>
        <v>0</v>
      </c>
      <c r="AJ120" s="1601">
        <f>IF(S_12!$G$8="NEIN",0,S_12!$AM$28)</f>
        <v>0</v>
      </c>
      <c r="AK120" s="1601">
        <f>IF(S_12!$G$8="NEIN",0,S_12!$AM$29)</f>
        <v>0</v>
      </c>
      <c r="AL120" s="1601">
        <f>IF(S_12!$G$8="NEIN",0,S_12!$AM$30)</f>
        <v>0</v>
      </c>
      <c r="AM120" s="1601">
        <f>IF(S_12!$G$8="NEIN",0,S_12!$AM$31)</f>
        <v>0</v>
      </c>
      <c r="AN120" s="1390"/>
      <c r="AO120" s="1390"/>
      <c r="AP120" s="1390"/>
      <c r="AQ120" s="1390"/>
      <c r="AR120" s="1390"/>
      <c r="AS120" s="1390"/>
      <c r="AT120" s="1390"/>
      <c r="AW120" s="912" t="s">
        <v>938</v>
      </c>
      <c r="AX120" s="941"/>
      <c r="AY120" s="941"/>
      <c r="AZ120" s="941"/>
      <c r="BA120" s="941"/>
      <c r="BB120" s="941"/>
      <c r="BC120" s="941"/>
      <c r="BD120" s="941"/>
      <c r="BE120" s="941"/>
      <c r="BF120" s="941"/>
      <c r="BG120" s="941"/>
      <c r="BH120" s="941"/>
      <c r="BI120" s="941"/>
      <c r="BJ120" s="1390"/>
      <c r="BK120" s="1390"/>
      <c r="BL120" s="1390"/>
      <c r="BM120" s="1390"/>
      <c r="BN120" s="1390"/>
      <c r="BO120" s="1390"/>
      <c r="BP120" s="1390"/>
    </row>
    <row r="121" spans="5:68" ht="15">
      <c r="E121" s="912" t="s">
        <v>939</v>
      </c>
      <c r="F121" s="941">
        <f t="shared" si="108"/>
        <v>0</v>
      </c>
      <c r="G121" s="941">
        <f t="shared" si="119"/>
        <v>0</v>
      </c>
      <c r="H121" s="941">
        <f t="shared" si="109"/>
        <v>0</v>
      </c>
      <c r="I121" s="941">
        <f t="shared" si="110"/>
        <v>0</v>
      </c>
      <c r="J121" s="941">
        <f t="shared" si="111"/>
        <v>0</v>
      </c>
      <c r="K121" s="941">
        <f t="shared" si="112"/>
        <v>0</v>
      </c>
      <c r="L121" s="941">
        <f t="shared" si="113"/>
        <v>0</v>
      </c>
      <c r="M121" s="941">
        <f t="shared" si="114"/>
        <v>0</v>
      </c>
      <c r="N121" s="941">
        <f t="shared" si="115"/>
        <v>0</v>
      </c>
      <c r="O121" s="941">
        <f t="shared" si="116"/>
        <v>0</v>
      </c>
      <c r="P121" s="941">
        <f t="shared" si="117"/>
        <v>0</v>
      </c>
      <c r="Q121" s="941">
        <f t="shared" si="118"/>
        <v>0</v>
      </c>
      <c r="R121" s="1390"/>
      <c r="S121" s="1390"/>
      <c r="T121" s="1390"/>
      <c r="U121" s="1390"/>
      <c r="V121" s="1390"/>
      <c r="W121" s="1390"/>
      <c r="X121" s="1390"/>
      <c r="AA121" s="912" t="s">
        <v>939</v>
      </c>
      <c r="AB121" s="1601">
        <f>IF(S_13!$G$8="NEIN",0,S_13!$AM$20)</f>
        <v>0</v>
      </c>
      <c r="AC121" s="1601">
        <f>IF(S_13!$G$8="NEIN",0,S_13!$AM$21)</f>
        <v>0</v>
      </c>
      <c r="AD121" s="1601">
        <f>IF(S_13!$G$8="NEIN",0,S_13!$AM$22)</f>
        <v>0</v>
      </c>
      <c r="AE121" s="1601">
        <f>IF(S_13!$G$8="NEIN",0,S_13!$AM$23)</f>
        <v>0</v>
      </c>
      <c r="AF121" s="1601">
        <f>IF(S_13!$G$8="NEIN",0,S_13!$AM$24)</f>
        <v>0</v>
      </c>
      <c r="AG121" s="1601">
        <f>IF(S_13!$G$8="NEIN",0,S_13!$AM$25)</f>
        <v>0</v>
      </c>
      <c r="AH121" s="1601">
        <f>IF(S_13!$G$8="NEIN",0,S_13!$AM$26)</f>
        <v>0</v>
      </c>
      <c r="AI121" s="1601">
        <f>IF(S_13!$G$8="NEIN",0,S_13!$AM$27)</f>
        <v>0</v>
      </c>
      <c r="AJ121" s="1601">
        <f>IF(S_13!$G$8="NEIN",0,S_13!$AM$28)</f>
        <v>0</v>
      </c>
      <c r="AK121" s="1601">
        <f>IF(S_13!$G$8="NEIN",0,S_13!$AM$29)</f>
        <v>0</v>
      </c>
      <c r="AL121" s="1601">
        <f>IF(S_13!$G$8="NEIN",0,S_13!$AM$30)</f>
        <v>0</v>
      </c>
      <c r="AM121" s="1601">
        <f>IF(S_13!$G$8="NEIN",0,S_13!$AM$31)</f>
        <v>0</v>
      </c>
      <c r="AN121" s="1390"/>
      <c r="AO121" s="1390"/>
      <c r="AP121" s="1390"/>
      <c r="AQ121" s="1390"/>
      <c r="AR121" s="1390"/>
      <c r="AS121" s="1390"/>
      <c r="AT121" s="1390"/>
      <c r="AW121" s="912" t="s">
        <v>939</v>
      </c>
      <c r="AX121" s="941"/>
      <c r="AY121" s="941"/>
      <c r="AZ121" s="941"/>
      <c r="BA121" s="941"/>
      <c r="BB121" s="941"/>
      <c r="BC121" s="941"/>
      <c r="BD121" s="941"/>
      <c r="BE121" s="941"/>
      <c r="BF121" s="941"/>
      <c r="BG121" s="941"/>
      <c r="BH121" s="941"/>
      <c r="BI121" s="941"/>
      <c r="BJ121" s="1390"/>
      <c r="BK121" s="1390"/>
      <c r="BL121" s="1390"/>
      <c r="BM121" s="1390"/>
      <c r="BN121" s="1390"/>
      <c r="BO121" s="1390"/>
      <c r="BP121" s="1390"/>
    </row>
    <row r="122" spans="5:68" ht="15">
      <c r="E122" s="912" t="s">
        <v>940</v>
      </c>
      <c r="F122" s="941">
        <f t="shared" si="108"/>
        <v>0</v>
      </c>
      <c r="G122" s="941">
        <f t="shared" si="119"/>
        <v>0</v>
      </c>
      <c r="H122" s="941">
        <f t="shared" si="109"/>
        <v>0</v>
      </c>
      <c r="I122" s="941">
        <f t="shared" si="110"/>
        <v>0</v>
      </c>
      <c r="J122" s="941">
        <f t="shared" si="111"/>
        <v>0</v>
      </c>
      <c r="K122" s="941">
        <f t="shared" si="112"/>
        <v>0</v>
      </c>
      <c r="L122" s="941">
        <f t="shared" si="113"/>
        <v>0</v>
      </c>
      <c r="M122" s="941">
        <f t="shared" si="114"/>
        <v>0</v>
      </c>
      <c r="N122" s="941">
        <f t="shared" si="115"/>
        <v>0</v>
      </c>
      <c r="O122" s="941">
        <f t="shared" si="116"/>
        <v>0</v>
      </c>
      <c r="P122" s="941">
        <f t="shared" si="117"/>
        <v>0</v>
      </c>
      <c r="Q122" s="941">
        <f t="shared" si="118"/>
        <v>0</v>
      </c>
      <c r="R122" s="1390"/>
      <c r="S122" s="1390"/>
      <c r="T122" s="1390"/>
      <c r="U122" s="1390"/>
      <c r="V122" s="1390"/>
      <c r="W122" s="1390"/>
      <c r="X122" s="1390"/>
      <c r="AA122" s="912" t="s">
        <v>940</v>
      </c>
      <c r="AB122" s="1601">
        <f>IF(S_14!$G$8="NEIN",0,S_14!$AM$20)</f>
        <v>0</v>
      </c>
      <c r="AC122" s="1601">
        <f>IF(S_14!$G$8="NEIN",0,S_14!$AM$21)</f>
        <v>0</v>
      </c>
      <c r="AD122" s="1601">
        <f>IF(S_14!$G$8="NEIN",0,S_14!$AM$22)</f>
        <v>0</v>
      </c>
      <c r="AE122" s="1601">
        <f>IF(S_14!$G$8="NEIN",0,S_14!$AM$23)</f>
        <v>0</v>
      </c>
      <c r="AF122" s="1601">
        <f>IF(S_14!$G$8="NEIN",0,S_14!$AM$24)</f>
        <v>0</v>
      </c>
      <c r="AG122" s="1601">
        <f>IF(S_14!$G$8="NEIN",0,S_14!$AM$25)</f>
        <v>0</v>
      </c>
      <c r="AH122" s="1601">
        <f>IF(S_14!$G$8="NEIN",0,S_14!$AM$26)</f>
        <v>0</v>
      </c>
      <c r="AI122" s="1601">
        <f>IF(S_14!$G$8="NEIN",0,S_14!$AM$27)</f>
        <v>0</v>
      </c>
      <c r="AJ122" s="1601">
        <f>IF(S_14!$G$8="NEIN",0,S_14!$AM$28)</f>
        <v>0</v>
      </c>
      <c r="AK122" s="1601">
        <f>IF(S_14!$G$8="NEIN",0,S_14!$AM$29)</f>
        <v>0</v>
      </c>
      <c r="AL122" s="1601">
        <f>IF(S_14!$G$8="NEIN",0,S_14!$AM$30)</f>
        <v>0</v>
      </c>
      <c r="AM122" s="1601">
        <f>IF(S_14!$G$8="NEIN",0,S_14!$AM$31)</f>
        <v>0</v>
      </c>
      <c r="AN122" s="1390"/>
      <c r="AO122" s="1390"/>
      <c r="AP122" s="1390"/>
      <c r="AQ122" s="1390"/>
      <c r="AR122" s="1390"/>
      <c r="AS122" s="1390"/>
      <c r="AT122" s="1390"/>
      <c r="AW122" s="912" t="s">
        <v>940</v>
      </c>
      <c r="AX122" s="941"/>
      <c r="AY122" s="941"/>
      <c r="AZ122" s="941"/>
      <c r="BA122" s="941"/>
      <c r="BB122" s="941"/>
      <c r="BC122" s="941"/>
      <c r="BD122" s="941"/>
      <c r="BE122" s="941"/>
      <c r="BF122" s="941"/>
      <c r="BG122" s="941"/>
      <c r="BH122" s="941"/>
      <c r="BI122" s="941"/>
      <c r="BJ122" s="1390"/>
      <c r="BK122" s="1390"/>
      <c r="BL122" s="1390"/>
      <c r="BM122" s="1390"/>
      <c r="BN122" s="1390"/>
      <c r="BO122" s="1390"/>
      <c r="BP122" s="1390"/>
    </row>
    <row r="123" spans="5:68" ht="15">
      <c r="E123" s="912" t="s">
        <v>941</v>
      </c>
      <c r="F123" s="941">
        <f t="shared" si="108"/>
        <v>0</v>
      </c>
      <c r="G123" s="941">
        <f t="shared" si="119"/>
        <v>0</v>
      </c>
      <c r="H123" s="941">
        <f t="shared" si="109"/>
        <v>0</v>
      </c>
      <c r="I123" s="941">
        <f t="shared" si="110"/>
        <v>0</v>
      </c>
      <c r="J123" s="941">
        <f t="shared" si="111"/>
        <v>0</v>
      </c>
      <c r="K123" s="941">
        <f t="shared" si="112"/>
        <v>0</v>
      </c>
      <c r="L123" s="941">
        <f t="shared" si="113"/>
        <v>0</v>
      </c>
      <c r="M123" s="941">
        <f t="shared" si="114"/>
        <v>0</v>
      </c>
      <c r="N123" s="941">
        <f t="shared" si="115"/>
        <v>0</v>
      </c>
      <c r="O123" s="941">
        <f t="shared" si="116"/>
        <v>0</v>
      </c>
      <c r="P123" s="941">
        <f t="shared" si="117"/>
        <v>0</v>
      </c>
      <c r="Q123" s="941">
        <f t="shared" si="118"/>
        <v>0</v>
      </c>
      <c r="R123" s="1390"/>
      <c r="S123" s="1390"/>
      <c r="T123" s="1390"/>
      <c r="U123" s="1390"/>
      <c r="V123" s="1390"/>
      <c r="W123" s="1390"/>
      <c r="X123" s="1390"/>
      <c r="AA123" s="912" t="s">
        <v>941</v>
      </c>
      <c r="AB123" s="1601">
        <f>IF(S_15!$G$8="NEIN",0,S_15!$AM$20)</f>
        <v>0</v>
      </c>
      <c r="AC123" s="1601">
        <f>IF(S_15!$G$8="NEIN",0,S_15!$AM$21)</f>
        <v>0</v>
      </c>
      <c r="AD123" s="1601">
        <f>IF(S_15!$G$8="NEIN",0,S_15!$AM$22)</f>
        <v>0</v>
      </c>
      <c r="AE123" s="1601">
        <f>IF(S_15!$G$8="NEIN",0,S_15!$AM$23)</f>
        <v>0</v>
      </c>
      <c r="AF123" s="1601">
        <f>IF(S_15!$G$8="NEIN",0,S_15!$AM$24)</f>
        <v>0</v>
      </c>
      <c r="AG123" s="1601">
        <f>IF(S_15!$G$8="NEIN",0,S_15!$AM$25)</f>
        <v>0</v>
      </c>
      <c r="AH123" s="1601">
        <f>IF(S_15!$G$8="NEIN",0,S_15!$AM$26)</f>
        <v>0</v>
      </c>
      <c r="AI123" s="1601">
        <f>IF(S_15!$G$8="NEIN",0,S_15!$AM$27)</f>
        <v>0</v>
      </c>
      <c r="AJ123" s="1601">
        <f>IF(S_15!$G$8="NEIN",0,S_15!$AM$28)</f>
        <v>0</v>
      </c>
      <c r="AK123" s="1601">
        <f>IF(S_15!$G$8="NEIN",0,S_15!$AM$29)</f>
        <v>0</v>
      </c>
      <c r="AL123" s="1601">
        <f>IF(S_15!$G$8="NEIN",0,S_15!$AM$30)</f>
        <v>0</v>
      </c>
      <c r="AM123" s="1601">
        <f>IF(S_15!$G$8="NEIN",0,S_15!$AM$31)</f>
        <v>0</v>
      </c>
      <c r="AN123" s="1390"/>
      <c r="AO123" s="1390"/>
      <c r="AP123" s="1390"/>
      <c r="AQ123" s="1390"/>
      <c r="AR123" s="1390"/>
      <c r="AS123" s="1390"/>
      <c r="AT123" s="1390"/>
      <c r="AW123" s="912" t="s">
        <v>941</v>
      </c>
      <c r="AX123" s="941"/>
      <c r="AY123" s="941"/>
      <c r="AZ123" s="941"/>
      <c r="BA123" s="941"/>
      <c r="BB123" s="941"/>
      <c r="BC123" s="941"/>
      <c r="BD123" s="941"/>
      <c r="BE123" s="941"/>
      <c r="BF123" s="941"/>
      <c r="BG123" s="941"/>
      <c r="BH123" s="941"/>
      <c r="BI123" s="941"/>
      <c r="BJ123" s="1390"/>
      <c r="BK123" s="1390"/>
      <c r="BL123" s="1390"/>
      <c r="BM123" s="1390"/>
      <c r="BN123" s="1390"/>
      <c r="BO123" s="1390"/>
      <c r="BP123" s="1390"/>
    </row>
    <row r="124" spans="5:68" ht="15">
      <c r="E124" s="912" t="s">
        <v>942</v>
      </c>
      <c r="F124" s="941">
        <f t="shared" si="108"/>
        <v>0</v>
      </c>
      <c r="G124" s="941">
        <f t="shared" si="119"/>
        <v>0</v>
      </c>
      <c r="H124" s="941">
        <f t="shared" si="109"/>
        <v>0</v>
      </c>
      <c r="I124" s="941">
        <f t="shared" si="110"/>
        <v>0</v>
      </c>
      <c r="J124" s="941">
        <f t="shared" si="111"/>
        <v>0</v>
      </c>
      <c r="K124" s="941">
        <f t="shared" si="112"/>
        <v>0</v>
      </c>
      <c r="L124" s="941">
        <f t="shared" si="113"/>
        <v>0</v>
      </c>
      <c r="M124" s="941">
        <f t="shared" si="114"/>
        <v>0</v>
      </c>
      <c r="N124" s="941">
        <f t="shared" si="115"/>
        <v>0</v>
      </c>
      <c r="O124" s="941">
        <f t="shared" si="116"/>
        <v>0</v>
      </c>
      <c r="P124" s="941">
        <f t="shared" si="117"/>
        <v>0</v>
      </c>
      <c r="Q124" s="941">
        <f t="shared" si="118"/>
        <v>0</v>
      </c>
      <c r="R124" s="1390"/>
      <c r="S124" s="1390"/>
      <c r="T124" s="1390"/>
      <c r="U124" s="1390"/>
      <c r="V124" s="1390"/>
      <c r="W124" s="1390"/>
      <c r="X124" s="1390"/>
      <c r="AA124" s="912" t="s">
        <v>942</v>
      </c>
      <c r="AB124" s="1601">
        <f>IF(S_16!$G$8="NEIN",0,S_16!$AM$20)</f>
        <v>0</v>
      </c>
      <c r="AC124" s="1601">
        <f>IF(S_16!$G$8="NEIN",0,S_16!$AM$21)</f>
        <v>0</v>
      </c>
      <c r="AD124" s="1601">
        <f>IF(S_16!$G$8="NEIN",0,S_16!$AM$22)</f>
        <v>0</v>
      </c>
      <c r="AE124" s="1601">
        <f>IF(S_16!$G$8="NEIN",0,S_16!$AM$23)</f>
        <v>0</v>
      </c>
      <c r="AF124" s="1601">
        <f>IF(S_16!$G$8="NEIN",0,S_16!$AM$24)</f>
        <v>0</v>
      </c>
      <c r="AG124" s="1601">
        <f>IF(S_16!$G$8="NEIN",0,S_16!$AM$25)</f>
        <v>0</v>
      </c>
      <c r="AH124" s="1601">
        <f>IF(S_16!$G$8="NEIN",0,S_16!$AM$26)</f>
        <v>0</v>
      </c>
      <c r="AI124" s="1601">
        <f>IF(S_16!$G$8="NEIN",0,S_16!$AM$27)</f>
        <v>0</v>
      </c>
      <c r="AJ124" s="1601">
        <f>IF(S_16!$G$8="NEIN",0,S_16!$AM$28)</f>
        <v>0</v>
      </c>
      <c r="AK124" s="1601">
        <f>IF(S_16!$G$8="NEIN",0,S_16!$AM$29)</f>
        <v>0</v>
      </c>
      <c r="AL124" s="1601">
        <f>IF(S_16!$G$8="NEIN",0,S_16!$AM$30)</f>
        <v>0</v>
      </c>
      <c r="AM124" s="1601">
        <f>IF(S_16!$G$8="NEIN",0,S_16!$AM$31)</f>
        <v>0</v>
      </c>
      <c r="AN124" s="1390"/>
      <c r="AO124" s="1390"/>
      <c r="AP124" s="1390"/>
      <c r="AQ124" s="1390"/>
      <c r="AR124" s="1390"/>
      <c r="AS124" s="1390"/>
      <c r="AT124" s="1390"/>
      <c r="AW124" s="912" t="s">
        <v>942</v>
      </c>
      <c r="AX124" s="941"/>
      <c r="AY124" s="941"/>
      <c r="AZ124" s="941"/>
      <c r="BA124" s="941"/>
      <c r="BB124" s="941"/>
      <c r="BC124" s="941"/>
      <c r="BD124" s="941"/>
      <c r="BE124" s="941"/>
      <c r="BF124" s="941"/>
      <c r="BG124" s="941"/>
      <c r="BH124" s="941"/>
      <c r="BI124" s="941"/>
      <c r="BJ124" s="1390"/>
      <c r="BK124" s="1390"/>
      <c r="BL124" s="1390"/>
      <c r="BM124" s="1390"/>
      <c r="BN124" s="1390"/>
      <c r="BO124" s="1390"/>
      <c r="BP124" s="1390"/>
    </row>
    <row r="125" spans="5:68" ht="15">
      <c r="E125" s="912" t="s">
        <v>943</v>
      </c>
      <c r="F125" s="941">
        <f t="shared" si="108"/>
        <v>0</v>
      </c>
      <c r="G125" s="941">
        <f t="shared" si="119"/>
        <v>0</v>
      </c>
      <c r="H125" s="941">
        <f t="shared" si="109"/>
        <v>0</v>
      </c>
      <c r="I125" s="941">
        <f t="shared" si="110"/>
        <v>0</v>
      </c>
      <c r="J125" s="941">
        <f t="shared" si="111"/>
        <v>0</v>
      </c>
      <c r="K125" s="941">
        <f t="shared" si="112"/>
        <v>0</v>
      </c>
      <c r="L125" s="941">
        <f t="shared" si="113"/>
        <v>0</v>
      </c>
      <c r="M125" s="941">
        <f t="shared" si="114"/>
        <v>0</v>
      </c>
      <c r="N125" s="941">
        <f t="shared" si="115"/>
        <v>0</v>
      </c>
      <c r="O125" s="941">
        <f t="shared" si="116"/>
        <v>0</v>
      </c>
      <c r="P125" s="941">
        <f t="shared" si="117"/>
        <v>0</v>
      </c>
      <c r="Q125" s="941">
        <f t="shared" si="118"/>
        <v>0</v>
      </c>
      <c r="R125" s="1390"/>
      <c r="S125" s="1390"/>
      <c r="T125" s="1390"/>
      <c r="U125" s="1390"/>
      <c r="V125" s="1390"/>
      <c r="W125" s="1390"/>
      <c r="X125" s="1390"/>
      <c r="AA125" s="912" t="s">
        <v>943</v>
      </c>
      <c r="AB125" s="1601">
        <f>IF(S_17!$G$8="NEIN",0,S_17!$AM$20)</f>
        <v>0</v>
      </c>
      <c r="AC125" s="1601">
        <f>IF(S_17!$G$8="NEIN",0,S_17!$AM$21)</f>
        <v>0</v>
      </c>
      <c r="AD125" s="1601">
        <f>IF(S_17!$G$8="NEIN",0,S_17!$AM$22)</f>
        <v>0</v>
      </c>
      <c r="AE125" s="1601">
        <f>IF(S_17!$G$8="NEIN",0,S_17!$AM$23)</f>
        <v>0</v>
      </c>
      <c r="AF125" s="1601">
        <f>IF(S_17!$G$8="NEIN",0,S_17!$AM$24)</f>
        <v>0</v>
      </c>
      <c r="AG125" s="1601">
        <f>IF(S_17!$G$8="NEIN",0,S_17!$AM$25)</f>
        <v>0</v>
      </c>
      <c r="AH125" s="1601">
        <f>IF(S_17!$G$8="NEIN",0,S_17!$AM$26)</f>
        <v>0</v>
      </c>
      <c r="AI125" s="1601">
        <f>IF(S_17!$G$8="NEIN",0,S_17!$AM$27)</f>
        <v>0</v>
      </c>
      <c r="AJ125" s="1601">
        <f>IF(S_17!$G$8="NEIN",0,S_17!$AM$28)</f>
        <v>0</v>
      </c>
      <c r="AK125" s="1601">
        <f>IF(S_17!$G$8="NEIN",0,S_17!$AM$29)</f>
        <v>0</v>
      </c>
      <c r="AL125" s="1601">
        <f>IF(S_17!$G$8="NEIN",0,S_17!$AM$30)</f>
        <v>0</v>
      </c>
      <c r="AM125" s="1601">
        <f>IF(S_17!$G$8="NEIN",0,S_17!$AM$31)</f>
        <v>0</v>
      </c>
      <c r="AN125" s="1390"/>
      <c r="AO125" s="1390"/>
      <c r="AP125" s="1390"/>
      <c r="AQ125" s="1390"/>
      <c r="AR125" s="1390"/>
      <c r="AS125" s="1390"/>
      <c r="AT125" s="1390"/>
      <c r="AW125" s="912" t="s">
        <v>943</v>
      </c>
      <c r="AX125" s="941"/>
      <c r="AY125" s="941"/>
      <c r="AZ125" s="941"/>
      <c r="BA125" s="941"/>
      <c r="BB125" s="941"/>
      <c r="BC125" s="941"/>
      <c r="BD125" s="941"/>
      <c r="BE125" s="941"/>
      <c r="BF125" s="941"/>
      <c r="BG125" s="941"/>
      <c r="BH125" s="941"/>
      <c r="BI125" s="941"/>
      <c r="BJ125" s="1390"/>
      <c r="BK125" s="1390"/>
      <c r="BL125" s="1390"/>
      <c r="BM125" s="1390"/>
      <c r="BN125" s="1390"/>
      <c r="BO125" s="1390"/>
      <c r="BP125" s="1390"/>
    </row>
    <row r="126" spans="5:68" ht="15">
      <c r="E126" s="912" t="s">
        <v>944</v>
      </c>
      <c r="F126" s="941">
        <f t="shared" si="108"/>
        <v>0</v>
      </c>
      <c r="G126" s="941">
        <f t="shared" si="119"/>
        <v>0</v>
      </c>
      <c r="H126" s="941">
        <f t="shared" si="109"/>
        <v>0</v>
      </c>
      <c r="I126" s="941">
        <f t="shared" si="110"/>
        <v>0</v>
      </c>
      <c r="J126" s="941">
        <f t="shared" si="111"/>
        <v>0</v>
      </c>
      <c r="K126" s="941">
        <f t="shared" si="112"/>
        <v>0</v>
      </c>
      <c r="L126" s="941">
        <f t="shared" si="113"/>
        <v>0</v>
      </c>
      <c r="M126" s="941">
        <f t="shared" si="114"/>
        <v>0</v>
      </c>
      <c r="N126" s="941">
        <f t="shared" si="115"/>
        <v>0</v>
      </c>
      <c r="O126" s="941">
        <f t="shared" si="116"/>
        <v>0</v>
      </c>
      <c r="P126" s="941">
        <f t="shared" si="117"/>
        <v>0</v>
      </c>
      <c r="Q126" s="941">
        <f t="shared" si="118"/>
        <v>0</v>
      </c>
      <c r="R126" s="1390"/>
      <c r="S126" s="1390"/>
      <c r="T126" s="1390"/>
      <c r="U126" s="1390"/>
      <c r="V126" s="1390"/>
      <c r="W126" s="1390"/>
      <c r="X126" s="1390"/>
      <c r="AA126" s="912" t="s">
        <v>944</v>
      </c>
      <c r="AB126" s="1601">
        <f>IF(S_18!$G$8="NEIN",0,S_18!$AM$20)</f>
        <v>0</v>
      </c>
      <c r="AC126" s="1601">
        <f>IF(S_18!$G$8="NEIN",0,S_18!$AM$21)</f>
        <v>0</v>
      </c>
      <c r="AD126" s="1601">
        <f>IF(S_18!$G$8="NEIN",0,S_18!$AM$22)</f>
        <v>0</v>
      </c>
      <c r="AE126" s="1601">
        <f>IF(S_18!$G$8="NEIN",0,S_18!$AM$23)</f>
        <v>0</v>
      </c>
      <c r="AF126" s="1601">
        <f>IF(S_18!$G$8="NEIN",0,S_18!$AM$24)</f>
        <v>0</v>
      </c>
      <c r="AG126" s="1601">
        <f>IF(S_18!$G$8="NEIN",0,S_18!$AM$25)</f>
        <v>0</v>
      </c>
      <c r="AH126" s="1601">
        <f>IF(S_18!$G$8="NEIN",0,S_18!$AM$26)</f>
        <v>0</v>
      </c>
      <c r="AI126" s="1601">
        <f>IF(S_18!$G$8="NEIN",0,S_18!$AM$27)</f>
        <v>0</v>
      </c>
      <c r="AJ126" s="1601">
        <f>IF(S_18!$G$8="NEIN",0,S_18!$AM$28)</f>
        <v>0</v>
      </c>
      <c r="AK126" s="1601">
        <f>IF(S_18!$G$8="NEIN",0,S_18!$AM$29)</f>
        <v>0</v>
      </c>
      <c r="AL126" s="1601">
        <f>IF(S_18!$G$8="NEIN",0,S_18!$AM$30)</f>
        <v>0</v>
      </c>
      <c r="AM126" s="1601">
        <f>IF(S_18!$G$8="NEIN",0,S_18!$AM$31)</f>
        <v>0</v>
      </c>
      <c r="AN126" s="1390"/>
      <c r="AO126" s="1390"/>
      <c r="AP126" s="1390"/>
      <c r="AQ126" s="1390"/>
      <c r="AR126" s="1390"/>
      <c r="AS126" s="1390"/>
      <c r="AT126" s="1390"/>
      <c r="AW126" s="912" t="s">
        <v>944</v>
      </c>
      <c r="AX126" s="941"/>
      <c r="AY126" s="941"/>
      <c r="AZ126" s="941"/>
      <c r="BA126" s="941"/>
      <c r="BB126" s="941"/>
      <c r="BC126" s="941"/>
      <c r="BD126" s="941"/>
      <c r="BE126" s="941"/>
      <c r="BF126" s="941"/>
      <c r="BG126" s="941"/>
      <c r="BH126" s="941"/>
      <c r="BI126" s="941"/>
      <c r="BJ126" s="1390"/>
      <c r="BK126" s="1390"/>
      <c r="BL126" s="1390"/>
      <c r="BM126" s="1390"/>
      <c r="BN126" s="1390"/>
      <c r="BO126" s="1390"/>
      <c r="BP126" s="1390"/>
    </row>
    <row r="127" spans="5:68" ht="15">
      <c r="E127" s="912" t="s">
        <v>945</v>
      </c>
      <c r="F127" s="941">
        <f t="shared" si="108"/>
        <v>0</v>
      </c>
      <c r="G127" s="941">
        <f t="shared" si="119"/>
        <v>0</v>
      </c>
      <c r="H127" s="941">
        <f t="shared" si="109"/>
        <v>0</v>
      </c>
      <c r="I127" s="941">
        <f t="shared" si="110"/>
        <v>0</v>
      </c>
      <c r="J127" s="941">
        <f t="shared" si="111"/>
        <v>0</v>
      </c>
      <c r="K127" s="941">
        <f t="shared" si="112"/>
        <v>0</v>
      </c>
      <c r="L127" s="941">
        <f t="shared" si="113"/>
        <v>0</v>
      </c>
      <c r="M127" s="941">
        <f t="shared" si="114"/>
        <v>0</v>
      </c>
      <c r="N127" s="941">
        <f t="shared" si="115"/>
        <v>0</v>
      </c>
      <c r="O127" s="941">
        <f t="shared" si="116"/>
        <v>0</v>
      </c>
      <c r="P127" s="941">
        <f t="shared" si="117"/>
        <v>0</v>
      </c>
      <c r="Q127" s="941">
        <f t="shared" si="118"/>
        <v>0</v>
      </c>
      <c r="R127" s="1390"/>
      <c r="S127" s="1390"/>
      <c r="T127" s="1390"/>
      <c r="U127" s="1390"/>
      <c r="V127" s="1390"/>
      <c r="W127" s="1390"/>
      <c r="X127" s="1390"/>
      <c r="AA127" s="912" t="s">
        <v>945</v>
      </c>
      <c r="AB127" s="1601">
        <f>IF(S_19!$G$8="NEIN",0,S_19!$AM$20)</f>
        <v>0</v>
      </c>
      <c r="AC127" s="1601">
        <f>IF(S_19!$G$8="NEIN",0,S_19!$AM$21)</f>
        <v>0</v>
      </c>
      <c r="AD127" s="1601">
        <f>IF(S_19!$G$8="NEIN",0,S_19!$AM$22)</f>
        <v>0</v>
      </c>
      <c r="AE127" s="1601">
        <f>IF(S_19!$G$8="NEIN",0,S_19!$AM$23)</f>
        <v>0</v>
      </c>
      <c r="AF127" s="1601">
        <f>IF(S_19!$G$8="NEIN",0,S_19!$AM$24)</f>
        <v>0</v>
      </c>
      <c r="AG127" s="1601">
        <f>IF(S_19!$G$8="NEIN",0,S_19!$AM$25)</f>
        <v>0</v>
      </c>
      <c r="AH127" s="1601">
        <f>IF(S_19!$G$8="NEIN",0,S_19!$AM$26)</f>
        <v>0</v>
      </c>
      <c r="AI127" s="1601">
        <f>IF(S_19!$G$8="NEIN",0,S_19!$AM$27)</f>
        <v>0</v>
      </c>
      <c r="AJ127" s="1601">
        <f>IF(S_19!$G$8="NEIN",0,S_19!$AM$28)</f>
        <v>0</v>
      </c>
      <c r="AK127" s="1601">
        <f>IF(S_19!$G$8="NEIN",0,S_19!$AM$29)</f>
        <v>0</v>
      </c>
      <c r="AL127" s="1601">
        <f>IF(S_19!$G$8="NEIN",0,S_19!$AM$30)</f>
        <v>0</v>
      </c>
      <c r="AM127" s="1601">
        <f>IF(S_19!$G$8="NEIN",0,S_19!$AM$31)</f>
        <v>0</v>
      </c>
      <c r="AN127" s="1390"/>
      <c r="AO127" s="1390"/>
      <c r="AP127" s="1390"/>
      <c r="AQ127" s="1390"/>
      <c r="AR127" s="1390"/>
      <c r="AS127" s="1390"/>
      <c r="AT127" s="1390"/>
      <c r="AW127" s="912" t="s">
        <v>945</v>
      </c>
      <c r="AX127" s="941"/>
      <c r="AY127" s="941"/>
      <c r="AZ127" s="941"/>
      <c r="BA127" s="941"/>
      <c r="BB127" s="941"/>
      <c r="BC127" s="941"/>
      <c r="BD127" s="941"/>
      <c r="BE127" s="941"/>
      <c r="BF127" s="941"/>
      <c r="BG127" s="941"/>
      <c r="BH127" s="941"/>
      <c r="BI127" s="941"/>
      <c r="BJ127" s="1390"/>
      <c r="BK127" s="1390"/>
      <c r="BL127" s="1390"/>
      <c r="BM127" s="1390"/>
      <c r="BN127" s="1390"/>
      <c r="BO127" s="1390"/>
      <c r="BP127" s="1390"/>
    </row>
    <row r="128" spans="5:68" ht="15">
      <c r="E128" s="912" t="s">
        <v>946</v>
      </c>
      <c r="F128" s="941">
        <f t="shared" si="108"/>
        <v>0</v>
      </c>
      <c r="G128" s="941">
        <f t="shared" si="119"/>
        <v>0</v>
      </c>
      <c r="H128" s="941">
        <f t="shared" si="109"/>
        <v>0</v>
      </c>
      <c r="I128" s="941">
        <f t="shared" si="110"/>
        <v>0</v>
      </c>
      <c r="J128" s="941">
        <f t="shared" si="111"/>
        <v>0</v>
      </c>
      <c r="K128" s="941">
        <f t="shared" si="112"/>
        <v>0</v>
      </c>
      <c r="L128" s="941">
        <f t="shared" si="113"/>
        <v>0</v>
      </c>
      <c r="M128" s="941">
        <f t="shared" si="114"/>
        <v>0</v>
      </c>
      <c r="N128" s="941">
        <f t="shared" si="115"/>
        <v>0</v>
      </c>
      <c r="O128" s="941">
        <f t="shared" si="116"/>
        <v>0</v>
      </c>
      <c r="P128" s="941">
        <f t="shared" si="117"/>
        <v>0</v>
      </c>
      <c r="Q128" s="941">
        <f t="shared" si="118"/>
        <v>0</v>
      </c>
      <c r="R128" s="1390"/>
      <c r="S128" s="1390"/>
      <c r="T128" s="1390"/>
      <c r="U128" s="1390"/>
      <c r="V128" s="1390"/>
      <c r="W128" s="1390"/>
      <c r="X128" s="1390"/>
      <c r="AA128" s="912" t="s">
        <v>946</v>
      </c>
      <c r="AB128" s="1601">
        <f>IF(S_20!$G$8="NEIN",0,S_20!$AM$20)</f>
        <v>0</v>
      </c>
      <c r="AC128" s="1601">
        <f>IF(S_20!$G$8="NEIN",0,S_20!$AM$21)</f>
        <v>0</v>
      </c>
      <c r="AD128" s="1601">
        <f>IF(S_20!$G$8="NEIN",0,S_20!$AM$22)</f>
        <v>0</v>
      </c>
      <c r="AE128" s="1601">
        <f>IF(S_20!$G$8="NEIN",0,S_20!$AM$23)</f>
        <v>0</v>
      </c>
      <c r="AF128" s="1601">
        <f>IF(S_20!$G$8="NEIN",0,S_20!$AM$24)</f>
        <v>0</v>
      </c>
      <c r="AG128" s="1601">
        <f>IF(S_20!$G$8="NEIN",0,S_20!$AM$25)</f>
        <v>0</v>
      </c>
      <c r="AH128" s="1601">
        <f>IF(S_20!$G$8="NEIN",0,S_20!$AM$26)</f>
        <v>0</v>
      </c>
      <c r="AI128" s="1601">
        <f>IF(S_20!$G$8="NEIN",0,S_20!$AM$27)</f>
        <v>0</v>
      </c>
      <c r="AJ128" s="1601">
        <f>IF(S_20!$G$8="NEIN",0,S_20!$AM$28)</f>
        <v>0</v>
      </c>
      <c r="AK128" s="1601">
        <f>IF(S_20!$G$8="NEIN",0,S_20!$AM$29)</f>
        <v>0</v>
      </c>
      <c r="AL128" s="1601">
        <f>IF(S_20!$G$8="NEIN",0,S_20!$AM$30)</f>
        <v>0</v>
      </c>
      <c r="AM128" s="1601">
        <f>IF(S_20!$G$8="NEIN",0,S_20!$AM$31)</f>
        <v>0</v>
      </c>
      <c r="AN128" s="1390"/>
      <c r="AO128" s="1390"/>
      <c r="AP128" s="1390"/>
      <c r="AQ128" s="1390"/>
      <c r="AR128" s="1390"/>
      <c r="AS128" s="1390"/>
      <c r="AT128" s="1390"/>
      <c r="AW128" s="912" t="s">
        <v>946</v>
      </c>
      <c r="AX128" s="941"/>
      <c r="AY128" s="941"/>
      <c r="AZ128" s="941"/>
      <c r="BA128" s="941"/>
      <c r="BB128" s="941"/>
      <c r="BC128" s="941"/>
      <c r="BD128" s="941"/>
      <c r="BE128" s="941"/>
      <c r="BF128" s="941"/>
      <c r="BG128" s="941"/>
      <c r="BH128" s="941"/>
      <c r="BI128" s="941"/>
      <c r="BJ128" s="1390"/>
      <c r="BK128" s="1390"/>
      <c r="BL128" s="1390"/>
      <c r="BM128" s="1390"/>
      <c r="BN128" s="1390"/>
      <c r="BO128" s="1390"/>
      <c r="BP128" s="1390"/>
    </row>
    <row r="129" spans="5:68" ht="15">
      <c r="E129" s="912" t="s">
        <v>947</v>
      </c>
      <c r="F129" s="941">
        <f t="shared" si="108"/>
        <v>0</v>
      </c>
      <c r="G129" s="941">
        <f t="shared" si="119"/>
        <v>0</v>
      </c>
      <c r="H129" s="941">
        <f t="shared" si="109"/>
        <v>0</v>
      </c>
      <c r="I129" s="941">
        <f t="shared" si="110"/>
        <v>0</v>
      </c>
      <c r="J129" s="941">
        <f t="shared" si="111"/>
        <v>0</v>
      </c>
      <c r="K129" s="941">
        <f t="shared" si="112"/>
        <v>0</v>
      </c>
      <c r="L129" s="941">
        <f t="shared" si="113"/>
        <v>0</v>
      </c>
      <c r="M129" s="941">
        <f t="shared" si="114"/>
        <v>0</v>
      </c>
      <c r="N129" s="941">
        <f t="shared" si="115"/>
        <v>0</v>
      </c>
      <c r="O129" s="941">
        <f t="shared" si="116"/>
        <v>0</v>
      </c>
      <c r="P129" s="941">
        <f t="shared" si="117"/>
        <v>0</v>
      </c>
      <c r="Q129" s="941">
        <f t="shared" si="118"/>
        <v>0</v>
      </c>
      <c r="R129" s="1390"/>
      <c r="S129" s="1390"/>
      <c r="T129" s="1390"/>
      <c r="U129" s="1390"/>
      <c r="V129" s="1390"/>
      <c r="W129" s="1390"/>
      <c r="X129" s="1390"/>
      <c r="AA129" s="912" t="s">
        <v>947</v>
      </c>
      <c r="AB129" s="1601">
        <f>IF(S_21!$G$8="NEIN",0,S_21!$AM$20)</f>
        <v>0</v>
      </c>
      <c r="AC129" s="1601">
        <f>IF(S_21!$G$8="NEIN",0,S_21!$AM$21)</f>
        <v>0</v>
      </c>
      <c r="AD129" s="1601">
        <f>IF(S_21!$G$8="NEIN",0,S_21!$AM$22)</f>
        <v>0</v>
      </c>
      <c r="AE129" s="1601">
        <f>IF(S_21!$G$8="NEIN",0,S_21!$AM$23)</f>
        <v>0</v>
      </c>
      <c r="AF129" s="1601">
        <f>IF(S_21!$G$8="NEIN",0,S_21!$AM$24)</f>
        <v>0</v>
      </c>
      <c r="AG129" s="1601">
        <f>IF(S_21!$G$8="NEIN",0,S_21!$AM$25)</f>
        <v>0</v>
      </c>
      <c r="AH129" s="1601">
        <f>IF(S_21!$G$8="NEIN",0,S_21!$AM$26)</f>
        <v>0</v>
      </c>
      <c r="AI129" s="1601">
        <f>IF(S_21!$G$8="NEIN",0,S_21!$AM$27)</f>
        <v>0</v>
      </c>
      <c r="AJ129" s="1601">
        <f>IF(S_21!$G$8="NEIN",0,S_21!$AM$28)</f>
        <v>0</v>
      </c>
      <c r="AK129" s="1601">
        <f>IF(S_21!$G$8="NEIN",0,S_21!$AM$29)</f>
        <v>0</v>
      </c>
      <c r="AL129" s="1601">
        <f>IF(S_21!$G$8="NEIN",0,S_21!$AM$30)</f>
        <v>0</v>
      </c>
      <c r="AM129" s="1601">
        <f>IF(S_21!$G$8="NEIN",0,S_21!$AM$31)</f>
        <v>0</v>
      </c>
      <c r="AN129" s="1390"/>
      <c r="AO129" s="1390"/>
      <c r="AP129" s="1390"/>
      <c r="AQ129" s="1390"/>
      <c r="AR129" s="1390"/>
      <c r="AS129" s="1390"/>
      <c r="AT129" s="1390"/>
      <c r="AW129" s="912" t="s">
        <v>947</v>
      </c>
      <c r="AX129" s="941"/>
      <c r="AY129" s="941"/>
      <c r="AZ129" s="941"/>
      <c r="BA129" s="941"/>
      <c r="BB129" s="941"/>
      <c r="BC129" s="941"/>
      <c r="BD129" s="941"/>
      <c r="BE129" s="941"/>
      <c r="BF129" s="941"/>
      <c r="BG129" s="941"/>
      <c r="BH129" s="941"/>
      <c r="BI129" s="941"/>
      <c r="BJ129" s="1390"/>
      <c r="BK129" s="1390"/>
      <c r="BL129" s="1390"/>
      <c r="BM129" s="1390"/>
      <c r="BN129" s="1390"/>
      <c r="BO129" s="1390"/>
      <c r="BP129" s="1390"/>
    </row>
    <row r="130" spans="5:68" ht="15">
      <c r="E130" s="912" t="s">
        <v>948</v>
      </c>
      <c r="F130" s="941">
        <f t="shared" si="108"/>
        <v>0</v>
      </c>
      <c r="G130" s="941">
        <f t="shared" si="119"/>
        <v>0</v>
      </c>
      <c r="H130" s="941">
        <f t="shared" si="109"/>
        <v>0</v>
      </c>
      <c r="I130" s="941">
        <f t="shared" si="110"/>
        <v>0</v>
      </c>
      <c r="J130" s="941">
        <f t="shared" si="111"/>
        <v>0</v>
      </c>
      <c r="K130" s="941">
        <f t="shared" si="112"/>
        <v>0</v>
      </c>
      <c r="L130" s="941">
        <f t="shared" si="113"/>
        <v>0</v>
      </c>
      <c r="M130" s="941">
        <f t="shared" si="114"/>
        <v>0</v>
      </c>
      <c r="N130" s="941">
        <f t="shared" si="115"/>
        <v>0</v>
      </c>
      <c r="O130" s="941">
        <f t="shared" si="116"/>
        <v>0</v>
      </c>
      <c r="P130" s="941">
        <f t="shared" si="117"/>
        <v>0</v>
      </c>
      <c r="Q130" s="941">
        <f t="shared" si="118"/>
        <v>0</v>
      </c>
      <c r="R130" s="1390"/>
      <c r="S130" s="1390"/>
      <c r="T130" s="1390"/>
      <c r="U130" s="1390"/>
      <c r="V130" s="1390"/>
      <c r="W130" s="1390"/>
      <c r="X130" s="1390"/>
      <c r="AA130" s="912" t="s">
        <v>948</v>
      </c>
      <c r="AB130" s="1601">
        <f>IF(S_22!$G$8="NEIN",0,S_22!$AM$20)</f>
        <v>0</v>
      </c>
      <c r="AC130" s="1601">
        <f>IF(S_22!$G$8="NEIN",0,S_22!$AM$21)</f>
        <v>0</v>
      </c>
      <c r="AD130" s="1601">
        <f>IF(S_22!$G$8="NEIN",0,S_22!$AM$22)</f>
        <v>0</v>
      </c>
      <c r="AE130" s="1601">
        <f>IF(S_22!$G$8="NEIN",0,S_22!$AM$23)</f>
        <v>0</v>
      </c>
      <c r="AF130" s="1601">
        <f>IF(S_22!$G$8="NEIN",0,S_22!$AM$24)</f>
        <v>0</v>
      </c>
      <c r="AG130" s="1601">
        <f>IF(S_22!$G$8="NEIN",0,S_22!$AM$25)</f>
        <v>0</v>
      </c>
      <c r="AH130" s="1601">
        <f>IF(S_22!$G$8="NEIN",0,S_22!$AM$26)</f>
        <v>0</v>
      </c>
      <c r="AI130" s="1601">
        <f>IF(S_22!$G$8="NEIN",0,S_22!$AM$27)</f>
        <v>0</v>
      </c>
      <c r="AJ130" s="1601">
        <f>IF(S_22!$G$8="NEIN",0,S_22!$AM$28)</f>
        <v>0</v>
      </c>
      <c r="AK130" s="1601">
        <f>IF(S_22!$G$8="NEIN",0,S_22!$AM$29)</f>
        <v>0</v>
      </c>
      <c r="AL130" s="1601">
        <f>IF(S_22!$G$8="NEIN",0,S_22!$AM$30)</f>
        <v>0</v>
      </c>
      <c r="AM130" s="1601">
        <f>IF(S_22!$G$8="NEIN",0,S_22!$AM$31)</f>
        <v>0</v>
      </c>
      <c r="AN130" s="1390"/>
      <c r="AO130" s="1390"/>
      <c r="AP130" s="1390"/>
      <c r="AQ130" s="1390"/>
      <c r="AR130" s="1390"/>
      <c r="AS130" s="1390"/>
      <c r="AT130" s="1390"/>
      <c r="AW130" s="912" t="s">
        <v>948</v>
      </c>
      <c r="AX130" s="941"/>
      <c r="AY130" s="941"/>
      <c r="AZ130" s="941"/>
      <c r="BA130" s="941"/>
      <c r="BB130" s="941"/>
      <c r="BC130" s="941"/>
      <c r="BD130" s="941"/>
      <c r="BE130" s="941"/>
      <c r="BF130" s="941"/>
      <c r="BG130" s="941"/>
      <c r="BH130" s="941"/>
      <c r="BI130" s="941"/>
      <c r="BJ130" s="1390"/>
      <c r="BK130" s="1390"/>
      <c r="BL130" s="1390"/>
      <c r="BM130" s="1390"/>
      <c r="BN130" s="1390"/>
      <c r="BO130" s="1390"/>
      <c r="BP130" s="1390"/>
    </row>
    <row r="131" spans="5:68" ht="15">
      <c r="E131" s="912" t="s">
        <v>949</v>
      </c>
      <c r="F131" s="941">
        <f t="shared" si="108"/>
        <v>0</v>
      </c>
      <c r="G131" s="941">
        <f t="shared" si="119"/>
        <v>0</v>
      </c>
      <c r="H131" s="941">
        <f t="shared" si="109"/>
        <v>0</v>
      </c>
      <c r="I131" s="941">
        <f t="shared" si="110"/>
        <v>0</v>
      </c>
      <c r="J131" s="941">
        <f t="shared" si="111"/>
        <v>0</v>
      </c>
      <c r="K131" s="941">
        <f t="shared" si="112"/>
        <v>0</v>
      </c>
      <c r="L131" s="941">
        <f t="shared" si="113"/>
        <v>0</v>
      </c>
      <c r="M131" s="941">
        <f t="shared" si="114"/>
        <v>0</v>
      </c>
      <c r="N131" s="941">
        <f t="shared" si="115"/>
        <v>0</v>
      </c>
      <c r="O131" s="941">
        <f t="shared" si="116"/>
        <v>0</v>
      </c>
      <c r="P131" s="941">
        <f t="shared" si="117"/>
        <v>0</v>
      </c>
      <c r="Q131" s="941">
        <f t="shared" si="118"/>
        <v>0</v>
      </c>
      <c r="R131" s="1390"/>
      <c r="S131" s="1390"/>
      <c r="T131" s="1390"/>
      <c r="U131" s="1390"/>
      <c r="V131" s="1390"/>
      <c r="W131" s="1390"/>
      <c r="X131" s="1390"/>
      <c r="AA131" s="912" t="s">
        <v>949</v>
      </c>
      <c r="AB131" s="1601">
        <f>IF(S_23!$G$8="NEIN",0,S_23!$AM$20)</f>
        <v>0</v>
      </c>
      <c r="AC131" s="1601">
        <f>IF(S_23!$G$8="NEIN",0,S_23!$AM$21)</f>
        <v>0</v>
      </c>
      <c r="AD131" s="1601">
        <f>IF(S_23!$G$8="NEIN",0,S_23!$AM$22)</f>
        <v>0</v>
      </c>
      <c r="AE131" s="1601">
        <f>IF(S_23!$G$8="NEIN",0,S_23!$AM$23)</f>
        <v>0</v>
      </c>
      <c r="AF131" s="1601">
        <f>IF(S_23!$G$8="NEIN",0,S_23!$AM$24)</f>
        <v>0</v>
      </c>
      <c r="AG131" s="1601">
        <f>IF(S_23!$G$8="NEIN",0,S_23!$AM$25)</f>
        <v>0</v>
      </c>
      <c r="AH131" s="1601">
        <f>IF(S_23!$G$8="NEIN",0,S_23!$AM$26)</f>
        <v>0</v>
      </c>
      <c r="AI131" s="1601">
        <f>IF(S_23!$G$8="NEIN",0,S_23!$AM$27)</f>
        <v>0</v>
      </c>
      <c r="AJ131" s="1601">
        <f>IF(S_23!$G$8="NEIN",0,S_23!$AM$28)</f>
        <v>0</v>
      </c>
      <c r="AK131" s="1601">
        <f>IF(S_23!$G$8="NEIN",0,S_23!$AM$29)</f>
        <v>0</v>
      </c>
      <c r="AL131" s="1601">
        <f>IF(S_23!$G$8="NEIN",0,S_23!$AM$30)</f>
        <v>0</v>
      </c>
      <c r="AM131" s="1601">
        <f>IF(S_23!$G$8="NEIN",0,S_23!$AM$31)</f>
        <v>0</v>
      </c>
      <c r="AN131" s="1390"/>
      <c r="AO131" s="1390"/>
      <c r="AP131" s="1390"/>
      <c r="AQ131" s="1390"/>
      <c r="AR131" s="1390"/>
      <c r="AS131" s="1390"/>
      <c r="AT131" s="1390"/>
      <c r="AW131" s="912" t="s">
        <v>949</v>
      </c>
      <c r="AX131" s="941"/>
      <c r="AY131" s="941"/>
      <c r="AZ131" s="941"/>
      <c r="BA131" s="941"/>
      <c r="BB131" s="941"/>
      <c r="BC131" s="941"/>
      <c r="BD131" s="941"/>
      <c r="BE131" s="941"/>
      <c r="BF131" s="941"/>
      <c r="BG131" s="941"/>
      <c r="BH131" s="941"/>
      <c r="BI131" s="941"/>
      <c r="BJ131" s="1390"/>
      <c r="BK131" s="1390"/>
      <c r="BL131" s="1390"/>
      <c r="BM131" s="1390"/>
      <c r="BN131" s="1390"/>
      <c r="BO131" s="1390"/>
      <c r="BP131" s="1390"/>
    </row>
    <row r="132" spans="5:68" ht="15">
      <c r="E132" s="912" t="s">
        <v>950</v>
      </c>
      <c r="F132" s="941">
        <f t="shared" si="108"/>
        <v>0</v>
      </c>
      <c r="G132" s="941">
        <f t="shared" si="119"/>
        <v>0</v>
      </c>
      <c r="H132" s="941">
        <f t="shared" si="109"/>
        <v>0</v>
      </c>
      <c r="I132" s="941">
        <f t="shared" si="110"/>
        <v>0</v>
      </c>
      <c r="J132" s="941">
        <f t="shared" si="111"/>
        <v>0</v>
      </c>
      <c r="K132" s="941">
        <f t="shared" si="112"/>
        <v>0</v>
      </c>
      <c r="L132" s="941">
        <f t="shared" si="113"/>
        <v>0</v>
      </c>
      <c r="M132" s="941">
        <f t="shared" si="114"/>
        <v>0</v>
      </c>
      <c r="N132" s="941">
        <f t="shared" si="115"/>
        <v>0</v>
      </c>
      <c r="O132" s="941">
        <f t="shared" si="116"/>
        <v>0</v>
      </c>
      <c r="P132" s="941">
        <f t="shared" si="117"/>
        <v>0</v>
      </c>
      <c r="Q132" s="941">
        <f t="shared" si="118"/>
        <v>0</v>
      </c>
      <c r="R132" s="1390"/>
      <c r="S132" s="1390"/>
      <c r="T132" s="1390"/>
      <c r="U132" s="1390"/>
      <c r="V132" s="1390"/>
      <c r="W132" s="1390"/>
      <c r="X132" s="1390"/>
      <c r="AA132" s="912" t="s">
        <v>950</v>
      </c>
      <c r="AB132" s="1601">
        <f>IF(S_24!$G$8="NEIN",0,S_24!$AM$20)</f>
        <v>0</v>
      </c>
      <c r="AC132" s="1601">
        <f>IF(S_24!$G$8="NEIN",0,S_24!$AM$21)</f>
        <v>0</v>
      </c>
      <c r="AD132" s="1601">
        <f>IF(S_24!$G$8="NEIN",0,S_24!$AM$22)</f>
        <v>0</v>
      </c>
      <c r="AE132" s="1601">
        <f>IF(S_24!$G$8="NEIN",0,S_24!$AM$23)</f>
        <v>0</v>
      </c>
      <c r="AF132" s="1601">
        <f>IF(S_24!$G$8="NEIN",0,S_24!$AM$24)</f>
        <v>0</v>
      </c>
      <c r="AG132" s="1601">
        <f>IF(S_24!$G$8="NEIN",0,S_24!$AM$25)</f>
        <v>0</v>
      </c>
      <c r="AH132" s="1601">
        <f>IF(S_24!$G$8="NEIN",0,S_24!$AM$26)</f>
        <v>0</v>
      </c>
      <c r="AI132" s="1601">
        <f>IF(S_24!$G$8="NEIN",0,S_24!$AM$27)</f>
        <v>0</v>
      </c>
      <c r="AJ132" s="1601">
        <f>IF(S_24!$G$8="NEIN",0,S_24!$AM$28)</f>
        <v>0</v>
      </c>
      <c r="AK132" s="1601">
        <f>IF(S_24!$G$8="NEIN",0,S_24!$AM$29)</f>
        <v>0</v>
      </c>
      <c r="AL132" s="1601">
        <f>IF(S_24!$G$8="NEIN",0,S_24!$AM$30)</f>
        <v>0</v>
      </c>
      <c r="AM132" s="1601">
        <f>IF(S_24!$G$8="NEIN",0,S_24!$AM$31)</f>
        <v>0</v>
      </c>
      <c r="AN132" s="1390"/>
      <c r="AO132" s="1390"/>
      <c r="AP132" s="1390"/>
      <c r="AQ132" s="1390"/>
      <c r="AR132" s="1390"/>
      <c r="AS132" s="1390"/>
      <c r="AT132" s="1390"/>
      <c r="AW132" s="912" t="s">
        <v>950</v>
      </c>
      <c r="AX132" s="941"/>
      <c r="AY132" s="941"/>
      <c r="AZ132" s="941"/>
      <c r="BA132" s="941"/>
      <c r="BB132" s="941"/>
      <c r="BC132" s="941"/>
      <c r="BD132" s="941"/>
      <c r="BE132" s="941"/>
      <c r="BF132" s="941"/>
      <c r="BG132" s="941"/>
      <c r="BH132" s="941"/>
      <c r="BI132" s="941"/>
      <c r="BJ132" s="1390"/>
      <c r="BK132" s="1390"/>
      <c r="BL132" s="1390"/>
      <c r="BM132" s="1390"/>
      <c r="BN132" s="1390"/>
      <c r="BO132" s="1390"/>
      <c r="BP132" s="1390"/>
    </row>
    <row r="133" spans="5:68" ht="15">
      <c r="E133" s="912" t="s">
        <v>951</v>
      </c>
      <c r="F133" s="941">
        <f t="shared" si="108"/>
        <v>0</v>
      </c>
      <c r="G133" s="941">
        <f t="shared" si="119"/>
        <v>0</v>
      </c>
      <c r="H133" s="941">
        <f t="shared" si="109"/>
        <v>0</v>
      </c>
      <c r="I133" s="941">
        <f t="shared" si="110"/>
        <v>0</v>
      </c>
      <c r="J133" s="941">
        <f t="shared" si="111"/>
        <v>0</v>
      </c>
      <c r="K133" s="941">
        <f t="shared" si="112"/>
        <v>0</v>
      </c>
      <c r="L133" s="941">
        <f t="shared" si="113"/>
        <v>0</v>
      </c>
      <c r="M133" s="941">
        <f t="shared" si="114"/>
        <v>0</v>
      </c>
      <c r="N133" s="941">
        <f t="shared" si="115"/>
        <v>0</v>
      </c>
      <c r="O133" s="941">
        <f t="shared" si="116"/>
        <v>0</v>
      </c>
      <c r="P133" s="941">
        <f t="shared" si="117"/>
        <v>0</v>
      </c>
      <c r="Q133" s="941">
        <f t="shared" si="118"/>
        <v>0</v>
      </c>
      <c r="R133" s="1390"/>
      <c r="S133" s="1390"/>
      <c r="T133" s="1390"/>
      <c r="U133" s="1390"/>
      <c r="V133" s="1390"/>
      <c r="W133" s="1390"/>
      <c r="X133" s="1390"/>
      <c r="AA133" s="912" t="s">
        <v>951</v>
      </c>
      <c r="AB133" s="1601">
        <f>IF(S_25!$G$8="NEIN",0,S_25!$AM$20)</f>
        <v>0</v>
      </c>
      <c r="AC133" s="1601">
        <f>IF(S_25!$G$8="NEIN",0,S_25!$AM$21)</f>
        <v>0</v>
      </c>
      <c r="AD133" s="1601">
        <f>IF(S_25!$G$8="NEIN",0,S_25!$AM$22)</f>
        <v>0</v>
      </c>
      <c r="AE133" s="1601">
        <f>IF(S_25!$G$8="NEIN",0,S_25!$AM$23)</f>
        <v>0</v>
      </c>
      <c r="AF133" s="1601">
        <f>IF(S_25!$G$8="NEIN",0,S_25!$AM$24)</f>
        <v>0</v>
      </c>
      <c r="AG133" s="1601">
        <f>IF(S_25!$G$8="NEIN",0,S_25!$AM$25)</f>
        <v>0</v>
      </c>
      <c r="AH133" s="1601">
        <f>IF(S_25!$G$8="NEIN",0,S_25!$AM$26)</f>
        <v>0</v>
      </c>
      <c r="AI133" s="1601">
        <f>IF(S_25!$G$8="NEIN",0,S_25!$AM$27)</f>
        <v>0</v>
      </c>
      <c r="AJ133" s="1601">
        <f>IF(S_25!$G$8="NEIN",0,S_25!$AM$28)</f>
        <v>0</v>
      </c>
      <c r="AK133" s="1601">
        <f>IF(S_25!$G$8="NEIN",0,S_25!$AM$29)</f>
        <v>0</v>
      </c>
      <c r="AL133" s="1601">
        <f>IF(S_25!$G$8="NEIN",0,S_25!$AM$30)</f>
        <v>0</v>
      </c>
      <c r="AM133" s="1601">
        <f>IF(S_25!$G$8="NEIN",0,S_25!$AM$31)</f>
        <v>0</v>
      </c>
      <c r="AN133" s="1390"/>
      <c r="AO133" s="1390"/>
      <c r="AP133" s="1390"/>
      <c r="AQ133" s="1390"/>
      <c r="AR133" s="1390"/>
      <c r="AS133" s="1390"/>
      <c r="AT133" s="1390"/>
      <c r="AW133" s="912" t="s">
        <v>951</v>
      </c>
      <c r="AX133" s="941"/>
      <c r="AY133" s="941"/>
      <c r="AZ133" s="941"/>
      <c r="BA133" s="941"/>
      <c r="BB133" s="941"/>
      <c r="BC133" s="941"/>
      <c r="BD133" s="941"/>
      <c r="BE133" s="941"/>
      <c r="BF133" s="941"/>
      <c r="BG133" s="941"/>
      <c r="BH133" s="941"/>
      <c r="BI133" s="941"/>
      <c r="BJ133" s="1390"/>
      <c r="BK133" s="1390"/>
      <c r="BL133" s="1390"/>
      <c r="BM133" s="1390"/>
      <c r="BN133" s="1390"/>
      <c r="BO133" s="1390"/>
      <c r="BP133" s="1390"/>
    </row>
    <row r="134" spans="5:68" ht="15">
      <c r="E134" s="912" t="s">
        <v>952</v>
      </c>
      <c r="F134" s="941">
        <f t="shared" si="108"/>
        <v>0</v>
      </c>
      <c r="G134" s="941">
        <f t="shared" si="119"/>
        <v>0</v>
      </c>
      <c r="H134" s="941">
        <f t="shared" si="109"/>
        <v>0</v>
      </c>
      <c r="I134" s="941">
        <f t="shared" si="110"/>
        <v>0</v>
      </c>
      <c r="J134" s="941">
        <f t="shared" si="111"/>
        <v>0</v>
      </c>
      <c r="K134" s="941">
        <f t="shared" si="112"/>
        <v>0</v>
      </c>
      <c r="L134" s="941">
        <f t="shared" si="113"/>
        <v>0</v>
      </c>
      <c r="M134" s="941">
        <f t="shared" si="114"/>
        <v>0</v>
      </c>
      <c r="N134" s="941">
        <f t="shared" si="115"/>
        <v>0</v>
      </c>
      <c r="O134" s="941">
        <f t="shared" si="116"/>
        <v>0</v>
      </c>
      <c r="P134" s="941">
        <f t="shared" si="117"/>
        <v>0</v>
      </c>
      <c r="Q134" s="941">
        <f t="shared" si="118"/>
        <v>0</v>
      </c>
      <c r="R134" s="1390"/>
      <c r="S134" s="1390"/>
      <c r="T134" s="1390"/>
      <c r="U134" s="1390"/>
      <c r="V134" s="1390"/>
      <c r="W134" s="1390"/>
      <c r="X134" s="1390"/>
      <c r="AA134" s="912" t="s">
        <v>952</v>
      </c>
      <c r="AB134" s="1601">
        <f>IF(S_26!$G$8="NEIN",0,S_26!$AM$20)</f>
        <v>0</v>
      </c>
      <c r="AC134" s="1601">
        <f>IF(S_26!$G$8="NEIN",0,S_26!$AM$21)</f>
        <v>0</v>
      </c>
      <c r="AD134" s="1601">
        <f>IF(S_26!$G$8="NEIN",0,S_26!$AM$22)</f>
        <v>0</v>
      </c>
      <c r="AE134" s="1601">
        <f>IF(S_26!$G$8="NEIN",0,S_26!$AM$23)</f>
        <v>0</v>
      </c>
      <c r="AF134" s="1601">
        <f>IF(S_26!$G$8="NEIN",0,S_26!$AM$24)</f>
        <v>0</v>
      </c>
      <c r="AG134" s="1601">
        <f>IF(S_26!$G$8="NEIN",0,S_26!$AM$25)</f>
        <v>0</v>
      </c>
      <c r="AH134" s="1601">
        <f>IF(S_26!$G$8="NEIN",0,S_26!$AM$26)</f>
        <v>0</v>
      </c>
      <c r="AI134" s="1601">
        <f>IF(S_26!$G$8="NEIN",0,S_26!$AM$27)</f>
        <v>0</v>
      </c>
      <c r="AJ134" s="1601">
        <f>IF(S_26!$G$8="NEIN",0,S_26!$AM$28)</f>
        <v>0</v>
      </c>
      <c r="AK134" s="1601">
        <f>IF(S_26!$G$8="NEIN",0,S_26!$AM$29)</f>
        <v>0</v>
      </c>
      <c r="AL134" s="1601">
        <f>IF(S_26!$G$8="NEIN",0,S_26!$AM$30)</f>
        <v>0</v>
      </c>
      <c r="AM134" s="1601">
        <f>IF(S_26!$G$8="NEIN",0,S_26!$AM$31)</f>
        <v>0</v>
      </c>
      <c r="AN134" s="1390"/>
      <c r="AO134" s="1390"/>
      <c r="AP134" s="1390"/>
      <c r="AQ134" s="1390"/>
      <c r="AR134" s="1390"/>
      <c r="AS134" s="1390"/>
      <c r="AT134" s="1390"/>
      <c r="AW134" s="912" t="s">
        <v>952</v>
      </c>
      <c r="AX134" s="941"/>
      <c r="AY134" s="941"/>
      <c r="AZ134" s="941"/>
      <c r="BA134" s="941"/>
      <c r="BB134" s="941"/>
      <c r="BC134" s="941"/>
      <c r="BD134" s="941"/>
      <c r="BE134" s="941"/>
      <c r="BF134" s="941"/>
      <c r="BG134" s="941"/>
      <c r="BH134" s="941"/>
      <c r="BI134" s="941"/>
      <c r="BJ134" s="1390"/>
      <c r="BK134" s="1390"/>
      <c r="BL134" s="1390"/>
      <c r="BM134" s="1390"/>
      <c r="BN134" s="1390"/>
      <c r="BO134" s="1390"/>
      <c r="BP134" s="1390"/>
    </row>
    <row r="135" spans="5:68" ht="15">
      <c r="E135" s="912" t="s">
        <v>953</v>
      </c>
      <c r="F135" s="941">
        <f t="shared" si="108"/>
        <v>0</v>
      </c>
      <c r="G135" s="941">
        <f t="shared" si="119"/>
        <v>0</v>
      </c>
      <c r="H135" s="941">
        <f t="shared" si="109"/>
        <v>0</v>
      </c>
      <c r="I135" s="941">
        <f t="shared" si="110"/>
        <v>0</v>
      </c>
      <c r="J135" s="941">
        <f t="shared" si="111"/>
        <v>0</v>
      </c>
      <c r="K135" s="941">
        <f t="shared" si="112"/>
        <v>0</v>
      </c>
      <c r="L135" s="941">
        <f t="shared" si="113"/>
        <v>0</v>
      </c>
      <c r="M135" s="941">
        <f t="shared" si="114"/>
        <v>0</v>
      </c>
      <c r="N135" s="941">
        <f t="shared" si="115"/>
        <v>0</v>
      </c>
      <c r="O135" s="941">
        <f t="shared" si="116"/>
        <v>0</v>
      </c>
      <c r="P135" s="941">
        <f t="shared" si="117"/>
        <v>0</v>
      </c>
      <c r="Q135" s="941">
        <f t="shared" si="118"/>
        <v>0</v>
      </c>
      <c r="R135" s="1390"/>
      <c r="S135" s="1390"/>
      <c r="T135" s="1390"/>
      <c r="U135" s="1390"/>
      <c r="V135" s="1390"/>
      <c r="W135" s="1390"/>
      <c r="X135" s="1390"/>
      <c r="AA135" s="912" t="s">
        <v>953</v>
      </c>
      <c r="AB135" s="1601">
        <f>IF(S_27!$G$8="NEIN",0,S_27!$AM$20)</f>
        <v>0</v>
      </c>
      <c r="AC135" s="1601">
        <f>IF(S_27!$G$8="NEIN",0,S_27!$AM$21)</f>
        <v>0</v>
      </c>
      <c r="AD135" s="1601">
        <f>IF(S_27!$G$8="NEIN",0,S_27!$AM$22)</f>
        <v>0</v>
      </c>
      <c r="AE135" s="1601">
        <f>IF(S_27!$G$8="NEIN",0,S_27!$AM$23)</f>
        <v>0</v>
      </c>
      <c r="AF135" s="1601">
        <f>IF(S_27!$G$8="NEIN",0,S_27!$AM$24)</f>
        <v>0</v>
      </c>
      <c r="AG135" s="1601">
        <f>IF(S_27!$G$8="NEIN",0,S_27!$AM$25)</f>
        <v>0</v>
      </c>
      <c r="AH135" s="1601">
        <f>IF(S_27!$G$8="NEIN",0,S_27!$AM$26)</f>
        <v>0</v>
      </c>
      <c r="AI135" s="1601">
        <f>IF(S_27!$G$8="NEIN",0,S_27!$AM$27)</f>
        <v>0</v>
      </c>
      <c r="AJ135" s="1601">
        <f>IF(S_27!$G$8="NEIN",0,S_27!$AM$28)</f>
        <v>0</v>
      </c>
      <c r="AK135" s="1601">
        <f>IF(S_27!$G$8="NEIN",0,S_27!$AM$29)</f>
        <v>0</v>
      </c>
      <c r="AL135" s="1601">
        <f>IF(S_27!$G$8="NEIN",0,S_27!$AM$30)</f>
        <v>0</v>
      </c>
      <c r="AM135" s="1601">
        <f>IF(S_27!$G$8="NEIN",0,S_27!$AM$31)</f>
        <v>0</v>
      </c>
      <c r="AN135" s="1390"/>
      <c r="AO135" s="1390"/>
      <c r="AP135" s="1390"/>
      <c r="AQ135" s="1390"/>
      <c r="AR135" s="1390"/>
      <c r="AS135" s="1390"/>
      <c r="AT135" s="1390"/>
      <c r="AW135" s="912" t="s">
        <v>953</v>
      </c>
      <c r="AX135" s="941"/>
      <c r="AY135" s="941"/>
      <c r="AZ135" s="941"/>
      <c r="BA135" s="941"/>
      <c r="BB135" s="941"/>
      <c r="BC135" s="941"/>
      <c r="BD135" s="941"/>
      <c r="BE135" s="941"/>
      <c r="BF135" s="941"/>
      <c r="BG135" s="941"/>
      <c r="BH135" s="941"/>
      <c r="BI135" s="941"/>
      <c r="BJ135" s="1390"/>
      <c r="BK135" s="1390"/>
      <c r="BL135" s="1390"/>
      <c r="BM135" s="1390"/>
      <c r="BN135" s="1390"/>
      <c r="BO135" s="1390"/>
      <c r="BP135" s="1390"/>
    </row>
    <row r="136" spans="5:68" ht="15">
      <c r="E136" s="912" t="s">
        <v>954</v>
      </c>
      <c r="F136" s="941">
        <f t="shared" si="108"/>
        <v>0</v>
      </c>
      <c r="G136" s="941">
        <f t="shared" si="119"/>
        <v>0</v>
      </c>
      <c r="H136" s="941">
        <f t="shared" si="109"/>
        <v>0</v>
      </c>
      <c r="I136" s="941">
        <f t="shared" si="110"/>
        <v>0</v>
      </c>
      <c r="J136" s="941">
        <f t="shared" si="111"/>
        <v>0</v>
      </c>
      <c r="K136" s="941">
        <f t="shared" si="112"/>
        <v>0</v>
      </c>
      <c r="L136" s="941">
        <f t="shared" si="113"/>
        <v>0</v>
      </c>
      <c r="M136" s="941">
        <f t="shared" si="114"/>
        <v>0</v>
      </c>
      <c r="N136" s="941">
        <f t="shared" si="115"/>
        <v>0</v>
      </c>
      <c r="O136" s="941">
        <f t="shared" si="116"/>
        <v>0</v>
      </c>
      <c r="P136" s="941">
        <f t="shared" si="117"/>
        <v>0</v>
      </c>
      <c r="Q136" s="941">
        <f t="shared" si="118"/>
        <v>0</v>
      </c>
      <c r="R136" s="1390"/>
      <c r="S136" s="1390"/>
      <c r="T136" s="1390"/>
      <c r="U136" s="1390"/>
      <c r="V136" s="1390"/>
      <c r="W136" s="1390"/>
      <c r="X136" s="1390"/>
      <c r="AA136" s="912" t="s">
        <v>954</v>
      </c>
      <c r="AB136" s="1601">
        <f>IF(S_28!$G$8="NEIN",0,S_28!$AM$20)</f>
        <v>0</v>
      </c>
      <c r="AC136" s="1601">
        <f>IF(S_28!$G$8="NEIN",0,S_28!$AM$21)</f>
        <v>0</v>
      </c>
      <c r="AD136" s="1601">
        <f>IF(S_28!$G$8="NEIN",0,S_28!$AM$22)</f>
        <v>0</v>
      </c>
      <c r="AE136" s="1601">
        <f>IF(S_28!$G$8="NEIN",0,S_28!$AM$23)</f>
        <v>0</v>
      </c>
      <c r="AF136" s="1601">
        <f>IF(S_28!$G$8="NEIN",0,S_28!$AM$24)</f>
        <v>0</v>
      </c>
      <c r="AG136" s="1601">
        <f>IF(S_28!$G$8="NEIN",0,S_28!$AM$25)</f>
        <v>0</v>
      </c>
      <c r="AH136" s="1601">
        <f>IF(S_28!$G$8="NEIN",0,S_28!$AM$26)</f>
        <v>0</v>
      </c>
      <c r="AI136" s="1601">
        <f>IF(S_28!$G$8="NEIN",0,S_28!$AM$27)</f>
        <v>0</v>
      </c>
      <c r="AJ136" s="1601">
        <f>IF(S_28!$G$8="NEIN",0,S_28!$AM$28)</f>
        <v>0</v>
      </c>
      <c r="AK136" s="1601">
        <f>IF(S_28!$G$8="NEIN",0,S_28!$AM$29)</f>
        <v>0</v>
      </c>
      <c r="AL136" s="1601">
        <f>IF(S_28!$G$8="NEIN",0,S_28!$AM$30)</f>
        <v>0</v>
      </c>
      <c r="AM136" s="1601">
        <f>IF(S_28!$G$8="NEIN",0,S_28!$AM$31)</f>
        <v>0</v>
      </c>
      <c r="AN136" s="1390"/>
      <c r="AO136" s="1390"/>
      <c r="AP136" s="1390"/>
      <c r="AQ136" s="1390"/>
      <c r="AR136" s="1390"/>
      <c r="AS136" s="1390"/>
      <c r="AT136" s="1390"/>
      <c r="AW136" s="912" t="s">
        <v>954</v>
      </c>
      <c r="AX136" s="941"/>
      <c r="AY136" s="941"/>
      <c r="AZ136" s="941"/>
      <c r="BA136" s="941"/>
      <c r="BB136" s="941"/>
      <c r="BC136" s="941"/>
      <c r="BD136" s="941"/>
      <c r="BE136" s="941"/>
      <c r="BF136" s="941"/>
      <c r="BG136" s="941"/>
      <c r="BH136" s="941"/>
      <c r="BI136" s="941"/>
      <c r="BJ136" s="1390"/>
      <c r="BK136" s="1390"/>
      <c r="BL136" s="1390"/>
      <c r="BM136" s="1390"/>
      <c r="BN136" s="1390"/>
      <c r="BO136" s="1390"/>
      <c r="BP136" s="1390"/>
    </row>
    <row r="137" spans="5:68" ht="15">
      <c r="E137" s="912" t="s">
        <v>955</v>
      </c>
      <c r="F137" s="941">
        <f t="shared" si="108"/>
        <v>0</v>
      </c>
      <c r="G137" s="941">
        <f t="shared" si="119"/>
        <v>0</v>
      </c>
      <c r="H137" s="941">
        <f t="shared" si="109"/>
        <v>0</v>
      </c>
      <c r="I137" s="941">
        <f t="shared" si="110"/>
        <v>0</v>
      </c>
      <c r="J137" s="941">
        <f t="shared" si="111"/>
        <v>0</v>
      </c>
      <c r="K137" s="941">
        <f t="shared" si="112"/>
        <v>0</v>
      </c>
      <c r="L137" s="941">
        <f t="shared" si="113"/>
        <v>0</v>
      </c>
      <c r="M137" s="941">
        <f t="shared" si="114"/>
        <v>0</v>
      </c>
      <c r="N137" s="941">
        <f t="shared" si="115"/>
        <v>0</v>
      </c>
      <c r="O137" s="941">
        <f t="shared" si="116"/>
        <v>0</v>
      </c>
      <c r="P137" s="941">
        <f t="shared" si="117"/>
        <v>0</v>
      </c>
      <c r="Q137" s="941">
        <f t="shared" si="118"/>
        <v>0</v>
      </c>
      <c r="R137" s="1390"/>
      <c r="S137" s="1390"/>
      <c r="T137" s="1390"/>
      <c r="U137" s="1390"/>
      <c r="V137" s="1390"/>
      <c r="W137" s="1390"/>
      <c r="X137" s="1390"/>
      <c r="AA137" s="912" t="s">
        <v>955</v>
      </c>
      <c r="AB137" s="1601">
        <f>IF(S_29!$G$8="NEIN",0,S_29!$AM$20)</f>
        <v>0</v>
      </c>
      <c r="AC137" s="1601">
        <f>IF(S_29!$G$8="NEIN",0,S_29!$AM$21)</f>
        <v>0</v>
      </c>
      <c r="AD137" s="1601">
        <f>IF(S_29!$G$8="NEIN",0,S_29!$AM$22)</f>
        <v>0</v>
      </c>
      <c r="AE137" s="1601">
        <f>IF(S_29!$G$8="NEIN",0,S_29!$AM$23)</f>
        <v>0</v>
      </c>
      <c r="AF137" s="1601">
        <f>IF(S_29!$G$8="NEIN",0,S_29!$AM$24)</f>
        <v>0</v>
      </c>
      <c r="AG137" s="1601">
        <f>IF(S_29!$G$8="NEIN",0,S_29!$AM$25)</f>
        <v>0</v>
      </c>
      <c r="AH137" s="1601">
        <f>IF(S_29!$G$8="NEIN",0,S_29!$AM$26)</f>
        <v>0</v>
      </c>
      <c r="AI137" s="1601">
        <f>IF(S_29!$G$8="NEIN",0,S_29!$AM$27)</f>
        <v>0</v>
      </c>
      <c r="AJ137" s="1601">
        <f>IF(S_29!$G$8="NEIN",0,S_29!$AM$28)</f>
        <v>0</v>
      </c>
      <c r="AK137" s="1601">
        <f>IF(S_29!$G$8="NEIN",0,S_29!$AM$29)</f>
        <v>0</v>
      </c>
      <c r="AL137" s="1601">
        <f>IF(S_29!$G$8="NEIN",0,S_29!$AM$30)</f>
        <v>0</v>
      </c>
      <c r="AM137" s="1601">
        <f>IF(S_29!$G$8="NEIN",0,S_29!$AM$31)</f>
        <v>0</v>
      </c>
      <c r="AN137" s="1390"/>
      <c r="AO137" s="1390"/>
      <c r="AP137" s="1390"/>
      <c r="AQ137" s="1390"/>
      <c r="AR137" s="1390"/>
      <c r="AS137" s="1390"/>
      <c r="AT137" s="1390"/>
      <c r="AW137" s="912" t="s">
        <v>955</v>
      </c>
      <c r="AX137" s="941"/>
      <c r="AY137" s="941"/>
      <c r="AZ137" s="941"/>
      <c r="BA137" s="941"/>
      <c r="BB137" s="941"/>
      <c r="BC137" s="941"/>
      <c r="BD137" s="941"/>
      <c r="BE137" s="941"/>
      <c r="BF137" s="941"/>
      <c r="BG137" s="941"/>
      <c r="BH137" s="941"/>
      <c r="BI137" s="941"/>
      <c r="BJ137" s="1390"/>
      <c r="BK137" s="1390"/>
      <c r="BL137" s="1390"/>
      <c r="BM137" s="1390"/>
      <c r="BN137" s="1390"/>
      <c r="BO137" s="1390"/>
      <c r="BP137" s="1390"/>
    </row>
    <row r="138" spans="5:68" ht="15">
      <c r="E138" s="944" t="s">
        <v>956</v>
      </c>
      <c r="F138" s="941">
        <f t="shared" si="108"/>
        <v>0</v>
      </c>
      <c r="G138" s="941">
        <f t="shared" si="119"/>
        <v>0</v>
      </c>
      <c r="H138" s="941">
        <f t="shared" si="109"/>
        <v>0</v>
      </c>
      <c r="I138" s="941">
        <f t="shared" si="110"/>
        <v>0</v>
      </c>
      <c r="J138" s="941">
        <f t="shared" si="111"/>
        <v>0</v>
      </c>
      <c r="K138" s="941">
        <f t="shared" si="112"/>
        <v>0</v>
      </c>
      <c r="L138" s="941">
        <f t="shared" si="113"/>
        <v>0</v>
      </c>
      <c r="M138" s="941">
        <f t="shared" si="114"/>
        <v>0</v>
      </c>
      <c r="N138" s="941">
        <f t="shared" si="115"/>
        <v>0</v>
      </c>
      <c r="O138" s="941">
        <f t="shared" si="116"/>
        <v>0</v>
      </c>
      <c r="P138" s="941">
        <f t="shared" si="117"/>
        <v>0</v>
      </c>
      <c r="Q138" s="941">
        <f t="shared" si="118"/>
        <v>0</v>
      </c>
      <c r="R138" s="1390"/>
      <c r="S138" s="1390"/>
      <c r="T138" s="1390"/>
      <c r="U138" s="1390"/>
      <c r="V138" s="1390"/>
      <c r="W138" s="1390"/>
      <c r="X138" s="1390"/>
      <c r="AA138" s="944" t="s">
        <v>956</v>
      </c>
      <c r="AB138" s="1601">
        <f>IF(S_30!$G$8="NEIN",0,S_30!$AM$20)</f>
        <v>0</v>
      </c>
      <c r="AC138" s="1601">
        <f>IF(S_30!$G$8="NEIN",0,S_30!$AM$21)</f>
        <v>0</v>
      </c>
      <c r="AD138" s="1601">
        <f>IF(S_30!$G$8="NEIN",0,S_30!$AM$22)</f>
        <v>0</v>
      </c>
      <c r="AE138" s="1601">
        <f>IF(S_30!$G$8="NEIN",0,S_30!$AM$23)</f>
        <v>0</v>
      </c>
      <c r="AF138" s="1601">
        <f>IF(S_30!$G$8="NEIN",0,S_30!$AM$24)</f>
        <v>0</v>
      </c>
      <c r="AG138" s="1601">
        <f>IF(S_30!$G$8="NEIN",0,S_30!$AM$25)</f>
        <v>0</v>
      </c>
      <c r="AH138" s="1601">
        <f>IF(S_30!$G$8="NEIN",0,S_30!$AM$26)</f>
        <v>0</v>
      </c>
      <c r="AI138" s="1601">
        <f>IF(S_30!$G$8="NEIN",0,S_30!$AM$27)</f>
        <v>0</v>
      </c>
      <c r="AJ138" s="1601">
        <f>IF(S_30!$G$8="NEIN",0,S_30!$AM$28)</f>
        <v>0</v>
      </c>
      <c r="AK138" s="1601">
        <f>IF(S_30!$G$8="NEIN",0,S_30!$AM$29)</f>
        <v>0</v>
      </c>
      <c r="AL138" s="1601">
        <f>IF(S_30!$G$8="NEIN",0,S_30!$AM$30)</f>
        <v>0</v>
      </c>
      <c r="AM138" s="1601">
        <f>IF(S_30!$G$8="NEIN",0,S_30!$AM$31)</f>
        <v>0</v>
      </c>
      <c r="AN138" s="1390"/>
      <c r="AO138" s="1390"/>
      <c r="AP138" s="1390"/>
      <c r="AQ138" s="1390"/>
      <c r="AR138" s="1390"/>
      <c r="AS138" s="1390"/>
      <c r="AT138" s="1390"/>
      <c r="AW138" s="944" t="s">
        <v>956</v>
      </c>
      <c r="AX138" s="941"/>
      <c r="AY138" s="941"/>
      <c r="AZ138" s="941"/>
      <c r="BA138" s="941"/>
      <c r="BB138" s="941"/>
      <c r="BC138" s="941"/>
      <c r="BD138" s="941"/>
      <c r="BE138" s="941"/>
      <c r="BF138" s="941"/>
      <c r="BG138" s="941"/>
      <c r="BH138" s="941"/>
      <c r="BI138" s="941"/>
      <c r="BJ138" s="1390"/>
      <c r="BK138" s="1390"/>
      <c r="BL138" s="1390"/>
      <c r="BM138" s="1390"/>
      <c r="BN138" s="1390"/>
      <c r="BO138" s="1390"/>
      <c r="BP138" s="1390"/>
    </row>
    <row r="139" spans="5:68" ht="15">
      <c r="E139" s="945" t="s">
        <v>212</v>
      </c>
      <c r="F139" s="946">
        <f>SUM(F109:F138)</f>
        <v>0</v>
      </c>
      <c r="G139" s="946">
        <f t="shared" ref="G139:Q139" si="120">SUM(G109:G138)</f>
        <v>0</v>
      </c>
      <c r="H139" s="946">
        <f t="shared" si="120"/>
        <v>0</v>
      </c>
      <c r="I139" s="946">
        <f t="shared" si="120"/>
        <v>0</v>
      </c>
      <c r="J139" s="946">
        <f t="shared" si="120"/>
        <v>0</v>
      </c>
      <c r="K139" s="946">
        <f t="shared" si="120"/>
        <v>0</v>
      </c>
      <c r="L139" s="946">
        <f t="shared" si="120"/>
        <v>0</v>
      </c>
      <c r="M139" s="946">
        <f t="shared" si="120"/>
        <v>0</v>
      </c>
      <c r="N139" s="946">
        <f t="shared" si="120"/>
        <v>0</v>
      </c>
      <c r="O139" s="946">
        <f t="shared" si="120"/>
        <v>0</v>
      </c>
      <c r="P139" s="946">
        <f t="shared" si="120"/>
        <v>0</v>
      </c>
      <c r="Q139" s="946">
        <f t="shared" si="120"/>
        <v>0</v>
      </c>
      <c r="R139" s="1391"/>
      <c r="S139" s="1391"/>
      <c r="T139" s="1391"/>
      <c r="U139" s="1391"/>
      <c r="V139" s="1391"/>
      <c r="W139" s="1391"/>
      <c r="X139" s="1391"/>
      <c r="AA139" s="945" t="s">
        <v>212</v>
      </c>
      <c r="AB139" s="946">
        <f>SUM(AB109:AB138)</f>
        <v>0</v>
      </c>
      <c r="AC139" s="946">
        <f t="shared" ref="AC139:AM139" si="121">SUM(AC109:AC138)</f>
        <v>0</v>
      </c>
      <c r="AD139" s="946">
        <f t="shared" si="121"/>
        <v>0</v>
      </c>
      <c r="AE139" s="946">
        <f t="shared" si="121"/>
        <v>0</v>
      </c>
      <c r="AF139" s="946">
        <f t="shared" si="121"/>
        <v>0</v>
      </c>
      <c r="AG139" s="946">
        <f t="shared" si="121"/>
        <v>0</v>
      </c>
      <c r="AH139" s="946">
        <f t="shared" si="121"/>
        <v>0</v>
      </c>
      <c r="AI139" s="946">
        <f t="shared" si="121"/>
        <v>0</v>
      </c>
      <c r="AJ139" s="946">
        <f t="shared" si="121"/>
        <v>0</v>
      </c>
      <c r="AK139" s="946">
        <f t="shared" si="121"/>
        <v>0</v>
      </c>
      <c r="AL139" s="946">
        <f t="shared" si="121"/>
        <v>0</v>
      </c>
      <c r="AM139" s="946">
        <f t="shared" si="121"/>
        <v>0</v>
      </c>
      <c r="AN139" s="1391"/>
      <c r="AO139" s="1391"/>
      <c r="AP139" s="1391"/>
      <c r="AQ139" s="1391"/>
      <c r="AR139" s="1391"/>
      <c r="AS139" s="1391"/>
      <c r="AT139" s="1391"/>
      <c r="AW139" s="945" t="s">
        <v>212</v>
      </c>
      <c r="AX139" s="946">
        <f t="shared" ref="AX139:BI139" si="122">SUM(AX109:AX138)</f>
        <v>0</v>
      </c>
      <c r="AY139" s="946">
        <f t="shared" si="122"/>
        <v>0</v>
      </c>
      <c r="AZ139" s="946">
        <f t="shared" si="122"/>
        <v>0</v>
      </c>
      <c r="BA139" s="946">
        <f t="shared" si="122"/>
        <v>0</v>
      </c>
      <c r="BB139" s="946">
        <f t="shared" si="122"/>
        <v>0</v>
      </c>
      <c r="BC139" s="946">
        <f t="shared" si="122"/>
        <v>0</v>
      </c>
      <c r="BD139" s="946">
        <f t="shared" si="122"/>
        <v>0</v>
      </c>
      <c r="BE139" s="946">
        <f t="shared" si="122"/>
        <v>0</v>
      </c>
      <c r="BF139" s="946">
        <f t="shared" si="122"/>
        <v>0</v>
      </c>
      <c r="BG139" s="946">
        <f t="shared" si="122"/>
        <v>0</v>
      </c>
      <c r="BH139" s="946">
        <f t="shared" si="122"/>
        <v>0</v>
      </c>
      <c r="BI139" s="946">
        <f t="shared" si="122"/>
        <v>0</v>
      </c>
      <c r="BJ139" s="1391"/>
      <c r="BK139" s="1391"/>
      <c r="BL139" s="1391"/>
      <c r="BM139" s="1391"/>
      <c r="BN139" s="1391"/>
      <c r="BO139" s="1391"/>
      <c r="BP139" s="1391"/>
    </row>
    <row r="140" spans="5:68" ht="13.5" thickBot="1">
      <c r="E140" s="962"/>
      <c r="F140" s="963">
        <f>AB139</f>
        <v>0</v>
      </c>
      <c r="G140" s="963">
        <f t="shared" ref="G140:Q140" si="123">AC139</f>
        <v>0</v>
      </c>
      <c r="H140" s="963">
        <f t="shared" si="123"/>
        <v>0</v>
      </c>
      <c r="I140" s="963">
        <f>AE139</f>
        <v>0</v>
      </c>
      <c r="J140" s="963">
        <f t="shared" si="123"/>
        <v>0</v>
      </c>
      <c r="K140" s="963">
        <f t="shared" si="123"/>
        <v>0</v>
      </c>
      <c r="L140" s="963">
        <f t="shared" si="123"/>
        <v>0</v>
      </c>
      <c r="M140" s="963">
        <f t="shared" si="123"/>
        <v>0</v>
      </c>
      <c r="N140" s="963">
        <f t="shared" si="123"/>
        <v>0</v>
      </c>
      <c r="O140" s="963">
        <f t="shared" si="123"/>
        <v>0</v>
      </c>
      <c r="P140" s="963">
        <f t="shared" si="123"/>
        <v>0</v>
      </c>
      <c r="Q140" s="963">
        <f t="shared" si="123"/>
        <v>0</v>
      </c>
      <c r="R140" s="1392"/>
      <c r="S140" s="1392"/>
      <c r="T140" s="1392"/>
      <c r="U140" s="1392"/>
      <c r="V140" s="1392"/>
      <c r="W140" s="1392"/>
      <c r="X140" s="1392"/>
    </row>
    <row r="141" spans="5:68" ht="26.25" thickBot="1">
      <c r="E141" s="964" t="s">
        <v>992</v>
      </c>
      <c r="F141" s="965">
        <f>F139+F140</f>
        <v>0</v>
      </c>
      <c r="G141" s="965">
        <f t="shared" ref="G141:Q141" si="124">G139+G140</f>
        <v>0</v>
      </c>
      <c r="H141" s="965">
        <f t="shared" si="124"/>
        <v>0</v>
      </c>
      <c r="I141" s="965">
        <f>I139+I140</f>
        <v>0</v>
      </c>
      <c r="J141" s="965">
        <f t="shared" si="124"/>
        <v>0</v>
      </c>
      <c r="K141" s="965">
        <f t="shared" si="124"/>
        <v>0</v>
      </c>
      <c r="L141" s="965">
        <f t="shared" si="124"/>
        <v>0</v>
      </c>
      <c r="M141" s="965">
        <f t="shared" si="124"/>
        <v>0</v>
      </c>
      <c r="N141" s="965">
        <f t="shared" si="124"/>
        <v>0</v>
      </c>
      <c r="O141" s="965">
        <f t="shared" si="124"/>
        <v>0</v>
      </c>
      <c r="P141" s="965">
        <f t="shared" si="124"/>
        <v>0</v>
      </c>
      <c r="Q141" s="965">
        <f t="shared" si="124"/>
        <v>0</v>
      </c>
      <c r="R141" s="1393"/>
      <c r="S141" s="1393"/>
      <c r="T141" s="1393"/>
      <c r="U141" s="1393"/>
      <c r="V141" s="1393"/>
      <c r="W141" s="1393"/>
      <c r="X141" s="1393"/>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Z109"/>
  <sheetViews>
    <sheetView zoomScaleNormal="100" workbookViewId="0">
      <selection activeCell="C2" sqref="C2:P2"/>
    </sheetView>
  </sheetViews>
  <sheetFormatPr baseColWidth="10" defaultRowHeight="12.75"/>
  <cols>
    <col min="1" max="1" width="1" style="747" customWidth="1"/>
    <col min="2" max="2" width="0.140625" style="747" customWidth="1"/>
    <col min="3" max="3" width="3.5703125" style="1796" customWidth="1"/>
    <col min="4" max="4" width="13" style="747" customWidth="1"/>
    <col min="5" max="5" width="4.5703125" style="1796" customWidth="1"/>
    <col min="6" max="6" width="37" style="1796" customWidth="1"/>
    <col min="7" max="7" width="19.42578125" style="16" customWidth="1"/>
    <col min="8" max="8" width="3" style="747" customWidth="1"/>
    <col min="9" max="9" width="16.140625" style="1612" customWidth="1"/>
    <col min="10" max="10" width="2.42578125" style="747" customWidth="1"/>
    <col min="11" max="11" width="8.28515625" style="244" customWidth="1"/>
    <col min="12" max="12" width="1" style="244" hidden="1" customWidth="1"/>
    <col min="13" max="13" width="3.140625" style="1796" customWidth="1"/>
    <col min="14" max="14" width="11" style="1612" customWidth="1"/>
    <col min="15" max="15" width="2.42578125" style="1796" customWidth="1"/>
    <col min="16" max="16" width="8.7109375" style="244" customWidth="1"/>
    <col min="17" max="17" width="8.7109375" style="747" customWidth="1"/>
    <col min="18" max="18" width="25.5703125" style="747" customWidth="1"/>
    <col min="19" max="19" width="45.5703125" style="747" customWidth="1"/>
    <col min="20" max="20" width="29.85546875" style="747" customWidth="1"/>
    <col min="21" max="21" width="7.140625" style="747" hidden="1" customWidth="1"/>
    <col min="22" max="22" width="16.7109375" style="747" hidden="1" customWidth="1"/>
    <col min="23" max="23" width="9.5703125" style="747" hidden="1" customWidth="1"/>
    <col min="24" max="24" width="8" style="1608" hidden="1" customWidth="1"/>
    <col min="25" max="25" width="5.5703125" style="747" hidden="1" customWidth="1"/>
    <col min="26" max="26" width="11.7109375" style="747" hidden="1" customWidth="1"/>
    <col min="27" max="27" width="13.28515625" style="747" hidden="1" customWidth="1"/>
    <col min="28" max="29" width="16.28515625" style="747" hidden="1" customWidth="1"/>
    <col min="30" max="30" width="11.85546875" style="747" hidden="1" customWidth="1"/>
    <col min="31" max="31" width="4.85546875" style="747" hidden="1" customWidth="1"/>
    <col min="32" max="32" width="11.85546875" style="747" hidden="1" customWidth="1"/>
    <col min="33" max="33" width="4.85546875" style="747" hidden="1" customWidth="1"/>
    <col min="34" max="34" width="11.85546875" style="747" hidden="1" customWidth="1"/>
    <col min="35" max="35" width="4.85546875" style="747" hidden="1" customWidth="1"/>
    <col min="36" max="36" width="11.85546875" style="747" hidden="1" customWidth="1"/>
    <col min="37" max="37" width="4.85546875" style="747" hidden="1" customWidth="1"/>
    <col min="38" max="38" width="11.85546875" style="747" hidden="1" customWidth="1"/>
    <col min="39" max="39" width="4.85546875" style="747" hidden="1" customWidth="1"/>
    <col min="40" max="40" width="11.85546875" style="747" hidden="1" customWidth="1"/>
    <col min="41" max="41" width="4.85546875" style="747" hidden="1" customWidth="1"/>
    <col min="42" max="42" width="3.28515625" style="747" hidden="1" customWidth="1"/>
    <col min="43" max="48" width="5.140625" style="747" hidden="1" customWidth="1"/>
    <col min="49" max="51" width="5" style="747" hidden="1" customWidth="1"/>
    <col min="52" max="52" width="12.28515625" style="747" hidden="1" customWidth="1"/>
    <col min="53" max="53" width="3.140625" style="1796" hidden="1" customWidth="1"/>
    <col min="54" max="54" width="11.140625" style="747" hidden="1" customWidth="1"/>
    <col min="55" max="61" width="5" style="747" hidden="1" customWidth="1"/>
    <col min="62" max="62" width="12.28515625" style="747" hidden="1" customWidth="1"/>
    <col min="63" max="63" width="5" style="1796" hidden="1" customWidth="1"/>
    <col min="64" max="64" width="9.28515625" style="747" hidden="1" customWidth="1"/>
    <col min="65" max="65" width="4" style="747" hidden="1" customWidth="1"/>
    <col min="66" max="67" width="9.5703125" style="747" hidden="1" customWidth="1"/>
    <col min="68" max="69" width="11.42578125" style="747" hidden="1" customWidth="1"/>
    <col min="70" max="70" width="12.5703125" style="747" hidden="1" customWidth="1"/>
    <col min="71" max="73" width="11.42578125" style="747" hidden="1" customWidth="1"/>
    <col min="74" max="74" width="6.5703125" style="747" hidden="1" customWidth="1"/>
    <col min="75" max="78" width="11.42578125" style="747" hidden="1" customWidth="1"/>
    <col min="79" max="16384" width="11.42578125" style="747"/>
  </cols>
  <sheetData>
    <row r="1" spans="1:77" ht="11.25" customHeight="1" thickBot="1">
      <c r="A1" s="1775"/>
      <c r="B1" s="1775"/>
      <c r="C1" s="1776"/>
      <c r="D1" s="1775"/>
      <c r="E1" s="1776"/>
      <c r="F1" s="1776"/>
      <c r="G1" s="1777"/>
      <c r="H1" s="1775"/>
      <c r="I1" s="1778"/>
      <c r="J1" s="1775"/>
      <c r="K1" s="1779"/>
      <c r="L1" s="1779"/>
      <c r="M1" s="1776"/>
      <c r="N1" s="1778"/>
      <c r="O1" s="1776"/>
      <c r="P1" s="1779"/>
      <c r="Q1" s="1775"/>
      <c r="R1" s="1775"/>
      <c r="S1" s="1775"/>
      <c r="T1" s="1775"/>
    </row>
    <row r="2" spans="1:77" ht="22.5" customHeight="1" thickBot="1">
      <c r="A2" s="1775"/>
      <c r="C2" s="2601" t="s">
        <v>1425</v>
      </c>
      <c r="D2" s="2602"/>
      <c r="E2" s="2602"/>
      <c r="F2" s="2602"/>
      <c r="G2" s="2602"/>
      <c r="H2" s="2602"/>
      <c r="I2" s="2602"/>
      <c r="J2" s="2602"/>
      <c r="K2" s="2602"/>
      <c r="L2" s="2602"/>
      <c r="M2" s="2602"/>
      <c r="N2" s="2602"/>
      <c r="O2" s="2602"/>
      <c r="P2" s="2603"/>
      <c r="Q2" s="1775"/>
      <c r="R2" s="1775"/>
      <c r="S2" s="1775"/>
      <c r="T2" s="1775"/>
      <c r="AQ2" s="2571" t="s">
        <v>1414</v>
      </c>
      <c r="AR2" s="2571"/>
      <c r="AS2" s="2571"/>
      <c r="AT2" s="2571"/>
      <c r="AU2" s="2571"/>
      <c r="AV2" s="2571"/>
      <c r="AW2" s="2571"/>
      <c r="AX2" s="2571"/>
      <c r="AY2" s="2571"/>
      <c r="AZ2" s="2571"/>
      <c r="BA2" s="2571"/>
      <c r="BB2" s="2571"/>
      <c r="BC2" s="2571" t="s">
        <v>1415</v>
      </c>
      <c r="BD2" s="2571"/>
      <c r="BE2" s="2571"/>
      <c r="BF2" s="2571"/>
      <c r="BG2" s="2571"/>
      <c r="BH2" s="2571"/>
      <c r="BI2" s="2571"/>
      <c r="BJ2" s="2571"/>
      <c r="BK2" s="2571"/>
      <c r="BL2" s="2571"/>
      <c r="BM2" s="18"/>
      <c r="BN2" s="2569" t="s">
        <v>1413</v>
      </c>
      <c r="BO2" s="2569"/>
      <c r="BP2" s="2569" t="s">
        <v>1416</v>
      </c>
      <c r="BQ2" s="2569"/>
      <c r="BR2" s="2569" t="s">
        <v>1419</v>
      </c>
      <c r="BS2" s="2569"/>
      <c r="BT2" s="2569"/>
      <c r="BU2" s="2569"/>
      <c r="BV2" s="2571" t="s">
        <v>1428</v>
      </c>
      <c r="BW2" s="2571"/>
      <c r="BX2" s="2571"/>
      <c r="BY2" s="2571"/>
    </row>
    <row r="3" spans="1:77" ht="20.25" customHeight="1" thickBot="1">
      <c r="A3" s="1775"/>
      <c r="C3" s="2580" t="s">
        <v>1424</v>
      </c>
      <c r="D3" s="2581"/>
      <c r="E3" s="1795" t="s">
        <v>10</v>
      </c>
      <c r="F3" s="1758" t="s">
        <v>1422</v>
      </c>
      <c r="G3" s="1643" t="s">
        <v>1423</v>
      </c>
      <c r="H3" s="2598" t="s">
        <v>1421</v>
      </c>
      <c r="I3" s="2599"/>
      <c r="J3" s="2599"/>
      <c r="K3" s="2599"/>
      <c r="L3" s="1644"/>
      <c r="M3" s="2598" t="s">
        <v>1420</v>
      </c>
      <c r="N3" s="2599"/>
      <c r="O3" s="2599"/>
      <c r="P3" s="2600"/>
      <c r="Q3" s="1775"/>
      <c r="R3" s="1775"/>
      <c r="S3" s="1775"/>
      <c r="T3" s="1775"/>
      <c r="AQ3" s="2571"/>
      <c r="AR3" s="2571"/>
      <c r="AS3" s="2571"/>
      <c r="AT3" s="2571"/>
      <c r="AU3" s="2571"/>
      <c r="AV3" s="2571"/>
      <c r="AW3" s="2571"/>
      <c r="AX3" s="2571"/>
      <c r="AY3" s="2571"/>
      <c r="AZ3" s="2571"/>
      <c r="BA3" s="2571"/>
      <c r="BB3" s="2571"/>
      <c r="BC3" s="2571"/>
      <c r="BD3" s="2571"/>
      <c r="BE3" s="2571"/>
      <c r="BF3" s="2571"/>
      <c r="BG3" s="2571"/>
      <c r="BH3" s="2571"/>
      <c r="BI3" s="2571"/>
      <c r="BJ3" s="2571"/>
      <c r="BK3" s="2571"/>
      <c r="BL3" s="2571"/>
      <c r="BM3" s="18"/>
      <c r="BN3" s="1796" t="s">
        <v>1411</v>
      </c>
      <c r="BO3" s="1796" t="s">
        <v>1412</v>
      </c>
      <c r="BP3" s="1796" t="s">
        <v>1411</v>
      </c>
      <c r="BQ3" s="1796" t="s">
        <v>1412</v>
      </c>
      <c r="BR3" s="1609" t="s">
        <v>1417</v>
      </c>
      <c r="BS3" s="1609" t="s">
        <v>1418</v>
      </c>
      <c r="BT3" s="1796" t="s">
        <v>1417</v>
      </c>
      <c r="BU3" s="1796" t="s">
        <v>1418</v>
      </c>
      <c r="BV3" s="2571"/>
      <c r="BW3" s="2571"/>
      <c r="BX3" s="2571"/>
      <c r="BY3" s="2571"/>
    </row>
    <row r="4" spans="1:77" ht="20.25" customHeight="1">
      <c r="A4" s="1775"/>
      <c r="C4" s="1730" t="str">
        <f t="array" ref="C4">IFERROR(IF(ROW($C$1)&gt;COUNTA($Y$4:$Y$33),"",INDEX($Y:$Y,SMALL(IF(Y$4:Y$33&lt;&gt;"",ROW($4:$33)),ROW(C1)))),"")</f>
        <v/>
      </c>
      <c r="D4" s="1731" t="str">
        <f t="array" ref="D4">IFERROR(IF(ROW($D$1)&gt;COUNTA($V$4:$V$33),"",INDEX($V:$V,SMALL(IF(V$4:V$33&lt;&gt;"",ROW($4:$33)),ROW(B1)))),"")</f>
        <v/>
      </c>
      <c r="E4" s="1732" t="str">
        <f t="array" ref="E4">IFERROR(IF(ROW($E$1)&gt;COUNTA($W$4:$W$33),"",INDEX($W:$W,SMALL(IF(W$4:W$33&lt;&gt;"",ROW($4:$33)),ROW(C1)))),"")</f>
        <v/>
      </c>
      <c r="F4" s="1726" t="str">
        <f t="array" ref="F4">IFERROR(IF(ROW($F$1)&gt;COUNTA($AA$4:$AA$33),"",INDEX($AA:$AA,SMALL(IF(AA$4:AA$33&lt;&gt;"",ROW($4:$33)),ROW(D1)))),"")</f>
        <v/>
      </c>
      <c r="G4" s="1635" t="str">
        <f t="array" ref="G4">IFERROR(IF(ROW($G$1)&gt;COUNTA($AC$4:$AC$33),"",INDEX($AC:$AC,SMALL(IF(AC$4:AC$33&lt;&gt;"",ROW($4:$33)),ROW(E1)))),"")</f>
        <v/>
      </c>
      <c r="H4" s="1631" t="str">
        <f t="array" ref="H4">IFERROR(IF(ROW($H$1)&gt;COUNTA($BT$4:$BT$33),"",INDEX($BT:$BT,SMALL(IF(BT$4:BT$33&lt;&gt;"",ROW($4:$33)),ROW(F1)))),"")</f>
        <v/>
      </c>
      <c r="I4" s="1620" t="str">
        <f t="array" ref="I4">IFERROR(IF(ROW($I$1)&gt;COUNTA($AZ$4:$AZ$33),"",INDEX($AZ:$AZ,SMALL(IF(AZ$4:AZ$33&lt;&gt;"",ROW($4:$33)),ROW(G1)))),"")</f>
        <v/>
      </c>
      <c r="J4" s="1619" t="str">
        <f t="array" ref="J4">IFERROR(IF(ROW($J$1)&gt;COUNTA($BA$4:$BA$33),"",INDEX($BA:$BA,SMALL(IF(BA$4:BA$33&lt;&gt;"",ROW($4:$33)),ROW(H1)))),"")</f>
        <v/>
      </c>
      <c r="K4" s="1621" t="str">
        <f t="array" ref="K4">IFERROR(IF(ROW($K$1)&gt;COUNTA($BB$4:$BB$33),"",INDEX($BB:$BB,SMALL(IF(BB$4:BB$33&lt;&gt;"",ROW($4:$33)),ROW(I1)))),"")</f>
        <v/>
      </c>
      <c r="L4" s="1621"/>
      <c r="M4" s="1631" t="str">
        <f t="array" ref="M4">IFERROR(IF(ROW($M$1)&gt;COUNTA($BU$4:$BU$33),"",INDEX($BU:$BU,SMALL(IF(BU$4:BU$33&lt;&gt;"",ROW($4:$33)),ROW(K1)))),"")</f>
        <v/>
      </c>
      <c r="N4" s="1620" t="str">
        <f t="array" ref="N4">IFERROR(IF(ROW($N$1)&gt;COUNTA($BJ$4:$BJ$33),"",INDEX($BJ:$BJ,SMALL(IF(BJ$4:BJ$33&lt;&gt;"",ROW($4:$33)),ROW(L1)))),"")</f>
        <v/>
      </c>
      <c r="O4" s="1619" t="str">
        <f t="array" ref="O4">IFERROR(IF(ROW($O$1)&gt;COUNTA($BK$4:$BK$33),"",INDEX($BK:$BK,SMALL(IF(BK$4:BK$33&lt;&gt;"",ROW($4:$33)),ROW(M1)))),"")</f>
        <v/>
      </c>
      <c r="P4" s="1645" t="str">
        <f t="array" ref="P4">IFERROR(IF(ROW($P$1)&gt;COUNTA($BL$4:$BL$33),"",INDEX($BL:$BL,SMALL(IF(BL$4:BL$33&lt;&gt;"",ROW($4:$33)),ROW(N1)))),"")</f>
        <v/>
      </c>
      <c r="Q4" s="1775"/>
      <c r="R4" s="1775"/>
      <c r="S4" s="1775"/>
      <c r="T4" s="1775"/>
      <c r="U4" s="1608" t="str">
        <f>IF(AND(S_1!$G$8="ja",S_1!$K$8="nein"),S_1!$C$2,"")</f>
        <v/>
      </c>
      <c r="V4" s="747" t="str">
        <f>IF(U4="-","",U4)</f>
        <v/>
      </c>
      <c r="W4" s="1106" t="str">
        <f>IF($U4="","",S_1!$B$13)</f>
        <v/>
      </c>
      <c r="Y4" s="1106" t="str">
        <f>IF($U4="","",Grünland!B5)</f>
        <v/>
      </c>
      <c r="Z4" s="1608" t="str">
        <f>IF($U4="","",S_1!C13)</f>
        <v/>
      </c>
      <c r="AA4" s="747" t="str">
        <f>IF(Z4=0,"-",Z4)</f>
        <v/>
      </c>
      <c r="AB4" s="1608" t="str">
        <f>IF($U4="","",S_1!CM13)</f>
        <v/>
      </c>
      <c r="AC4" s="747" t="str">
        <f>IF(AB4=0,"",AB4)</f>
        <v/>
      </c>
      <c r="AD4" s="1608" t="str">
        <f>IF($U4="","",S_1!E13)</f>
        <v/>
      </c>
      <c r="AE4" s="1608" t="str">
        <f>IF($U4="","",S_1!F13)</f>
        <v/>
      </c>
      <c r="AF4" s="1608" t="str">
        <f>IF($U4="","",S_1!G13)</f>
        <v/>
      </c>
      <c r="AG4" s="1608" t="str">
        <f>IF($U4="","",S_1!H13)</f>
        <v/>
      </c>
      <c r="AH4" s="1608" t="str">
        <f>IF($U4="","",S_1!I13)</f>
        <v/>
      </c>
      <c r="AI4" s="1608" t="str">
        <f>IF($U4="","",S_1!J13)</f>
        <v/>
      </c>
      <c r="AJ4" s="1608" t="str">
        <f>IF($U4="","",S_1!K13)</f>
        <v/>
      </c>
      <c r="AK4" s="1608" t="str">
        <f>IF($U4="","",S_1!L13)</f>
        <v/>
      </c>
      <c r="AL4" s="1608" t="str">
        <f>IF($U4="","",S_1!M13)</f>
        <v/>
      </c>
      <c r="AM4" s="1608" t="str">
        <f>IF($U4="","",S_1!N13)</f>
        <v/>
      </c>
      <c r="AN4" s="1608" t="str">
        <f>IF($U4="","",S_1!O13)</f>
        <v/>
      </c>
      <c r="AO4" s="1608" t="str">
        <f>IF($U4="","",S_1!P13)</f>
        <v/>
      </c>
      <c r="AQ4" s="1608">
        <f>IF(S_1!$DF$13&gt;0,1,0)</f>
        <v>0</v>
      </c>
      <c r="AR4" s="1608">
        <f>IF(S_1!$DG$13&gt;0,1,0)</f>
        <v>0</v>
      </c>
      <c r="AS4" s="1608">
        <f>IF(S_1!$DH$13&gt;0,1,0)</f>
        <v>0</v>
      </c>
      <c r="AT4" s="1608">
        <f>IF(S_1!$DI$13&gt;0,1,0)</f>
        <v>0</v>
      </c>
      <c r="AU4" s="1608">
        <f>IF(S_1!$DJ$13&gt;0,1,0)</f>
        <v>0</v>
      </c>
      <c r="AV4" s="1608">
        <f>IF(S_1!$DK$13&gt;0,1,0)</f>
        <v>0</v>
      </c>
      <c r="AW4" s="1608">
        <f>AQ4+AR4+AS4+AT4+AU4+AV4</f>
        <v>0</v>
      </c>
      <c r="AX4" s="1608" t="str">
        <f>IF(AND(AW4&gt;0,BI4&gt;0),"a",IF(AND(AW4&gt;0,BI4=0),"b",IF(AND(AW4=0,BI4&gt;0),"c",IF(AND(Z4&gt;"",AW4=0,BI4=0),"d",""))))</f>
        <v/>
      </c>
      <c r="AY4" s="1106" t="str">
        <f t="shared" ref="AY4:AY62" si="0">IF(U4="","",AX4)</f>
        <v/>
      </c>
      <c r="AZ4" s="1106" t="str">
        <f>IF(AY4="a","aufgeteilt auf",IF(AY4="b","aufgeteilt auf",IF(AY4="c","keine Gülle/Jauche",IF(AY4="d","-",""))))</f>
        <v/>
      </c>
      <c r="BA4" s="1793" t="str">
        <f>IF(AY4="a",AW4,IF(AY4="b",AW4,IF(AY4="c","-",IF(AY4="d","-",""))))</f>
        <v/>
      </c>
      <c r="BB4" s="1793" t="str">
        <f>IF(AY4="a","Teilgaben",IF(AY4="b","Teilgaben",IF(AY4="c","-",IF(AY4="d","-",""))))</f>
        <v/>
      </c>
      <c r="BC4" s="1608">
        <f>IF(S_1!$DN$13&gt;0,1,0)</f>
        <v>0</v>
      </c>
      <c r="BD4" s="1608">
        <f>IF(S_1!$DO$13&gt;0,1,0)</f>
        <v>0</v>
      </c>
      <c r="BE4" s="1608">
        <f>IF(S_1!$DP$13&gt;0,1,0)</f>
        <v>0</v>
      </c>
      <c r="BF4" s="1608">
        <f>IF(S_1!$DQ$13&gt;0,1,0)</f>
        <v>0</v>
      </c>
      <c r="BG4" s="1608">
        <f>IF(S_1!$DR$13&gt;0,1,0)</f>
        <v>0</v>
      </c>
      <c r="BH4" s="1608">
        <f>IF(S_1!$DS$13&gt;0,1,0)</f>
        <v>0</v>
      </c>
      <c r="BI4" s="1608">
        <f>BC4+BD4+BE4+BF4+BG4+BH4</f>
        <v>0</v>
      </c>
      <c r="BJ4" s="1106" t="str">
        <f>IF(AY4="a","aufgeteilt auf",IF(AY4="b","kein Mist",IF(AY4="c","aufgeteilt auf",IF(AY4="d","-",""))))</f>
        <v/>
      </c>
      <c r="BK4" s="1793" t="str">
        <f>IF(AY4="a",BI4,IF(AY4="b","-",IF(AY4="c",BI4,IF(AY4="d","-",""))))</f>
        <v/>
      </c>
      <c r="BL4" s="1793" t="str">
        <f>IF(AY4="a","Teilgaben",IF(AY4="b","-",IF(AY4="c","Teilgaben",IF(AY4="d","-",""))))</f>
        <v/>
      </c>
      <c r="BN4" s="747">
        <f>S_1!$DE$13</f>
        <v>0</v>
      </c>
      <c r="BO4" s="747">
        <f>S_1!$DM$13</f>
        <v>0</v>
      </c>
      <c r="BP4" s="747">
        <f>S_1!$CP$13</f>
        <v>0</v>
      </c>
      <c r="BQ4" s="747">
        <f>S_1!$CQ$13</f>
        <v>0</v>
      </c>
      <c r="BR4" s="1610" t="e">
        <f>BP4/Betrieb!$E$23</f>
        <v>#DIV/0!</v>
      </c>
      <c r="BS4" s="1610" t="e">
        <f>BQ4/Betrieb!$E$24</f>
        <v>#DIV/0!</v>
      </c>
      <c r="BT4" s="1615" t="str">
        <f>IF(AY4="a",BR4,IF(AY4="b",BR4,IF(AY4="c","-",IF(AY4="d","-",""))))</f>
        <v/>
      </c>
      <c r="BU4" s="1615" t="str">
        <f>IF(AY4="a",BS4,IF(AY4="b","-",IF(AY4="c",BS4,IF(AY4="d","-",""))))</f>
        <v/>
      </c>
      <c r="BV4" s="747">
        <f>IF(AND(S_1!$G$8="JA",S_1!$K$8="NEIN"),S_1!$U$13,0)</f>
        <v>0</v>
      </c>
      <c r="BW4" s="1769">
        <f>IF(AND(S_1!$G$8="JA",S_1!$K$8="NEIN"),S_1!$V$13,0)</f>
        <v>0</v>
      </c>
      <c r="BX4" s="1087" t="str">
        <f>IF(BV4="-",0-BW4,"")</f>
        <v/>
      </c>
      <c r="BY4" s="1087" t="str">
        <f>IF(BV4="+",0+BW4,"")</f>
        <v/>
      </c>
    </row>
    <row r="5" spans="1:77" ht="20.25" customHeight="1">
      <c r="A5" s="1775"/>
      <c r="C5" s="1721" t="str">
        <f t="array" ref="C5">IFERROR(IF(ROW($C$1)&gt;COUNTA($Y$4:$Y$33),"",INDEX($Y:$Y,SMALL(IF(Y$4:Y$33&lt;&gt;"",ROW($4:$33)),ROW(C2)))),"")</f>
        <v/>
      </c>
      <c r="D5" s="1722" t="str">
        <f t="array" ref="D5">IFERROR(IF(ROW($D$1)&gt;COUNTA($V$4:$V$33),"",INDEX($V:$V,SMALL(IF(V$4:V$33&lt;&gt;"",ROW($4:$33)),ROW(B2)))),"")</f>
        <v/>
      </c>
      <c r="E5" s="1723" t="str">
        <f t="array" ref="E5">IFERROR(IF(ROW($E$1)&gt;COUNTA($W$4:$W$33),"",INDEX($W:$W,SMALL(IF(W$4:W$33&lt;&gt;"",ROW($4:$33)),ROW(C2)))),"")</f>
        <v/>
      </c>
      <c r="F5" s="1727" t="str">
        <f t="array" ref="F5">IFERROR(IF(ROW($F$1)&gt;COUNTA($AA$4:$AA$33),"",INDEX($AA:$AA,SMALL(IF(AA$4:AA$33&lt;&gt;"",ROW($4:$33)),ROW(D2)))),"")</f>
        <v/>
      </c>
      <c r="G5" s="1636" t="str">
        <f t="array" ref="G5">IFERROR(IF(ROW($G$1)&gt;COUNTA($AC$4:$AC$33),"",INDEX($AC:$AC,SMALL(IF(AC$4:AC$33&lt;&gt;"",ROW($4:$33)),ROW(E2)))),"")</f>
        <v/>
      </c>
      <c r="H5" s="1632" t="str">
        <f t="array" ref="H5">IFERROR(IF(ROW($H$1)&gt;COUNTA($BT$4:$BT$33),"",INDEX($BT:$BT,SMALL(IF(BT$4:BT$33&lt;&gt;"",ROW($4:$33)),ROW(F2)))),"")</f>
        <v/>
      </c>
      <c r="I5" s="1623" t="str">
        <f t="array" ref="I5">IFERROR(IF(ROW($I$1)&gt;COUNTA($AZ$4:$AZ$33),"",INDEX($AZ:$AZ,SMALL(IF(AZ$4:AZ$33&lt;&gt;"",ROW($4:$33)),ROW(G2)))),"")</f>
        <v/>
      </c>
      <c r="J5" s="1622" t="str">
        <f t="array" ref="J5">IFERROR(IF(ROW($J$1)&gt;COUNTA($BA$4:$BA$33),"",INDEX($BA:$BA,SMALL(IF(BA$4:BA$33&lt;&gt;"",ROW($4:$33)),ROW(H2)))),"")</f>
        <v/>
      </c>
      <c r="K5" s="1624" t="str">
        <f t="array" ref="K5">IFERROR(IF(ROW($K$1)&gt;COUNTA($BB$4:$BB$33),"",INDEX($BB:$BB,SMALL(IF(BB$4:BB$33&lt;&gt;"",ROW($4:$33)),ROW(I2)))),"")</f>
        <v/>
      </c>
      <c r="L5" s="1625"/>
      <c r="M5" s="1632" t="str">
        <f t="array" ref="M5">IFERROR(IF(ROW($M$1)&gt;COUNTA($BU$4:$BU$33),"",INDEX($BU:$BU,SMALL(IF(BU$4:BU$33&lt;&gt;"",ROW($4:$33)),ROW(K2)))),"")</f>
        <v/>
      </c>
      <c r="N5" s="1623" t="str">
        <f t="array" ref="N5">IFERROR(IF(ROW($N$1)&gt;COUNTA($BJ$4:$BJ$33),"",INDEX($BJ:$BJ,SMALL(IF(BJ$4:BJ$33&lt;&gt;"",ROW($4:$33)),ROW(L2)))),"")</f>
        <v/>
      </c>
      <c r="O5" s="1622" t="str">
        <f t="array" ref="O5">IFERROR(IF(ROW($O$1)&gt;COUNTA($BK$4:$BK$33),"",INDEX($BK:$BK,SMALL(IF(BK$4:BK$33&lt;&gt;"",ROW($4:$33)),ROW(M2)))),"")</f>
        <v/>
      </c>
      <c r="P5" s="1646" t="str">
        <f t="array" ref="P5">IFERROR(IF(ROW($P$1)&gt;COUNTA($BL$4:$BL$33),"",INDEX($BL:$BL,SMALL(IF(BL$4:BL$33&lt;&gt;"",ROW($4:$33)),ROW(N2)))),"")</f>
        <v/>
      </c>
      <c r="Q5" s="1775"/>
      <c r="R5" s="1775"/>
      <c r="S5" s="1775"/>
      <c r="T5" s="1775"/>
      <c r="U5" s="1608" t="str">
        <f>IF(AND(S_2!$G$8="ja",S_2!$K$8="nein"),S_2!$C$2,"")</f>
        <v/>
      </c>
      <c r="V5" s="747" t="str">
        <f t="shared" ref="V5:V33" si="1">IF(U5="-","",U5)</f>
        <v/>
      </c>
      <c r="W5" s="1106" t="str">
        <f>IF($U5="","",S_2!$B$13)</f>
        <v/>
      </c>
      <c r="Y5" s="1106" t="str">
        <f>IF($U5="","",Grünland!B6)</f>
        <v/>
      </c>
      <c r="Z5" s="1608" t="str">
        <f>IF($U5="","",S_2!C13)</f>
        <v/>
      </c>
      <c r="AA5" s="747" t="str">
        <f t="shared" ref="AA5:AA33" si="2">IF(Z5=0,"-",Z5)</f>
        <v/>
      </c>
      <c r="AB5" s="1608" t="str">
        <f>IF($U5="","",S_2!CM13)</f>
        <v/>
      </c>
      <c r="AC5" s="747" t="str">
        <f t="shared" ref="AC5:AC33" si="3">IF(AB5=0,"",AB5)</f>
        <v/>
      </c>
      <c r="AD5" s="1608" t="str">
        <f>IF($U5="","",S_2!E13)</f>
        <v/>
      </c>
      <c r="AE5" s="1608" t="str">
        <f>IF($U5="","",S_2!F13)</f>
        <v/>
      </c>
      <c r="AF5" s="1608" t="str">
        <f>IF($U5="","",S_2!G13)</f>
        <v/>
      </c>
      <c r="AG5" s="1608" t="str">
        <f>IF($U5="","",S_2!H13)</f>
        <v/>
      </c>
      <c r="AH5" s="1608" t="str">
        <f>IF($U5="","",S_2!I13)</f>
        <v/>
      </c>
      <c r="AI5" s="1608" t="str">
        <f>IF($U5="","",S_2!J13)</f>
        <v/>
      </c>
      <c r="AJ5" s="1608" t="str">
        <f>IF($U5="","",S_2!K13)</f>
        <v/>
      </c>
      <c r="AK5" s="1608" t="str">
        <f>IF($U5="","",S_2!L13)</f>
        <v/>
      </c>
      <c r="AL5" s="1608" t="str">
        <f>IF($U5="","",S_2!M13)</f>
        <v/>
      </c>
      <c r="AM5" s="1608" t="str">
        <f>IF($U5="","",S_2!N13)</f>
        <v/>
      </c>
      <c r="AN5" s="1608" t="str">
        <f>IF($U5="","",S_2!O13)</f>
        <v/>
      </c>
      <c r="AO5" s="1608" t="str">
        <f>IF($U5="","",S_2!P13)</f>
        <v/>
      </c>
      <c r="AQ5" s="1608">
        <f>IF(S_2!$DF$13&gt;0,1,0)</f>
        <v>0</v>
      </c>
      <c r="AR5" s="1608">
        <f>IF(S_2!$DG$13&gt;0,1,0)</f>
        <v>0</v>
      </c>
      <c r="AS5" s="1608">
        <f>IF(S_2!$DH$13&gt;0,1,0)</f>
        <v>0</v>
      </c>
      <c r="AT5" s="1608">
        <f>IF(S_2!$DI$13&gt;0,1,0)</f>
        <v>0</v>
      </c>
      <c r="AU5" s="1608">
        <f>IF(S_2!$DJ$13&gt;0,1,0)</f>
        <v>0</v>
      </c>
      <c r="AV5" s="1608">
        <f>IF(S_2!$DK$13&gt;0,1,0)</f>
        <v>0</v>
      </c>
      <c r="AW5" s="1608">
        <f t="shared" ref="AW5:AW33" si="4">AQ5+AR5+AS5+AT5+AU5+AV5</f>
        <v>0</v>
      </c>
      <c r="AX5" s="1608" t="str">
        <f t="shared" ref="AX5:AX62" si="5">IF(AND(AW5&gt;0,BI5&gt;0),"a",IF(AND(AW5&gt;0,BI5=0),"b",IF(AND(AW5=0,BI5&gt;0),"c",IF(AND(Z5&gt;"",AW5=0,BI5=0),"d",""))))</f>
        <v/>
      </c>
      <c r="AY5" s="1106" t="str">
        <f t="shared" si="0"/>
        <v/>
      </c>
      <c r="AZ5" s="1106" t="str">
        <f t="shared" ref="AZ5:AZ62" si="6">IF(AY5="a","aufgeteilt auf",IF(AY5="b","aufgeteilt auf",IF(AY5="c","keine Gülle/Jauche",IF(AY5="d","-",""))))</f>
        <v/>
      </c>
      <c r="BA5" s="2259" t="str">
        <f t="shared" ref="BA5:BA62" si="7">IF(AY5="a",AW5,IF(AY5="b",AW5,IF(AY5="c","-",IF(AY5="d","-",""))))</f>
        <v/>
      </c>
      <c r="BB5" s="2259" t="str">
        <f t="shared" ref="BB5:BB62" si="8">IF(AY5="a","Teilgaben",IF(AY5="b","Teilgaben",IF(AY5="c","-",IF(AY5="d","-",""))))</f>
        <v/>
      </c>
      <c r="BC5" s="1608">
        <f>IF(S_2!$DN$13&gt;0,1,0)</f>
        <v>0</v>
      </c>
      <c r="BD5" s="1608">
        <f>IF(S_2!$DO$13&gt;0,1,0)</f>
        <v>0</v>
      </c>
      <c r="BE5" s="1608">
        <f>IF(S_2!$DP$13&gt;0,1,0)</f>
        <v>0</v>
      </c>
      <c r="BF5" s="1608">
        <f>IF(S_2!$DQ$13&gt;0,1,0)</f>
        <v>0</v>
      </c>
      <c r="BG5" s="1608">
        <f>IF(S_2!$DR$13&gt;0,1,0)</f>
        <v>0</v>
      </c>
      <c r="BH5" s="1608">
        <f>IF(S_2!$DS$13&gt;0,1,0)</f>
        <v>0</v>
      </c>
      <c r="BI5" s="1608">
        <f t="shared" ref="BI5:BI33" si="9">BC5+BD5+BE5+BF5+BG5+BH5</f>
        <v>0</v>
      </c>
      <c r="BJ5" s="1106" t="str">
        <f t="shared" ref="BJ5:BJ62" si="10">IF(AY5="a","aufgeteilt auf",IF(AY5="b","kein Mist",IF(AY5="c","aufgeteilt auf",IF(AY5="d","-",""))))</f>
        <v/>
      </c>
      <c r="BK5" s="2259" t="str">
        <f t="shared" ref="BK5:BK62" si="11">IF(AY5="a",BI5,IF(AY5="b","-",IF(AY5="c",BI5,IF(AY5="d","-",""))))</f>
        <v/>
      </c>
      <c r="BL5" s="2259" t="str">
        <f t="shared" ref="BL5:BL62" si="12">IF(AY5="a","Teilgaben",IF(AY5="b","-",IF(AY5="c","Teilgaben",IF(AY5="d","-",""))))</f>
        <v/>
      </c>
      <c r="BN5" s="747">
        <f>S_2!$DE$13</f>
        <v>0</v>
      </c>
      <c r="BO5" s="747">
        <f>S_2!$DM$13</f>
        <v>0</v>
      </c>
      <c r="BP5" s="747">
        <f>S_2!$CP$13</f>
        <v>0</v>
      </c>
      <c r="BQ5" s="747">
        <f>S_2!$CQ$13</f>
        <v>0</v>
      </c>
      <c r="BR5" s="1610" t="e">
        <f>BP5/Betrieb!$E$23</f>
        <v>#DIV/0!</v>
      </c>
      <c r="BS5" s="1610" t="e">
        <f>BQ5/Betrieb!$E$24</f>
        <v>#DIV/0!</v>
      </c>
      <c r="BT5" s="1615" t="str">
        <f t="shared" ref="BT5:BT62" si="13">IF(AY5="a",BR5,IF(AY5="b",BR5,IF(AY5="c","-",IF(AY5="d","-",""))))</f>
        <v/>
      </c>
      <c r="BU5" s="1615" t="str">
        <f t="shared" ref="BU5:BU62" si="14">IF(AY5="a",BS5,IF(AY5="b","-",IF(AY5="c",BS5,IF(AY5="d","-",""))))</f>
        <v/>
      </c>
      <c r="BV5" s="747">
        <f>IF(AND(S_2!$G$8="JA",S_2!$K$8="NEIN"),S_2!$U$13,0)</f>
        <v>0</v>
      </c>
      <c r="BW5" s="1769">
        <f>IF(AND(S_2!$G$8="JA",S_2!$K$8="NEIN"),S_2!$V$13,0)</f>
        <v>0</v>
      </c>
      <c r="BX5" s="1087" t="str">
        <f t="shared" ref="BX5:BX33" si="15">IF(BV5="-",0-BW5,"")</f>
        <v/>
      </c>
      <c r="BY5" s="1087" t="str">
        <f t="shared" ref="BY5:BY33" si="16">IF(BV5="+",0+BW5,"")</f>
        <v/>
      </c>
    </row>
    <row r="6" spans="1:77" ht="20.25" customHeight="1">
      <c r="A6" s="1775"/>
      <c r="C6" s="1733" t="str">
        <f t="array" ref="C6">IFERROR(IF(ROW($C$1)&gt;COUNTA($Y$4:$Y$33),"",INDEX($Y:$Y,SMALL(IF(Y$4:Y$33&lt;&gt;"",ROW($4:$33)),ROW(C3)))),"")</f>
        <v/>
      </c>
      <c r="D6" s="1734" t="str">
        <f t="array" ref="D6">IFERROR(IF(ROW($D$1)&gt;COUNTA($V$4:$V$33),"",INDEX($V:$V,SMALL(IF(V$4:V$33&lt;&gt;"",ROW($4:$33)),ROW(B3)))),"")</f>
        <v/>
      </c>
      <c r="E6" s="1735" t="str">
        <f t="array" ref="E6">IFERROR(IF(ROW($E$1)&gt;COUNTA($W$4:$W$33),"",INDEX($W:$W,SMALL(IF(W$4:W$33&lt;&gt;"",ROW($4:$33)),ROW(C3)))),"")</f>
        <v/>
      </c>
      <c r="F6" s="1728" t="str">
        <f t="array" ref="F6">IFERROR(IF(ROW($F$1)&gt;COUNTA($AA$4:$AA$33),"",INDEX($AA:$AA,SMALL(IF(AA$4:AA$33&lt;&gt;"",ROW($4:$33)),ROW(D3)))),"")</f>
        <v/>
      </c>
      <c r="G6" s="1637" t="str">
        <f t="array" ref="G6">IFERROR(IF(ROW($G$1)&gt;COUNTA($AC$4:$AC$33),"",INDEX($AC:$AC,SMALL(IF(AC$4:AC$33&lt;&gt;"",ROW($4:$33)),ROW(E3)))),"")</f>
        <v/>
      </c>
      <c r="H6" s="1633" t="str">
        <f t="array" ref="H6">IFERROR(IF(ROW($H$1)&gt;COUNTA($BT$4:$BT$33),"",INDEX($BT:$BT,SMALL(IF(BT$4:BT$33&lt;&gt;"",ROW($4:$33)),ROW(F3)))),"")</f>
        <v/>
      </c>
      <c r="I6" s="1627" t="str">
        <f t="array" ref="I6">IFERROR(IF(ROW($I$1)&gt;COUNTA($AZ$4:$AZ$33),"",INDEX($AZ:$AZ,SMALL(IF(AZ$4:AZ$33&lt;&gt;"",ROW($4:$33)),ROW(G3)))),"")</f>
        <v/>
      </c>
      <c r="J6" s="1626" t="str">
        <f t="array" ref="J6">IFERROR(IF(ROW($J$1)&gt;COUNTA($BA$4:$BA$33),"",INDEX($BA:$BA,SMALL(IF(BA$4:BA$33&lt;&gt;"",ROW($4:$33)),ROW(H3)))),"")</f>
        <v/>
      </c>
      <c r="K6" s="1628" t="str">
        <f t="array" ref="K6">IFERROR(IF(ROW($K$1)&gt;COUNTA($BB$4:$BB$33),"",INDEX($BB:$BB,SMALL(IF(BB$4:BB$33&lt;&gt;"",ROW($4:$33)),ROW(I3)))),"")</f>
        <v/>
      </c>
      <c r="L6" s="1629"/>
      <c r="M6" s="1633" t="str">
        <f t="array" ref="M6">IFERROR(IF(ROW($M$1)&gt;COUNTA($BU$4:$BU$33),"",INDEX($BU:$BU,SMALL(IF(BU$4:BU$33&lt;&gt;"",ROW($4:$33)),ROW(K3)))),"")</f>
        <v/>
      </c>
      <c r="N6" s="1627" t="str">
        <f t="array" ref="N6">IFERROR(IF(ROW($N$1)&gt;COUNTA($BJ$4:$BJ$33),"",INDEX($BJ:$BJ,SMALL(IF(BJ$4:BJ$33&lt;&gt;"",ROW($4:$33)),ROW(L3)))),"")</f>
        <v/>
      </c>
      <c r="O6" s="1626" t="str">
        <f t="array" ref="O6">IFERROR(IF(ROW($O$1)&gt;COUNTA($BK$4:$BK$33),"",INDEX($BK:$BK,SMALL(IF(BK$4:BK$33&lt;&gt;"",ROW($4:$33)),ROW(M3)))),"")</f>
        <v/>
      </c>
      <c r="P6" s="1647" t="str">
        <f t="array" ref="P6">IFERROR(IF(ROW($P$1)&gt;COUNTA($BL$4:$BL$33),"",INDEX($BL:$BL,SMALL(IF(BL$4:BL$33&lt;&gt;"",ROW($4:$33)),ROW(N3)))),"")</f>
        <v/>
      </c>
      <c r="Q6" s="1775"/>
      <c r="R6" s="1775"/>
      <c r="S6" s="1775"/>
      <c r="T6" s="1775"/>
      <c r="U6" s="1608" t="str">
        <f>IF(AND(S_3!$G$8="ja",S_3!$K$8="nein"),S_3!$C$2,"")</f>
        <v/>
      </c>
      <c r="V6" s="747" t="str">
        <f t="shared" si="1"/>
        <v/>
      </c>
      <c r="W6" s="1106" t="str">
        <f>IF($U6="","",S_3!$B$13)</f>
        <v/>
      </c>
      <c r="Y6" s="1106" t="str">
        <f>IF($U6="","",Grünland!B7)</f>
        <v/>
      </c>
      <c r="Z6" s="1608" t="str">
        <f>IF($U6="","",S_3!C13)</f>
        <v/>
      </c>
      <c r="AA6" s="747" t="str">
        <f t="shared" si="2"/>
        <v/>
      </c>
      <c r="AB6" s="1608" t="str">
        <f>IF($U6="","",S_3!CM13)</f>
        <v/>
      </c>
      <c r="AC6" s="747" t="str">
        <f t="shared" si="3"/>
        <v/>
      </c>
      <c r="AD6" s="1608" t="str">
        <f>IF($U6="","",S_3!E13)</f>
        <v/>
      </c>
      <c r="AE6" s="1608" t="str">
        <f>IF($U6="","",S_3!F13)</f>
        <v/>
      </c>
      <c r="AF6" s="1608" t="str">
        <f>IF($U6="","",S_3!G13)</f>
        <v/>
      </c>
      <c r="AG6" s="1608" t="str">
        <f>IF($U6="","",S_3!H13)</f>
        <v/>
      </c>
      <c r="AH6" s="1608" t="str">
        <f>IF($U6="","",S_3!I13)</f>
        <v/>
      </c>
      <c r="AI6" s="1608" t="str">
        <f>IF($U6="","",S_3!J13)</f>
        <v/>
      </c>
      <c r="AJ6" s="1608" t="str">
        <f>IF($U6="","",S_3!K13)</f>
        <v/>
      </c>
      <c r="AK6" s="1608" t="str">
        <f>IF($U6="","",S_3!L13)</f>
        <v/>
      </c>
      <c r="AL6" s="1608" t="str">
        <f>IF($U6="","",S_3!M13)</f>
        <v/>
      </c>
      <c r="AM6" s="1608" t="str">
        <f>IF($U6="","",S_3!N13)</f>
        <v/>
      </c>
      <c r="AN6" s="1608" t="str">
        <f>IF($U6="","",S_3!O13)</f>
        <v/>
      </c>
      <c r="AO6" s="1608" t="str">
        <f>IF($U6="","",S_3!P13)</f>
        <v/>
      </c>
      <c r="AQ6" s="1608">
        <f>IF(S_3!$DF$13&gt;0,1,0)</f>
        <v>0</v>
      </c>
      <c r="AR6" s="1608">
        <f>IF(S_3!$DG$13&gt;0,1,0)</f>
        <v>0</v>
      </c>
      <c r="AS6" s="1608">
        <f>IF(S_3!$DH$13&gt;0,1,0)</f>
        <v>0</v>
      </c>
      <c r="AT6" s="1608">
        <f>IF(S_3!$DI$13&gt;0,1,0)</f>
        <v>0</v>
      </c>
      <c r="AU6" s="1608">
        <f>IF(S_3!$DJ$13&gt;0,1,0)</f>
        <v>0</v>
      </c>
      <c r="AV6" s="1608">
        <f>IF(S_3!$DK$13&gt;0,1,0)</f>
        <v>0</v>
      </c>
      <c r="AW6" s="1608">
        <f t="shared" si="4"/>
        <v>0</v>
      </c>
      <c r="AX6" s="1608" t="str">
        <f t="shared" si="5"/>
        <v/>
      </c>
      <c r="AY6" s="1106" t="str">
        <f t="shared" si="0"/>
        <v/>
      </c>
      <c r="AZ6" s="1106" t="str">
        <f t="shared" si="6"/>
        <v/>
      </c>
      <c r="BA6" s="2259" t="str">
        <f t="shared" si="7"/>
        <v/>
      </c>
      <c r="BB6" s="2259" t="str">
        <f t="shared" si="8"/>
        <v/>
      </c>
      <c r="BC6" s="1608">
        <f>IF(S_3!$DN$13&gt;0,1,0)</f>
        <v>0</v>
      </c>
      <c r="BD6" s="1608">
        <f>IF(S_3!$DO$13&gt;0,1,0)</f>
        <v>0</v>
      </c>
      <c r="BE6" s="1608">
        <f>IF(S_3!$DP$13&gt;0,1,0)</f>
        <v>0</v>
      </c>
      <c r="BF6" s="1608">
        <f>IF(S_3!$DQ$13&gt;0,1,0)</f>
        <v>0</v>
      </c>
      <c r="BG6" s="1608">
        <f>IF(S_3!$DR$13&gt;0,1,0)</f>
        <v>0</v>
      </c>
      <c r="BH6" s="1608">
        <f>IF(S_3!$DS$13&gt;0,1,0)</f>
        <v>0</v>
      </c>
      <c r="BI6" s="1608">
        <f t="shared" si="9"/>
        <v>0</v>
      </c>
      <c r="BJ6" s="1106" t="str">
        <f t="shared" si="10"/>
        <v/>
      </c>
      <c r="BK6" s="2259" t="str">
        <f t="shared" si="11"/>
        <v/>
      </c>
      <c r="BL6" s="2259" t="str">
        <f t="shared" si="12"/>
        <v/>
      </c>
      <c r="BN6" s="747">
        <f>S_3!$DE$13</f>
        <v>0</v>
      </c>
      <c r="BO6" s="747">
        <f>S_3!$DM$13</f>
        <v>0</v>
      </c>
      <c r="BP6" s="747">
        <f>S_3!$CP$13</f>
        <v>0</v>
      </c>
      <c r="BQ6" s="747">
        <f>S_3!$CQ$13</f>
        <v>0</v>
      </c>
      <c r="BR6" s="1610" t="e">
        <f>BP6/Betrieb!$E$23</f>
        <v>#DIV/0!</v>
      </c>
      <c r="BS6" s="1610" t="e">
        <f>BQ6/Betrieb!$E$24</f>
        <v>#DIV/0!</v>
      </c>
      <c r="BT6" s="1615" t="str">
        <f t="shared" si="13"/>
        <v/>
      </c>
      <c r="BU6" s="1615" t="str">
        <f t="shared" si="14"/>
        <v/>
      </c>
      <c r="BV6" s="747">
        <f>IF(AND(S_3!$G$8="JA",S_3!$K$8="NEIN"),S_3!$U$13,0)</f>
        <v>0</v>
      </c>
      <c r="BW6" s="1769">
        <f>IF(AND(S_3!$G$8="JA",S_3!$K$8="NEIN"),S_3!$V$13,0)</f>
        <v>0</v>
      </c>
      <c r="BX6" s="1087" t="str">
        <f t="shared" si="15"/>
        <v/>
      </c>
      <c r="BY6" s="1087" t="str">
        <f t="shared" si="16"/>
        <v/>
      </c>
    </row>
    <row r="7" spans="1:77" ht="20.25" customHeight="1">
      <c r="A7" s="1775"/>
      <c r="C7" s="1721" t="str">
        <f t="array" ref="C7">IFERROR(IF(ROW($C$1)&gt;COUNTA($Y$4:$Y$33),"",INDEX($Y:$Y,SMALL(IF(Y$4:Y$33&lt;&gt;"",ROW($4:$33)),ROW(C4)))),"")</f>
        <v/>
      </c>
      <c r="D7" s="1722" t="str">
        <f t="array" ref="D7">IFERROR(IF(ROW($D$1)&gt;COUNTA($V$4:$V$33),"",INDEX($V:$V,SMALL(IF(V$4:V$33&lt;&gt;"",ROW($4:$33)),ROW(B4)))),"")</f>
        <v/>
      </c>
      <c r="E7" s="1723" t="str">
        <f t="array" ref="E7">IFERROR(IF(ROW($E$1)&gt;COUNTA($W$4:$W$33),"",INDEX($W:$W,SMALL(IF(W$4:W$33&lt;&gt;"",ROW($4:$33)),ROW(C4)))),"")</f>
        <v/>
      </c>
      <c r="F7" s="1727" t="str">
        <f t="array" ref="F7">IFERROR(IF(ROW($F$1)&gt;COUNTA($AA$4:$AA$33),"",INDEX($AA:$AA,SMALL(IF(AA$4:AA$33&lt;&gt;"",ROW($4:$33)),ROW(D4)))),"")</f>
        <v/>
      </c>
      <c r="G7" s="1636" t="str">
        <f t="array" ref="G7">IFERROR(IF(ROW($G$1)&gt;COUNTA($AC$4:$AC$33),"",INDEX($AC:$AC,SMALL(IF(AC$4:AC$33&lt;&gt;"",ROW($4:$33)),ROW(E4)))),"")</f>
        <v/>
      </c>
      <c r="H7" s="1632" t="str">
        <f t="array" ref="H7">IFERROR(IF(ROW($H$1)&gt;COUNTA($BT$4:$BT$33),"",INDEX($BT:$BT,SMALL(IF(BT$4:BT$33&lt;&gt;"",ROW($4:$33)),ROW(F4)))),"")</f>
        <v/>
      </c>
      <c r="I7" s="1623" t="str">
        <f t="array" ref="I7">IFERROR(IF(ROW($I$1)&gt;COUNTA($AZ$4:$AZ$33),"",INDEX($AZ:$AZ,SMALL(IF(AZ$4:AZ$33&lt;&gt;"",ROW($4:$33)),ROW(G4)))),"")</f>
        <v/>
      </c>
      <c r="J7" s="1622" t="str">
        <f t="array" ref="J7">IFERROR(IF(ROW($J$1)&gt;COUNTA($BA$4:$BA$33),"",INDEX($BA:$BA,SMALL(IF(BA$4:BA$33&lt;&gt;"",ROW($4:$33)),ROW(H4)))),"")</f>
        <v/>
      </c>
      <c r="K7" s="1624" t="str">
        <f t="array" ref="K7">IFERROR(IF(ROW($K$1)&gt;COUNTA($BB$4:$BB$33),"",INDEX($BB:$BB,SMALL(IF(BB$4:BB$33&lt;&gt;"",ROW($4:$33)),ROW(I4)))),"")</f>
        <v/>
      </c>
      <c r="L7" s="1625"/>
      <c r="M7" s="1640" t="str">
        <f t="array" ref="M7">IFERROR(IF(ROW($M$1)&gt;COUNTA($BU$4:$BU$33),"",INDEX($BU:$BU,SMALL(IF(BU$4:BU$33&lt;&gt;"",ROW($4:$33)),ROW(K4)))),"")</f>
        <v/>
      </c>
      <c r="N7" s="1623" t="str">
        <f t="array" ref="N7">IFERROR(IF(ROW($N$1)&gt;COUNTA($BJ$4:$BJ$33),"",INDEX($BJ:$BJ,SMALL(IF(BJ$4:BJ$33&lt;&gt;"",ROW($4:$33)),ROW(L4)))),"")</f>
        <v/>
      </c>
      <c r="O7" s="1622" t="str">
        <f t="array" ref="O7">IFERROR(IF(ROW($O$1)&gt;COUNTA($BK$4:$BK$33),"",INDEX($BK:$BK,SMALL(IF(BK$4:BK$33&lt;&gt;"",ROW($4:$33)),ROW(M4)))),"")</f>
        <v/>
      </c>
      <c r="P7" s="1646" t="str">
        <f t="array" ref="P7">IFERROR(IF(ROW($P$1)&gt;COUNTA($BL$4:$BL$33),"",INDEX($BL:$BL,SMALL(IF(BL$4:BL$33&lt;&gt;"",ROW($4:$33)),ROW(N4)))),"")</f>
        <v/>
      </c>
      <c r="Q7" s="1775"/>
      <c r="R7" s="1775"/>
      <c r="S7" s="1775"/>
      <c r="T7" s="1775"/>
      <c r="U7" s="1608" t="str">
        <f>IF(AND(S_4!$G$8="ja",S_4!$K$8="nein"),S_4!$C$2,"")</f>
        <v/>
      </c>
      <c r="V7" s="747" t="str">
        <f t="shared" si="1"/>
        <v/>
      </c>
      <c r="W7" s="1106" t="str">
        <f>IF($U7="","",S_4!$B$13)</f>
        <v/>
      </c>
      <c r="Y7" s="1106" t="str">
        <f>IF($U7="","",Grünland!B8)</f>
        <v/>
      </c>
      <c r="Z7" s="1608" t="str">
        <f>IF($U7="","",S_4!C13)</f>
        <v/>
      </c>
      <c r="AA7" s="747" t="str">
        <f t="shared" si="2"/>
        <v/>
      </c>
      <c r="AB7" s="1608" t="str">
        <f>IF($U7="","",S_4!CM13)</f>
        <v/>
      </c>
      <c r="AC7" s="747" t="str">
        <f t="shared" si="3"/>
        <v/>
      </c>
      <c r="AD7" s="1608" t="str">
        <f>IF($U7="","",S_4!E13)</f>
        <v/>
      </c>
      <c r="AE7" s="1608" t="str">
        <f>IF($U7="","",S_4!F13)</f>
        <v/>
      </c>
      <c r="AF7" s="1608" t="str">
        <f>IF($U7="","",S_4!G13)</f>
        <v/>
      </c>
      <c r="AG7" s="1608" t="str">
        <f>IF($U7="","",S_4!H13)</f>
        <v/>
      </c>
      <c r="AH7" s="1608" t="str">
        <f>IF($U7="","",S_4!I13)</f>
        <v/>
      </c>
      <c r="AI7" s="1608" t="str">
        <f>IF($U7="","",S_4!J13)</f>
        <v/>
      </c>
      <c r="AJ7" s="1608" t="str">
        <f>IF($U7="","",S_4!K13)</f>
        <v/>
      </c>
      <c r="AK7" s="1608" t="str">
        <f>IF($U7="","",S_4!L13)</f>
        <v/>
      </c>
      <c r="AL7" s="1608" t="str">
        <f>IF($U7="","",S_4!M13)</f>
        <v/>
      </c>
      <c r="AM7" s="1608" t="str">
        <f>IF($U7="","",S_4!N13)</f>
        <v/>
      </c>
      <c r="AN7" s="1608" t="str">
        <f>IF($U7="","",S_4!O13)</f>
        <v/>
      </c>
      <c r="AO7" s="1608" t="str">
        <f>IF($U7="","",S_4!P13)</f>
        <v/>
      </c>
      <c r="AQ7" s="1608">
        <f>IF(S_4!$DF$13&gt;0,1,0)</f>
        <v>0</v>
      </c>
      <c r="AR7" s="1608">
        <f>IF(S_4!$DG$13&gt;0,1,0)</f>
        <v>0</v>
      </c>
      <c r="AS7" s="1608">
        <f>IF(S_4!$DH$13&gt;0,1,0)</f>
        <v>0</v>
      </c>
      <c r="AT7" s="1608">
        <f>IF(S_4!$DI$13&gt;0,1,0)</f>
        <v>0</v>
      </c>
      <c r="AU7" s="1608">
        <f>IF(S_4!$DJ$13&gt;0,1,0)</f>
        <v>0</v>
      </c>
      <c r="AV7" s="1608">
        <f>IF(S_4!$DK$13&gt;0,1,0)</f>
        <v>0</v>
      </c>
      <c r="AW7" s="1608">
        <f t="shared" si="4"/>
        <v>0</v>
      </c>
      <c r="AX7" s="1608" t="str">
        <f t="shared" si="5"/>
        <v/>
      </c>
      <c r="AY7" s="1106" t="str">
        <f t="shared" si="0"/>
        <v/>
      </c>
      <c r="AZ7" s="1106" t="str">
        <f t="shared" si="6"/>
        <v/>
      </c>
      <c r="BA7" s="2259" t="str">
        <f t="shared" si="7"/>
        <v/>
      </c>
      <c r="BB7" s="2259" t="str">
        <f t="shared" si="8"/>
        <v/>
      </c>
      <c r="BC7" s="1608">
        <f>IF(S_4!$DN$13&gt;0,1,0)</f>
        <v>0</v>
      </c>
      <c r="BD7" s="1608">
        <f>IF(S_4!$DO$13&gt;0,1,0)</f>
        <v>0</v>
      </c>
      <c r="BE7" s="1608">
        <f>IF(S_4!$DP$13&gt;0,1,0)</f>
        <v>0</v>
      </c>
      <c r="BF7" s="1608">
        <f>IF(S_4!$DQ$13&gt;0,1,0)</f>
        <v>0</v>
      </c>
      <c r="BG7" s="1608">
        <f>IF(S_4!$DR$13&gt;0,1,0)</f>
        <v>0</v>
      </c>
      <c r="BH7" s="1608">
        <f>IF(S_4!$DS$13&gt;0,1,0)</f>
        <v>0</v>
      </c>
      <c r="BI7" s="1608">
        <f t="shared" si="9"/>
        <v>0</v>
      </c>
      <c r="BJ7" s="1106" t="str">
        <f t="shared" si="10"/>
        <v/>
      </c>
      <c r="BK7" s="2259" t="str">
        <f t="shared" si="11"/>
        <v/>
      </c>
      <c r="BL7" s="2259" t="str">
        <f t="shared" si="12"/>
        <v/>
      </c>
      <c r="BN7" s="747">
        <f>S_4!$DE$13</f>
        <v>0</v>
      </c>
      <c r="BO7" s="747">
        <f>S_4!$DM$13</f>
        <v>0</v>
      </c>
      <c r="BP7" s="747">
        <f>S_4!$CP$13</f>
        <v>0</v>
      </c>
      <c r="BQ7" s="747">
        <f>S_4!$CQ$13</f>
        <v>0</v>
      </c>
      <c r="BR7" s="1610" t="e">
        <f>BP7/Betrieb!$E$23</f>
        <v>#DIV/0!</v>
      </c>
      <c r="BS7" s="1610" t="e">
        <f>BQ7/Betrieb!$E$24</f>
        <v>#DIV/0!</v>
      </c>
      <c r="BT7" s="1615" t="str">
        <f t="shared" si="13"/>
        <v/>
      </c>
      <c r="BU7" s="1615" t="str">
        <f t="shared" si="14"/>
        <v/>
      </c>
      <c r="BV7" s="747">
        <f>IF(AND(S_4!$G$8="JA",S_4!$K$8="NEIN"),S_4!$U$13,0)</f>
        <v>0</v>
      </c>
      <c r="BW7" s="1769">
        <f>IF(AND(S_4!$G$8="JA",S_4!$K$8="NEIN"),S_4!$V$13,0)</f>
        <v>0</v>
      </c>
      <c r="BX7" s="1087" t="str">
        <f t="shared" si="15"/>
        <v/>
      </c>
      <c r="BY7" s="1087" t="str">
        <f t="shared" si="16"/>
        <v/>
      </c>
    </row>
    <row r="8" spans="1:77" ht="20.25" customHeight="1">
      <c r="A8" s="1775"/>
      <c r="C8" s="1730" t="str">
        <f t="array" ref="C8">IFERROR(IF(ROW($C$1)&gt;COUNTA($Y$4:$Y$33),"",INDEX($Y:$Y,SMALL(IF(Y$4:Y$33&lt;&gt;"",ROW($4:$33)),ROW(C5)))),"")</f>
        <v/>
      </c>
      <c r="D8" s="1731" t="str">
        <f t="array" ref="D8">IFERROR(IF(ROW($D$1)&gt;COUNTA($V$4:$V$33),"",INDEX($V:$V,SMALL(IF(V$4:V$33&lt;&gt;"",ROW($4:$33)),ROW(B5)))),"")</f>
        <v/>
      </c>
      <c r="E8" s="1732" t="str">
        <f t="array" ref="E8">IFERROR(IF(ROW($E$1)&gt;COUNTA($W$4:$W$33),"",INDEX($W:$W,SMALL(IF(W$4:W$33&lt;&gt;"",ROW($4:$33)),ROW(C5)))),"")</f>
        <v/>
      </c>
      <c r="F8" s="1729" t="str">
        <f t="array" ref="F8">IFERROR(IF(ROW($F$1)&gt;COUNTA($AA$4:$AA$33),"",INDEX($AA:$AA,SMALL(IF(AA$4:AA$33&lt;&gt;"",ROW($4:$33)),ROW(D5)))),"")</f>
        <v/>
      </c>
      <c r="G8" s="1638" t="str">
        <f t="array" ref="G8">IFERROR(IF(ROW($G$1)&gt;COUNTA($AC$4:$AC$33),"",INDEX($AC:$AC,SMALL(IF(AC$4:AC$33&lt;&gt;"",ROW($4:$33)),ROW(E5)))),"")</f>
        <v/>
      </c>
      <c r="H8" s="1633" t="str">
        <f t="array" ref="H8">IFERROR(IF(ROW($H$1)&gt;COUNTA($BT$4:$BT$33),"",INDEX($BT:$BT,SMALL(IF(BT$4:BT$33&lt;&gt;"",ROW($4:$33)),ROW(F5)))),"")</f>
        <v/>
      </c>
      <c r="I8" s="1620" t="str">
        <f t="array" ref="I8">IFERROR(IF(ROW($I$1)&gt;COUNTA($AZ$4:$AZ$33),"",INDEX($AZ:$AZ,SMALL(IF(AZ$4:AZ$33&lt;&gt;"",ROW($4:$33)),ROW(G5)))),"")</f>
        <v/>
      </c>
      <c r="J8" s="1619" t="str">
        <f t="array" ref="J8">IFERROR(IF(ROW($J$1)&gt;COUNTA($BA$4:$BA$33),"",INDEX($BA:$BA,SMALL(IF(BA$4:BA$33&lt;&gt;"",ROW($4:$33)),ROW(H5)))),"")</f>
        <v/>
      </c>
      <c r="K8" s="1621" t="str">
        <f t="array" ref="K8">IFERROR(IF(ROW($K$1)&gt;COUNTA($BB$4:$BB$33),"",INDEX($BB:$BB,SMALL(IF(BB$4:BB$33&lt;&gt;"",ROW($4:$33)),ROW(I5)))),"")</f>
        <v/>
      </c>
      <c r="L8" s="1630"/>
      <c r="M8" s="1634" t="str">
        <f t="array" ref="M8">IFERROR(IF(ROW($M$1)&gt;COUNTA($BU$4:$BU$33),"",INDEX($BU:$BU,SMALL(IF(BU$4:BU$33&lt;&gt;"",ROW($4:$33)),ROW(K5)))),"")</f>
        <v/>
      </c>
      <c r="N8" s="1620" t="str">
        <f t="array" ref="N8">IFERROR(IF(ROW($N$1)&gt;COUNTA($BJ$4:$BJ$33),"",INDEX($BJ:$BJ,SMALL(IF(BJ$4:BJ$33&lt;&gt;"",ROW($4:$33)),ROW(L5)))),"")</f>
        <v/>
      </c>
      <c r="O8" s="1619" t="str">
        <f t="array" ref="O8">IFERROR(IF(ROW($O$1)&gt;COUNTA($BK$4:$BK$33),"",INDEX($BK:$BK,SMALL(IF(BK$4:BK$33&lt;&gt;"",ROW($4:$33)),ROW(M5)))),"")</f>
        <v/>
      </c>
      <c r="P8" s="1645" t="str">
        <f t="array" ref="P8">IFERROR(IF(ROW($P$1)&gt;COUNTA($BL$4:$BL$33),"",INDEX($BL:$BL,SMALL(IF(BL$4:BL$33&lt;&gt;"",ROW($4:$33)),ROW(N5)))),"")</f>
        <v/>
      </c>
      <c r="Q8" s="1775"/>
      <c r="R8" s="1780"/>
      <c r="S8" s="1775"/>
      <c r="T8" s="1775"/>
      <c r="U8" s="1608" t="str">
        <f>IF(AND(S_5!$G$8="ja",S_5!$K$8="nein"),S_5!$C$2,"")</f>
        <v/>
      </c>
      <c r="V8" s="747" t="str">
        <f t="shared" si="1"/>
        <v/>
      </c>
      <c r="W8" s="1106" t="str">
        <f>IF($U8="","",S_5!$B$13)</f>
        <v/>
      </c>
      <c r="Y8" s="1106" t="str">
        <f>IF($U8="","",Grünland!B9)</f>
        <v/>
      </c>
      <c r="Z8" s="1608" t="str">
        <f>IF($U8="","",S_5!C13)</f>
        <v/>
      </c>
      <c r="AA8" s="747" t="str">
        <f t="shared" si="2"/>
        <v/>
      </c>
      <c r="AB8" s="1608" t="str">
        <f>IF($U8="","",S_5!CM13)</f>
        <v/>
      </c>
      <c r="AC8" s="747" t="str">
        <f t="shared" si="3"/>
        <v/>
      </c>
      <c r="AD8" s="1608" t="str">
        <f>IF($U8="","",S_5!E13)</f>
        <v/>
      </c>
      <c r="AE8" s="1608" t="str">
        <f>IF($U8="","",S_5!F13)</f>
        <v/>
      </c>
      <c r="AF8" s="1608" t="str">
        <f>IF($U8="","",S_5!G13)</f>
        <v/>
      </c>
      <c r="AG8" s="1608" t="str">
        <f>IF($U8="","",S_5!H13)</f>
        <v/>
      </c>
      <c r="AH8" s="1608" t="str">
        <f>IF($U8="","",S_5!I13)</f>
        <v/>
      </c>
      <c r="AI8" s="1608" t="str">
        <f>IF($U8="","",S_5!J13)</f>
        <v/>
      </c>
      <c r="AJ8" s="1608" t="str">
        <f>IF($U8="","",S_5!K13)</f>
        <v/>
      </c>
      <c r="AK8" s="1608" t="str">
        <f>IF($U8="","",S_5!L13)</f>
        <v/>
      </c>
      <c r="AL8" s="1608" t="str">
        <f>IF($U8="","",S_5!M13)</f>
        <v/>
      </c>
      <c r="AM8" s="1608" t="str">
        <f>IF($U8="","",S_5!N13)</f>
        <v/>
      </c>
      <c r="AN8" s="1608" t="str">
        <f>IF($U8="","",S_5!O13)</f>
        <v/>
      </c>
      <c r="AO8" s="1608" t="str">
        <f>IF($U8="","",S_5!P13)</f>
        <v/>
      </c>
      <c r="AQ8" s="1608">
        <f>IF(S_5!$DF$13&gt;0,1,0)</f>
        <v>0</v>
      </c>
      <c r="AR8" s="1608">
        <f>IF(S_5!$DG$13&gt;0,1,0)</f>
        <v>0</v>
      </c>
      <c r="AS8" s="1608">
        <f>IF(S_5!$DH$13&gt;0,1,0)</f>
        <v>0</v>
      </c>
      <c r="AT8" s="1608">
        <f>IF(S_5!$DI$13&gt;0,1,0)</f>
        <v>0</v>
      </c>
      <c r="AU8" s="1608">
        <f>IF(S_5!$DJ$13&gt;0,1,0)</f>
        <v>0</v>
      </c>
      <c r="AV8" s="1608">
        <f>IF(S_5!$DK$13&gt;0,1,0)</f>
        <v>0</v>
      </c>
      <c r="AW8" s="1608">
        <f t="shared" si="4"/>
        <v>0</v>
      </c>
      <c r="AX8" s="1608" t="str">
        <f t="shared" si="5"/>
        <v/>
      </c>
      <c r="AY8" s="1106" t="str">
        <f t="shared" si="0"/>
        <v/>
      </c>
      <c r="AZ8" s="1106" t="str">
        <f t="shared" si="6"/>
        <v/>
      </c>
      <c r="BA8" s="2259" t="str">
        <f t="shared" si="7"/>
        <v/>
      </c>
      <c r="BB8" s="2259" t="str">
        <f t="shared" si="8"/>
        <v/>
      </c>
      <c r="BC8" s="1608">
        <f>IF(S_5!$DN$13&gt;0,1,0)</f>
        <v>0</v>
      </c>
      <c r="BD8" s="1608">
        <f>IF(S_5!$DO$13&gt;0,1,0)</f>
        <v>0</v>
      </c>
      <c r="BE8" s="1608">
        <f>IF(S_5!$DP$13&gt;0,1,0)</f>
        <v>0</v>
      </c>
      <c r="BF8" s="1608">
        <f>IF(S_5!$DQ$13&gt;0,1,0)</f>
        <v>0</v>
      </c>
      <c r="BG8" s="1608">
        <f>IF(S_5!$DR$13&gt;0,1,0)</f>
        <v>0</v>
      </c>
      <c r="BH8" s="1608">
        <f>IF(S_5!$DS$13&gt;0,1,0)</f>
        <v>0</v>
      </c>
      <c r="BI8" s="1608">
        <f t="shared" si="9"/>
        <v>0</v>
      </c>
      <c r="BJ8" s="1106" t="str">
        <f t="shared" si="10"/>
        <v/>
      </c>
      <c r="BK8" s="2259" t="str">
        <f t="shared" si="11"/>
        <v/>
      </c>
      <c r="BL8" s="2259" t="str">
        <f t="shared" si="12"/>
        <v/>
      </c>
      <c r="BN8" s="747">
        <f>S_5!$DE$13</f>
        <v>0</v>
      </c>
      <c r="BO8" s="747">
        <f>S_5!$DM$13</f>
        <v>0</v>
      </c>
      <c r="BP8" s="747">
        <f>S_5!$CP$13</f>
        <v>0</v>
      </c>
      <c r="BQ8" s="747">
        <f>S_5!$CQ$13</f>
        <v>0</v>
      </c>
      <c r="BR8" s="1610" t="e">
        <f>BP8/Betrieb!$E$23</f>
        <v>#DIV/0!</v>
      </c>
      <c r="BS8" s="1610" t="e">
        <f>BQ8/Betrieb!$E$24</f>
        <v>#DIV/0!</v>
      </c>
      <c r="BT8" s="1615" t="str">
        <f t="shared" si="13"/>
        <v/>
      </c>
      <c r="BU8" s="1615" t="str">
        <f t="shared" si="14"/>
        <v/>
      </c>
      <c r="BV8" s="747">
        <f>IF(AND(S_5!$G$8="JA",S_5!$K$8="NEIN"),S_5!$U$13,0)</f>
        <v>0</v>
      </c>
      <c r="BW8" s="1769">
        <f>IF(AND(S_5!$G$8="JA",S_5!$K$8="NEIN"),S_5!$V$13,0)</f>
        <v>0</v>
      </c>
      <c r="BX8" s="1087" t="str">
        <f t="shared" si="15"/>
        <v/>
      </c>
      <c r="BY8" s="1087" t="str">
        <f t="shared" si="16"/>
        <v/>
      </c>
    </row>
    <row r="9" spans="1:77" ht="20.25" customHeight="1">
      <c r="A9" s="1775"/>
      <c r="C9" s="1721" t="str">
        <f t="array" ref="C9">IFERROR(IF(ROW($C$1)&gt;COUNTA($Y$4:$Y$33),"",INDEX($Y:$Y,SMALL(IF(Y$4:Y$33&lt;&gt;"",ROW($4:$33)),ROW(C6)))),"")</f>
        <v/>
      </c>
      <c r="D9" s="1722" t="str">
        <f t="array" ref="D9">IFERROR(IF(ROW($D$1)&gt;COUNTA($V$4:$V$33),"",INDEX($V:$V,SMALL(IF(V$4:V$33&lt;&gt;"",ROW($4:$33)),ROW(B6)))),"")</f>
        <v/>
      </c>
      <c r="E9" s="1723" t="str">
        <f t="array" ref="E9">IFERROR(IF(ROW($E$1)&gt;COUNTA($W$4:$W$33),"",INDEX($W:$W,SMALL(IF(W$4:W$33&lt;&gt;"",ROW($4:$33)),ROW(C6)))),"")</f>
        <v/>
      </c>
      <c r="F9" s="1727" t="str">
        <f t="array" ref="F9">IFERROR(IF(ROW($F$1)&gt;COUNTA($AA$4:$AA$33),"",INDEX($AA:$AA,SMALL(IF(AA$4:AA$33&lt;&gt;"",ROW($4:$33)),ROW(D6)))),"")</f>
        <v/>
      </c>
      <c r="G9" s="1639" t="str">
        <f t="array" ref="G9">IFERROR(IF(ROW($G$1)&gt;COUNTA($AC$4:$AC$33),"",INDEX($AC:$AC,SMALL(IF(AC$4:AC$33&lt;&gt;"",ROW($4:$33)),ROW(E6)))),"")</f>
        <v/>
      </c>
      <c r="H9" s="1632" t="str">
        <f t="array" ref="H9">IFERROR(IF(ROW($H$1)&gt;COUNTA($BT$4:$BT$33),"",INDEX($BT:$BT,SMALL(IF(BT$4:BT$33&lt;&gt;"",ROW($4:$33)),ROW(F6)))),"")</f>
        <v/>
      </c>
      <c r="I9" s="1623" t="str">
        <f t="array" ref="I9">IFERROR(IF(ROW($I$1)&gt;COUNTA($AZ$4:$AZ$33),"",INDEX($AZ:$AZ,SMALL(IF(AZ$4:AZ$33&lt;&gt;"",ROW($4:$33)),ROW(G6)))),"")</f>
        <v/>
      </c>
      <c r="J9" s="1622" t="str">
        <f t="array" ref="J9">IFERROR(IF(ROW($J$1)&gt;COUNTA($BA$4:$BA$33),"",INDEX($BA:$BA,SMALL(IF(BA$4:BA$33&lt;&gt;"",ROW($4:$33)),ROW(H6)))),"")</f>
        <v/>
      </c>
      <c r="K9" s="1624" t="str">
        <f t="array" ref="K9">IFERROR(IF(ROW($K$1)&gt;COUNTA($BB$4:$BB$33),"",INDEX($BB:$BB,SMALL(IF(BB$4:BB$33&lt;&gt;"",ROW($4:$33)),ROW(I6)))),"")</f>
        <v/>
      </c>
      <c r="L9" s="1625"/>
      <c r="M9" s="1632" t="str">
        <f t="array" ref="M9">IFERROR(IF(ROW($M$1)&gt;COUNTA($BU$4:$BU$33),"",INDEX($BU:$BU,SMALL(IF(BU$4:BU$33&lt;&gt;"",ROW($4:$33)),ROW(K6)))),"")</f>
        <v/>
      </c>
      <c r="N9" s="1623" t="str">
        <f t="array" ref="N9">IFERROR(IF(ROW($N$1)&gt;COUNTA($BJ$4:$BJ$33),"",INDEX($BJ:$BJ,SMALL(IF(BJ$4:BJ$33&lt;&gt;"",ROW($4:$33)),ROW(L6)))),"")</f>
        <v/>
      </c>
      <c r="O9" s="1622" t="str">
        <f t="array" ref="O9">IFERROR(IF(ROW($O$1)&gt;COUNTA($BK$4:$BK$33),"",INDEX($BK:$BK,SMALL(IF(BK$4:BK$33&lt;&gt;"",ROW($4:$33)),ROW(M6)))),"")</f>
        <v/>
      </c>
      <c r="P9" s="1646" t="str">
        <f t="array" ref="P9">IFERROR(IF(ROW($P$1)&gt;COUNTA($BL$4:$BL$33),"",INDEX($BL:$BL,SMALL(IF(BL$4:BL$33&lt;&gt;"",ROW($4:$33)),ROW(N6)))),"")</f>
        <v/>
      </c>
      <c r="Q9" s="1775"/>
      <c r="R9" s="1780"/>
      <c r="S9" s="1775"/>
      <c r="T9" s="1775"/>
      <c r="U9" s="1608" t="str">
        <f>IF(AND(S_6!$G$8="ja",S_6!$K$8="nein"),S_6!$C$2,"")</f>
        <v/>
      </c>
      <c r="V9" s="747" t="str">
        <f t="shared" si="1"/>
        <v/>
      </c>
      <c r="W9" s="1106" t="str">
        <f>IF($U9="","",S_6!$B$13)</f>
        <v/>
      </c>
      <c r="Y9" s="1106" t="str">
        <f>IF($U9="","",Grünland!B10)</f>
        <v/>
      </c>
      <c r="Z9" s="1608" t="str">
        <f>IF($U9="","",S_6!C13)</f>
        <v/>
      </c>
      <c r="AA9" s="747" t="str">
        <f t="shared" si="2"/>
        <v/>
      </c>
      <c r="AB9" s="1608" t="str">
        <f>IF($U9="","",S_6!CM13)</f>
        <v/>
      </c>
      <c r="AC9" s="747" t="str">
        <f t="shared" si="3"/>
        <v/>
      </c>
      <c r="AD9" s="1608" t="str">
        <f>IF($U9="","",S_6!E13)</f>
        <v/>
      </c>
      <c r="AE9" s="1608" t="str">
        <f>IF($U9="","",S_6!F13)</f>
        <v/>
      </c>
      <c r="AF9" s="1608" t="str">
        <f>IF($U9="","",S_6!G13)</f>
        <v/>
      </c>
      <c r="AG9" s="1608" t="str">
        <f>IF($U9="","",S_6!H13)</f>
        <v/>
      </c>
      <c r="AH9" s="1608" t="str">
        <f>IF($U9="","",S_6!I13)</f>
        <v/>
      </c>
      <c r="AI9" s="1608" t="str">
        <f>IF($U9="","",S_6!J13)</f>
        <v/>
      </c>
      <c r="AJ9" s="1608" t="str">
        <f>IF($U9="","",S_6!K13)</f>
        <v/>
      </c>
      <c r="AK9" s="1608" t="str">
        <f>IF($U9="","",S_6!L13)</f>
        <v/>
      </c>
      <c r="AL9" s="1608" t="str">
        <f>IF($U9="","",S_6!M13)</f>
        <v/>
      </c>
      <c r="AM9" s="1608" t="str">
        <f>IF($U9="","",S_6!N13)</f>
        <v/>
      </c>
      <c r="AN9" s="1608" t="str">
        <f>IF($U9="","",S_6!O13)</f>
        <v/>
      </c>
      <c r="AO9" s="1608" t="str">
        <f>IF($U9="","",S_6!P13)</f>
        <v/>
      </c>
      <c r="AQ9" s="1608">
        <f>IF(S_6!$DF$13&gt;0,1,0)</f>
        <v>0</v>
      </c>
      <c r="AR9" s="1608">
        <f>IF(S_6!$DG$13&gt;0,1,0)</f>
        <v>0</v>
      </c>
      <c r="AS9" s="1608">
        <f>IF(S_6!$DH$13&gt;0,1,0)</f>
        <v>0</v>
      </c>
      <c r="AT9" s="1608">
        <f>IF(S_6!$DI$13&gt;0,1,0)</f>
        <v>0</v>
      </c>
      <c r="AU9" s="1608">
        <f>IF(S_6!$DJ$13&gt;0,1,0)</f>
        <v>0</v>
      </c>
      <c r="AV9" s="1608">
        <f>IF(S_6!$DK$13&gt;0,1,0)</f>
        <v>0</v>
      </c>
      <c r="AW9" s="1608">
        <f t="shared" si="4"/>
        <v>0</v>
      </c>
      <c r="AX9" s="1608" t="str">
        <f t="shared" si="5"/>
        <v/>
      </c>
      <c r="AY9" s="1106" t="str">
        <f t="shared" si="0"/>
        <v/>
      </c>
      <c r="AZ9" s="1106" t="str">
        <f t="shared" si="6"/>
        <v/>
      </c>
      <c r="BA9" s="2259" t="str">
        <f t="shared" si="7"/>
        <v/>
      </c>
      <c r="BB9" s="2259" t="str">
        <f t="shared" si="8"/>
        <v/>
      </c>
      <c r="BC9" s="1608">
        <f>IF(S_6!$DN$13&gt;0,1,0)</f>
        <v>0</v>
      </c>
      <c r="BD9" s="1608">
        <f>IF(S_6!$DO$13&gt;0,1,0)</f>
        <v>0</v>
      </c>
      <c r="BE9" s="1608">
        <f>IF(S_6!$DP$13&gt;0,1,0)</f>
        <v>0</v>
      </c>
      <c r="BF9" s="1608">
        <f>IF(S_6!$DQ$13&gt;0,1,0)</f>
        <v>0</v>
      </c>
      <c r="BG9" s="1608">
        <f>IF(S_6!$DR$13&gt;0,1,0)</f>
        <v>0</v>
      </c>
      <c r="BH9" s="1608">
        <f>IF(S_6!$DS$13&gt;0,1,0)</f>
        <v>0</v>
      </c>
      <c r="BI9" s="1608">
        <f t="shared" si="9"/>
        <v>0</v>
      </c>
      <c r="BJ9" s="1106" t="str">
        <f t="shared" si="10"/>
        <v/>
      </c>
      <c r="BK9" s="2259" t="str">
        <f t="shared" si="11"/>
        <v/>
      </c>
      <c r="BL9" s="2259" t="str">
        <f t="shared" si="12"/>
        <v/>
      </c>
      <c r="BN9" s="747">
        <f>S_6!$DE$13</f>
        <v>0</v>
      </c>
      <c r="BO9" s="747">
        <f>S_6!$DM$13</f>
        <v>0</v>
      </c>
      <c r="BP9" s="747">
        <f>S_6!$CP$13</f>
        <v>0</v>
      </c>
      <c r="BQ9" s="747">
        <f>S_6!$CQ$13</f>
        <v>0</v>
      </c>
      <c r="BR9" s="1610" t="e">
        <f>BP9/Betrieb!$E$23</f>
        <v>#DIV/0!</v>
      </c>
      <c r="BS9" s="1610" t="e">
        <f>BQ9/Betrieb!$E$24</f>
        <v>#DIV/0!</v>
      </c>
      <c r="BT9" s="1615" t="str">
        <f t="shared" si="13"/>
        <v/>
      </c>
      <c r="BU9" s="1615" t="str">
        <f t="shared" si="14"/>
        <v/>
      </c>
      <c r="BV9" s="747">
        <f>IF(AND(S_6!$G$8="JA",S_6!$K$8="NEIN"),S_6!$U$13,0)</f>
        <v>0</v>
      </c>
      <c r="BW9" s="1769">
        <f>IF(AND(S_6!$G$8="JA",S_6!$K$8="NEIN"),S_6!$V$13,0)</f>
        <v>0</v>
      </c>
      <c r="BX9" s="1087" t="str">
        <f t="shared" si="15"/>
        <v/>
      </c>
      <c r="BY9" s="1087" t="str">
        <f t="shared" si="16"/>
        <v/>
      </c>
    </row>
    <row r="10" spans="1:77" ht="20.25" customHeight="1">
      <c r="A10" s="1775"/>
      <c r="C10" s="1736" t="str">
        <f t="array" ref="C10">IFERROR(IF(ROW($C$1)&gt;COUNTA($Y$4:$Y$33),"",INDEX($Y:$Y,SMALL(IF(Y$4:Y$33&lt;&gt;"",ROW($4:$33)),ROW(C7)))),"")</f>
        <v/>
      </c>
      <c r="D10" s="1737" t="str">
        <f t="array" ref="D10">IFERROR(IF(ROW($D$1)&gt;COUNTA($V$4:$V$33),"",INDEX($V:$V,SMALL(IF(V$4:V$33&lt;&gt;"",ROW($4:$33)),ROW(B7)))),"")</f>
        <v/>
      </c>
      <c r="E10" s="1735" t="str">
        <f t="array" ref="E10">IFERROR(IF(ROW($E$1)&gt;COUNTA($W$4:$W$33),"",INDEX($W:$W,SMALL(IF(W$4:W$33&lt;&gt;"",ROW($4:$33)),ROW(C7)))),"")</f>
        <v/>
      </c>
      <c r="F10" s="1728" t="str">
        <f t="array" ref="F10">IFERROR(IF(ROW($F$1)&gt;COUNTA($AA$4:$AA$33),"",INDEX($AA:$AA,SMALL(IF(AA$4:AA$33&lt;&gt;"",ROW($4:$33)),ROW(D7)))),"")</f>
        <v/>
      </c>
      <c r="G10" s="2265" t="str">
        <f t="array" ref="G10">IFERROR(IF(ROW($G$1)&gt;COUNTA($AC$4:$AC$33),"",INDEX($AC:$AC,SMALL(IF(AC$4:AC$33&lt;&gt;"",ROW($4:$33)),ROW(E7)))),"")</f>
        <v/>
      </c>
      <c r="H10" s="1633" t="str">
        <f t="array" ref="H10">IFERROR(IF(ROW($H$1)&gt;COUNTA($BT$4:$BT$33),"",INDEX($BT:$BT,SMALL(IF(BT$4:BT$33&lt;&gt;"",ROW($4:$33)),ROW(F7)))),"")</f>
        <v/>
      </c>
      <c r="I10" s="1627" t="str">
        <f t="array" ref="I10">IFERROR(IF(ROW($I$1)&gt;COUNTA($AZ$4:$AZ$33),"",INDEX($AZ:$AZ,SMALL(IF(AZ$4:AZ$33&lt;&gt;"",ROW($4:$33)),ROW(G7)))),"")</f>
        <v/>
      </c>
      <c r="J10" s="1626" t="str">
        <f t="array" ref="J10">IFERROR(IF(ROW($J$1)&gt;COUNTA($BA$4:$BA$33),"",INDEX($BA:$BA,SMALL(IF(BA$4:BA$33&lt;&gt;"",ROW($4:$33)),ROW(H7)))),"")</f>
        <v/>
      </c>
      <c r="K10" s="1628" t="str">
        <f t="array" ref="K10">IFERROR(IF(ROW($K$1)&gt;COUNTA($BB$4:$BB$33),"",INDEX($BB:$BB,SMALL(IF(BB$4:BB$33&lt;&gt;"",ROW($4:$33)),ROW(I7)))),"")</f>
        <v/>
      </c>
      <c r="L10" s="1641"/>
      <c r="M10" s="1633" t="str">
        <f t="array" ref="M10">IFERROR(IF(ROW($M$1)&gt;COUNTA($BU$4:$BU$33),"",INDEX($BU:$BU,SMALL(IF(BU$4:BU$33&lt;&gt;"",ROW($4:$33)),ROW(K7)))),"")</f>
        <v/>
      </c>
      <c r="N10" s="1627" t="str">
        <f t="array" ref="N10">IFERROR(IF(ROW($N$1)&gt;COUNTA($BJ$4:$BJ$33),"",INDEX($BJ:$BJ,SMALL(IF(BJ$4:BJ$33&lt;&gt;"",ROW($4:$33)),ROW(L7)))),"")</f>
        <v/>
      </c>
      <c r="O10" s="1626" t="str">
        <f t="array" ref="O10">IFERROR(IF(ROW($O$1)&gt;COUNTA($BK$4:$BK$33),"",INDEX($BK:$BK,SMALL(IF(BK$4:BK$33&lt;&gt;"",ROW($4:$33)),ROW(M7)))),"")</f>
        <v/>
      </c>
      <c r="P10" s="1647" t="str">
        <f t="array" ref="P10">IFERROR(IF(ROW($P$1)&gt;COUNTA($BL$4:$BL$33),"",INDEX($BL:$BL,SMALL(IF(BL$4:BL$33&lt;&gt;"",ROW($4:$33)),ROW(N7)))),"")</f>
        <v/>
      </c>
      <c r="Q10" s="1775"/>
      <c r="R10" s="1780"/>
      <c r="S10" s="1775"/>
      <c r="T10" s="1775"/>
      <c r="U10" s="1608" t="str">
        <f>IF(AND(S_7!$G$8="ja",S_7!$K$8="nein"),S_7!$C$2,"")</f>
        <v/>
      </c>
      <c r="V10" s="747" t="str">
        <f t="shared" si="1"/>
        <v/>
      </c>
      <c r="W10" s="1106" t="str">
        <f>IF($U10="","",S_7!$B$13)</f>
        <v/>
      </c>
      <c r="Y10" s="1106" t="str">
        <f>IF($U10="","",Grünland!B11)</f>
        <v/>
      </c>
      <c r="Z10" s="1608" t="str">
        <f>IF($U10="","",S_7!C13)</f>
        <v/>
      </c>
      <c r="AA10" s="747" t="str">
        <f t="shared" si="2"/>
        <v/>
      </c>
      <c r="AB10" s="1608" t="str">
        <f>IF($U10="","",S_7!CM13)</f>
        <v/>
      </c>
      <c r="AC10" s="747" t="str">
        <f t="shared" si="3"/>
        <v/>
      </c>
      <c r="AD10" s="1608" t="str">
        <f>IF($U10="","",S_7!E13)</f>
        <v/>
      </c>
      <c r="AE10" s="1608" t="str">
        <f>IF($U10="","",S_7!F13)</f>
        <v/>
      </c>
      <c r="AF10" s="1608" t="str">
        <f>IF($U10="","",S_7!G13)</f>
        <v/>
      </c>
      <c r="AG10" s="1608" t="str">
        <f>IF($U10="","",S_7!H13)</f>
        <v/>
      </c>
      <c r="AH10" s="1608" t="str">
        <f>IF($U10="","",S_7!I13)</f>
        <v/>
      </c>
      <c r="AI10" s="1608" t="str">
        <f>IF($U10="","",S_7!J13)</f>
        <v/>
      </c>
      <c r="AJ10" s="1608" t="str">
        <f>IF($U10="","",S_7!K13)</f>
        <v/>
      </c>
      <c r="AK10" s="1608" t="str">
        <f>IF($U10="","",S_7!L13)</f>
        <v/>
      </c>
      <c r="AL10" s="1608" t="str">
        <f>IF($U10="","",S_7!M13)</f>
        <v/>
      </c>
      <c r="AM10" s="1608" t="str">
        <f>IF($U10="","",S_7!N13)</f>
        <v/>
      </c>
      <c r="AN10" s="1608" t="str">
        <f>IF($U10="","",S_7!O13)</f>
        <v/>
      </c>
      <c r="AO10" s="1608" t="str">
        <f>IF($U10="","",S_7!P13)</f>
        <v/>
      </c>
      <c r="AQ10" s="1608">
        <f>IF(S_7!$DF$13&gt;0,1,0)</f>
        <v>0</v>
      </c>
      <c r="AR10" s="1608">
        <f>IF(S_7!$DG$13&gt;0,1,0)</f>
        <v>0</v>
      </c>
      <c r="AS10" s="1608">
        <f>IF(S_7!$DH$13&gt;0,1,0)</f>
        <v>0</v>
      </c>
      <c r="AT10" s="1608">
        <f>IF(S_7!$DI$13&gt;0,1,0)</f>
        <v>0</v>
      </c>
      <c r="AU10" s="1608">
        <f>IF(S_7!$DJ$13&gt;0,1,0)</f>
        <v>0</v>
      </c>
      <c r="AV10" s="1608">
        <f>IF(S_7!$DK$13&gt;0,1,0)</f>
        <v>0</v>
      </c>
      <c r="AW10" s="1608">
        <f t="shared" si="4"/>
        <v>0</v>
      </c>
      <c r="AX10" s="1608" t="str">
        <f t="shared" si="5"/>
        <v/>
      </c>
      <c r="AY10" s="1106" t="str">
        <f t="shared" si="0"/>
        <v/>
      </c>
      <c r="AZ10" s="1106" t="str">
        <f t="shared" si="6"/>
        <v/>
      </c>
      <c r="BA10" s="2259" t="str">
        <f t="shared" si="7"/>
        <v/>
      </c>
      <c r="BB10" s="2259" t="str">
        <f t="shared" si="8"/>
        <v/>
      </c>
      <c r="BC10" s="1608">
        <f>IF(S_7!$DN$13&gt;0,1,0)</f>
        <v>0</v>
      </c>
      <c r="BD10" s="1608">
        <f>IF(S_7!$DO$13&gt;0,1,0)</f>
        <v>0</v>
      </c>
      <c r="BE10" s="1608">
        <f>IF(S_7!$DP$13&gt;0,1,0)</f>
        <v>0</v>
      </c>
      <c r="BF10" s="1608">
        <f>IF(S_7!$DQ$13&gt;0,1,0)</f>
        <v>0</v>
      </c>
      <c r="BG10" s="1608">
        <f>IF(S_7!$DR$13&gt;0,1,0)</f>
        <v>0</v>
      </c>
      <c r="BH10" s="1608">
        <f>IF(S_7!$DS$13&gt;0,1,0)</f>
        <v>0</v>
      </c>
      <c r="BI10" s="1608">
        <f t="shared" si="9"/>
        <v>0</v>
      </c>
      <c r="BJ10" s="1106" t="str">
        <f t="shared" si="10"/>
        <v/>
      </c>
      <c r="BK10" s="2259" t="str">
        <f t="shared" si="11"/>
        <v/>
      </c>
      <c r="BL10" s="2259" t="str">
        <f t="shared" si="12"/>
        <v/>
      </c>
      <c r="BN10" s="747">
        <f>S_7!$DE$13</f>
        <v>0</v>
      </c>
      <c r="BO10" s="747">
        <f>S_7!$DM$13</f>
        <v>0</v>
      </c>
      <c r="BP10" s="747">
        <f>S_7!$CP$13</f>
        <v>0</v>
      </c>
      <c r="BQ10" s="747">
        <f>S_7!$CQ$13</f>
        <v>0</v>
      </c>
      <c r="BR10" s="1610" t="e">
        <f>BP10/Betrieb!$E$23</f>
        <v>#DIV/0!</v>
      </c>
      <c r="BS10" s="1610" t="e">
        <f>BQ10/Betrieb!$E$24</f>
        <v>#DIV/0!</v>
      </c>
      <c r="BT10" s="1615" t="str">
        <f t="shared" si="13"/>
        <v/>
      </c>
      <c r="BU10" s="1615" t="str">
        <f t="shared" si="14"/>
        <v/>
      </c>
      <c r="BV10" s="747">
        <f>IF(AND(S_7!$G$8="JA",S_7!$K$8="NEIN"),S_7!$U$13,0)</f>
        <v>0</v>
      </c>
      <c r="BW10" s="1769">
        <f>IF(AND(S_7!$G$8="JA",S_7!$K$8="NEIN"),S_7!$V$13,0)</f>
        <v>0</v>
      </c>
      <c r="BX10" s="1087" t="str">
        <f t="shared" si="15"/>
        <v/>
      </c>
      <c r="BY10" s="1087" t="str">
        <f t="shared" si="16"/>
        <v/>
      </c>
    </row>
    <row r="11" spans="1:77" ht="20.25" customHeight="1">
      <c r="A11" s="1775"/>
      <c r="C11" s="1724" t="str">
        <f t="array" ref="C11">IFERROR(IF(ROW($C$1)&gt;COUNTA($Y$4:$Y$33),"",INDEX($Y:$Y,SMALL(IF(Y$4:Y$33&lt;&gt;"",ROW($4:$33)),ROW(C8)))),"")</f>
        <v/>
      </c>
      <c r="D11" s="1725" t="str">
        <f t="array" ref="D11">IFERROR(IF(ROW($D$1)&gt;COUNTA($V$4:$V$33),"",INDEX($V:$V,SMALL(IF(V$4:V$33&lt;&gt;"",ROW($4:$33)),ROW(B8)))),"")</f>
        <v/>
      </c>
      <c r="E11" s="2261" t="str">
        <f t="array" ref="E11">IFERROR(IF(ROW($E$1)&gt;COUNTA($W$4:$W$33),"",INDEX($W:$W,SMALL(IF(W$4:W$33&lt;&gt;"",ROW($4:$33)),ROW(C8)))),"")</f>
        <v/>
      </c>
      <c r="F11" s="2263" t="str">
        <f t="array" ref="F11">IFERROR(IF(ROW($F$1)&gt;COUNTA($AA$4:$AA$33),"",INDEX($AA:$AA,SMALL(IF(AA$4:AA$33&lt;&gt;"",ROW($4:$33)),ROW(D8)))),"")</f>
        <v/>
      </c>
      <c r="G11" s="1639" t="str">
        <f t="array" ref="G11">IFERROR(IF(ROW($G$1)&gt;COUNTA($AC$4:$AC$33),"",INDEX($AC:$AC,SMALL(IF(AC$4:AC$33&lt;&gt;"",ROW($4:$33)),ROW(E8)))),"")</f>
        <v/>
      </c>
      <c r="H11" s="1640" t="str">
        <f t="array" ref="H11">IFERROR(IF(ROW($H$1)&gt;COUNTA($BT$4:$BT$33),"",INDEX($BT:$BT,SMALL(IF(BT$4:BT$33&lt;&gt;"",ROW($4:$33)),ROW(F8)))),"")</f>
        <v/>
      </c>
      <c r="I11" s="2268" t="str">
        <f t="array" ref="I11">IFERROR(IF(ROW($I$1)&gt;COUNTA($AZ$4:$AZ$33),"",INDEX($AZ:$AZ,SMALL(IF(AZ$4:AZ$33&lt;&gt;"",ROW($4:$33)),ROW(G8)))),"")</f>
        <v/>
      </c>
      <c r="J11" s="2270" t="str">
        <f t="array" ref="J11">IFERROR(IF(ROW($J$1)&gt;COUNTA($BA$4:$BA$33),"",INDEX($BA:$BA,SMALL(IF(BA$4:BA$33&lt;&gt;"",ROW($4:$33)),ROW(H8)))),"")</f>
        <v/>
      </c>
      <c r="K11" s="2272" t="str">
        <f t="array" ref="K11">IFERROR(IF(ROW($K$1)&gt;COUNTA($BB$4:$BB$33),"",INDEX($BB:$BB,SMALL(IF(BB$4:BB$33&lt;&gt;"",ROW($4:$33)),ROW(I8)))),"")</f>
        <v/>
      </c>
      <c r="L11" s="1642"/>
      <c r="M11" s="1640" t="str">
        <f t="array" ref="M11">IFERROR(IF(ROW($M$1)&gt;COUNTA($BU$4:$BU$33),"",INDEX($BU:$BU,SMALL(IF(BU$4:BU$33&lt;&gt;"",ROW($4:$33)),ROW(K8)))),"")</f>
        <v/>
      </c>
      <c r="N11" s="2268" t="str">
        <f t="array" ref="N11">IFERROR(IF(ROW($N$1)&gt;COUNTA($BJ$4:$BJ$33),"",INDEX($BJ:$BJ,SMALL(IF(BJ$4:BJ$33&lt;&gt;"",ROW($4:$33)),ROW(L8)))),"")</f>
        <v/>
      </c>
      <c r="O11" s="2270" t="str">
        <f t="array" ref="O11">IFERROR(IF(ROW($O$1)&gt;COUNTA($BK$4:$BK$33),"",INDEX($BK:$BK,SMALL(IF(BK$4:BK$33&lt;&gt;"",ROW($4:$33)),ROW(M8)))),"")</f>
        <v/>
      </c>
      <c r="P11" s="2274" t="str">
        <f t="array" ref="P11">IFERROR(IF(ROW($P$1)&gt;COUNTA($BL$4:$BL$33),"",INDEX($BL:$BL,SMALL(IF(BL$4:BL$33&lt;&gt;"",ROW($4:$33)),ROW(N8)))),"")</f>
        <v/>
      </c>
      <c r="Q11" s="1775"/>
      <c r="R11" s="1775"/>
      <c r="S11" s="1775"/>
      <c r="T11" s="1775"/>
      <c r="U11" s="1608" t="str">
        <f>IF(AND(S_8!$G$8="ja",S_8!$K$8="nein"),S_8!$C$2,"")</f>
        <v/>
      </c>
      <c r="V11" s="747" t="str">
        <f t="shared" si="1"/>
        <v/>
      </c>
      <c r="W11" s="1106" t="str">
        <f>IF($U11="","",S_8!$B$13)</f>
        <v/>
      </c>
      <c r="Y11" s="1106" t="str">
        <f>IF($U11="","",Grünland!B12)</f>
        <v/>
      </c>
      <c r="Z11" s="1608" t="str">
        <f>IF($U11="","",S_8!C13)</f>
        <v/>
      </c>
      <c r="AA11" s="747" t="str">
        <f t="shared" si="2"/>
        <v/>
      </c>
      <c r="AB11" s="1608" t="str">
        <f>IF($U11="","",S_8!CM13)</f>
        <v/>
      </c>
      <c r="AC11" s="747" t="str">
        <f t="shared" si="3"/>
        <v/>
      </c>
      <c r="AD11" s="747" t="str">
        <f>IF($U11="","",S_8!E13)</f>
        <v/>
      </c>
      <c r="AE11" s="747" t="str">
        <f>IF($U11="","",S_8!F13)</f>
        <v/>
      </c>
      <c r="AF11" s="747" t="str">
        <f>IF($U11="","",S_8!G13)</f>
        <v/>
      </c>
      <c r="AG11" s="747" t="str">
        <f>IF($U11="","",S_8!H13)</f>
        <v/>
      </c>
      <c r="AH11" s="747" t="str">
        <f>IF($U11="","",S_8!I13)</f>
        <v/>
      </c>
      <c r="AI11" s="747" t="str">
        <f>IF($U11="","",S_8!J13)</f>
        <v/>
      </c>
      <c r="AJ11" s="747" t="str">
        <f>IF($U11="","",S_8!K13)</f>
        <v/>
      </c>
      <c r="AK11" s="747" t="str">
        <f>IF($U11="","",S_8!L13)</f>
        <v/>
      </c>
      <c r="AL11" s="747" t="str">
        <f>IF($U11="","",S_8!M13)</f>
        <v/>
      </c>
      <c r="AM11" s="747" t="str">
        <f>IF($U11="","",S_8!N13)</f>
        <v/>
      </c>
      <c r="AN11" s="747" t="str">
        <f>IF($U11="","",S_8!O13)</f>
        <v/>
      </c>
      <c r="AO11" s="747" t="str">
        <f>IF($U11="","",S_8!P13)</f>
        <v/>
      </c>
      <c r="AQ11" s="1608">
        <f>IF(S_8!$DF$13&gt;0,1,0)</f>
        <v>0</v>
      </c>
      <c r="AR11" s="1608">
        <f>IF(S_8!$DG$13&gt;0,1,0)</f>
        <v>0</v>
      </c>
      <c r="AS11" s="1608">
        <f>IF(S_8!$DH$13&gt;0,1,0)</f>
        <v>0</v>
      </c>
      <c r="AT11" s="1608">
        <f>IF(S_8!$DI$13&gt;0,1,0)</f>
        <v>0</v>
      </c>
      <c r="AU11" s="1608">
        <f>IF(S_8!$DJ$13&gt;0,1,0)</f>
        <v>0</v>
      </c>
      <c r="AV11" s="1608">
        <f>IF(S_8!$DK$13&gt;0,1,0)</f>
        <v>0</v>
      </c>
      <c r="AW11" s="1608">
        <f t="shared" si="4"/>
        <v>0</v>
      </c>
      <c r="AX11" s="1608" t="str">
        <f t="shared" si="5"/>
        <v/>
      </c>
      <c r="AY11" s="1106" t="str">
        <f t="shared" si="0"/>
        <v/>
      </c>
      <c r="AZ11" s="1106" t="str">
        <f t="shared" si="6"/>
        <v/>
      </c>
      <c r="BA11" s="2259" t="str">
        <f t="shared" si="7"/>
        <v/>
      </c>
      <c r="BB11" s="2259" t="str">
        <f t="shared" si="8"/>
        <v/>
      </c>
      <c r="BC11" s="1608">
        <f>IF(S_8!$DN$13&gt;0,1,0)</f>
        <v>0</v>
      </c>
      <c r="BD11" s="1608">
        <f>IF(S_8!$DO$13&gt;0,1,0)</f>
        <v>0</v>
      </c>
      <c r="BE11" s="1608">
        <f>IF(S_8!$DP$13&gt;0,1,0)</f>
        <v>0</v>
      </c>
      <c r="BF11" s="1608">
        <f>IF(S_8!$DQ$13&gt;0,1,0)</f>
        <v>0</v>
      </c>
      <c r="BG11" s="1608">
        <f>IF(S_8!$DR$13&gt;0,1,0)</f>
        <v>0</v>
      </c>
      <c r="BH11" s="1608">
        <f>IF(S_8!$DS$13&gt;0,1,0)</f>
        <v>0</v>
      </c>
      <c r="BI11" s="1608">
        <f t="shared" si="9"/>
        <v>0</v>
      </c>
      <c r="BJ11" s="1106" t="str">
        <f t="shared" si="10"/>
        <v/>
      </c>
      <c r="BK11" s="2259" t="str">
        <f t="shared" si="11"/>
        <v/>
      </c>
      <c r="BL11" s="2259" t="str">
        <f t="shared" si="12"/>
        <v/>
      </c>
      <c r="BN11" s="747">
        <f>S_8!$DE$13</f>
        <v>0</v>
      </c>
      <c r="BO11" s="747">
        <f>S_8!$DM$13</f>
        <v>0</v>
      </c>
      <c r="BP11" s="747">
        <f>S_8!$CP$13</f>
        <v>0</v>
      </c>
      <c r="BQ11" s="747">
        <f>S_8!$CQ$13</f>
        <v>0</v>
      </c>
      <c r="BR11" s="1610" t="e">
        <f>BP11/Betrieb!$E$23</f>
        <v>#DIV/0!</v>
      </c>
      <c r="BS11" s="1610" t="e">
        <f>BQ11/Betrieb!$E$24</f>
        <v>#DIV/0!</v>
      </c>
      <c r="BT11" s="1615" t="str">
        <f t="shared" si="13"/>
        <v/>
      </c>
      <c r="BU11" s="1615" t="str">
        <f t="shared" si="14"/>
        <v/>
      </c>
      <c r="BV11" s="747">
        <f>IF(AND(S_8!$G$8="JA",S_8!$K$8="NEIN"),S_8!$U$13,0)</f>
        <v>0</v>
      </c>
      <c r="BW11" s="1769">
        <f>IF(AND(S_8!$G$8="JA",S_8!$K$8="NEIN"),S_8!$V$13,0)</f>
        <v>0</v>
      </c>
      <c r="BX11" s="1087" t="str">
        <f t="shared" si="15"/>
        <v/>
      </c>
      <c r="BY11" s="1087" t="str">
        <f t="shared" si="16"/>
        <v/>
      </c>
    </row>
    <row r="12" spans="1:77" ht="20.25" customHeight="1">
      <c r="A12" s="1775"/>
      <c r="C12" s="1736" t="str">
        <f t="array" ref="C12">IFERROR(IF(ROW($C$1)&gt;COUNTA($Y$4:$Y$33),"",INDEX($Y:$Y,SMALL(IF(Y$4:Y$33&lt;&gt;"",ROW($4:$33)),ROW(C9)))),"")</f>
        <v/>
      </c>
      <c r="D12" s="1737" t="str">
        <f t="array" ref="D12">IFERROR(IF(ROW($D$1)&gt;COUNTA($V$4:$V$33),"",INDEX($V:$V,SMALL(IF(V$4:V$33&lt;&gt;"",ROW($4:$33)),ROW(B9)))),"")</f>
        <v/>
      </c>
      <c r="E12" s="1735" t="str">
        <f t="array" ref="E12">IFERROR(IF(ROW($E$1)&gt;COUNTA($W$4:$W$33),"",INDEX($W:$W,SMALL(IF(W$4:W$33&lt;&gt;"",ROW($4:$33)),ROW(C9)))),"")</f>
        <v/>
      </c>
      <c r="F12" s="1728" t="str">
        <f t="array" ref="F12">IFERROR(IF(ROW($F$1)&gt;COUNTA($AA$4:$AA$33),"",INDEX($AA:$AA,SMALL(IF(AA$4:AA$33&lt;&gt;"",ROW($4:$33)),ROW(D9)))),"")</f>
        <v/>
      </c>
      <c r="G12" s="2265" t="str">
        <f t="array" ref="G12">IFERROR(IF(ROW($G$1)&gt;COUNTA($AC$4:$AC$33),"",INDEX($AC:$AC,SMALL(IF(AC$4:AC$33&lt;&gt;"",ROW($4:$33)),ROW(E9)))),"")</f>
        <v/>
      </c>
      <c r="H12" s="1633" t="str">
        <f t="array" ref="H12">IFERROR(IF(ROW($H$1)&gt;COUNTA($BT$4:$BT$33),"",INDEX($BT:$BT,SMALL(IF(BT$4:BT$33&lt;&gt;"",ROW($4:$33)),ROW(F9)))),"")</f>
        <v/>
      </c>
      <c r="I12" s="1627" t="str">
        <f t="array" ref="I12">IFERROR(IF(ROW($I$1)&gt;COUNTA($AZ$4:$AZ$33),"",INDEX($AZ:$AZ,SMALL(IF(AZ$4:AZ$33&lt;&gt;"",ROW($4:$33)),ROW(G9)))),"")</f>
        <v/>
      </c>
      <c r="J12" s="1626" t="str">
        <f t="array" ref="J12">IFERROR(IF(ROW($J$1)&gt;COUNTA($BA$4:$BA$33),"",INDEX($BA:$BA,SMALL(IF(BA$4:BA$33&lt;&gt;"",ROW($4:$33)),ROW(H9)))),"")</f>
        <v/>
      </c>
      <c r="K12" s="1628" t="str">
        <f t="array" ref="K12">IFERROR(IF(ROW($K$1)&gt;COUNTA($BB$4:$BB$33),"",INDEX($BB:$BB,SMALL(IF(BB$4:BB$33&lt;&gt;"",ROW($4:$33)),ROW(I9)))),"")</f>
        <v/>
      </c>
      <c r="L12" s="1641"/>
      <c r="M12" s="1633" t="str">
        <f t="array" ref="M12">IFERROR(IF(ROW($M$1)&gt;COUNTA($BU$4:$BU$33),"",INDEX($BU:$BU,SMALL(IF(BU$4:BU$33&lt;&gt;"",ROW($4:$33)),ROW(K9)))),"")</f>
        <v/>
      </c>
      <c r="N12" s="1627" t="str">
        <f t="array" ref="N12">IFERROR(IF(ROW($N$1)&gt;COUNTA($BJ$4:$BJ$33),"",INDEX($BJ:$BJ,SMALL(IF(BJ$4:BJ$33&lt;&gt;"",ROW($4:$33)),ROW(L9)))),"")</f>
        <v/>
      </c>
      <c r="O12" s="1626" t="str">
        <f t="array" ref="O12">IFERROR(IF(ROW($O$1)&gt;COUNTA($BK$4:$BK$33),"",INDEX($BK:$BK,SMALL(IF(BK$4:BK$33&lt;&gt;"",ROW($4:$33)),ROW(M9)))),"")</f>
        <v/>
      </c>
      <c r="P12" s="1647" t="str">
        <f t="array" ref="P12">IFERROR(IF(ROW($P$1)&gt;COUNTA($BL$4:$BL$33),"",INDEX($BL:$BL,SMALL(IF(BL$4:BL$33&lt;&gt;"",ROW($4:$33)),ROW(N9)))),"")</f>
        <v/>
      </c>
      <c r="Q12" s="1775"/>
      <c r="R12" s="1775"/>
      <c r="S12" s="1775"/>
      <c r="T12" s="1775"/>
      <c r="U12" s="1608" t="str">
        <f>IF(AND(S_9!$G$8="ja",S_9!$K$8="nein"),S_9!$C$2,"")</f>
        <v/>
      </c>
      <c r="V12" s="747" t="str">
        <f t="shared" si="1"/>
        <v/>
      </c>
      <c r="W12" s="1106" t="str">
        <f>IF($U12="","",S_9!$B$13)</f>
        <v/>
      </c>
      <c r="Y12" s="1106" t="str">
        <f>IF($U12="","",Grünland!B13)</f>
        <v/>
      </c>
      <c r="Z12" s="1608" t="str">
        <f>IF($U12="","",S_9!C13)</f>
        <v/>
      </c>
      <c r="AA12" s="747" t="str">
        <f t="shared" si="2"/>
        <v/>
      </c>
      <c r="AB12" s="1608" t="str">
        <f>IF($U12="","",S_9!CM13)</f>
        <v/>
      </c>
      <c r="AC12" s="747" t="str">
        <f t="shared" si="3"/>
        <v/>
      </c>
      <c r="AD12" s="747" t="str">
        <f>IF($U12="","",S_9!E13)</f>
        <v/>
      </c>
      <c r="AE12" s="747" t="str">
        <f>IF($U12="","",S_9!F13)</f>
        <v/>
      </c>
      <c r="AF12" s="747" t="str">
        <f>IF($U12="","",S_9!G13)</f>
        <v/>
      </c>
      <c r="AG12" s="747" t="str">
        <f>IF($U12="","",S_9!H13)</f>
        <v/>
      </c>
      <c r="AH12" s="747" t="str">
        <f>IF($U12="","",S_9!I13)</f>
        <v/>
      </c>
      <c r="AI12" s="747" t="str">
        <f>IF($U12="","",S_9!J13)</f>
        <v/>
      </c>
      <c r="AJ12" s="747" t="str">
        <f>IF($U12="","",S_9!K13)</f>
        <v/>
      </c>
      <c r="AK12" s="747" t="str">
        <f>IF($U12="","",S_9!L13)</f>
        <v/>
      </c>
      <c r="AL12" s="747" t="str">
        <f>IF($U12="","",S_9!M13)</f>
        <v/>
      </c>
      <c r="AM12" s="747" t="str">
        <f>IF($U12="","",S_9!N13)</f>
        <v/>
      </c>
      <c r="AN12" s="747" t="str">
        <f>IF($U12="","",S_9!O13)</f>
        <v/>
      </c>
      <c r="AO12" s="747" t="str">
        <f>IF($U12="","",S_9!P13)</f>
        <v/>
      </c>
      <c r="AQ12" s="1608">
        <f>IF(S_9!$DF$13&gt;0,1,0)</f>
        <v>0</v>
      </c>
      <c r="AR12" s="1608">
        <f>IF(S_9!$DG$13&gt;0,1,0)</f>
        <v>0</v>
      </c>
      <c r="AS12" s="1608">
        <f>IF(S_9!$DH$13&gt;0,1,0)</f>
        <v>0</v>
      </c>
      <c r="AT12" s="1608">
        <f>IF(S_9!$DI$13&gt;0,1,0)</f>
        <v>0</v>
      </c>
      <c r="AU12" s="1608">
        <f>IF(S_9!$DJ$13&gt;0,1,0)</f>
        <v>0</v>
      </c>
      <c r="AV12" s="1608">
        <f>IF(S_9!$DK$13&gt;0,1,0)</f>
        <v>0</v>
      </c>
      <c r="AW12" s="1608">
        <f t="shared" si="4"/>
        <v>0</v>
      </c>
      <c r="AX12" s="1608" t="str">
        <f t="shared" si="5"/>
        <v/>
      </c>
      <c r="AY12" s="1106" t="str">
        <f t="shared" si="0"/>
        <v/>
      </c>
      <c r="AZ12" s="1106" t="str">
        <f t="shared" si="6"/>
        <v/>
      </c>
      <c r="BA12" s="2259" t="str">
        <f t="shared" si="7"/>
        <v/>
      </c>
      <c r="BB12" s="2259" t="str">
        <f t="shared" si="8"/>
        <v/>
      </c>
      <c r="BC12" s="1608">
        <f>IF(S_9!$DN$13&gt;0,1,0)</f>
        <v>0</v>
      </c>
      <c r="BD12" s="1608">
        <f>IF(S_9!$DO$13&gt;0,1,0)</f>
        <v>0</v>
      </c>
      <c r="BE12" s="1608">
        <f>IF(S_9!$DP$13&gt;0,1,0)</f>
        <v>0</v>
      </c>
      <c r="BF12" s="1608">
        <f>IF(S_9!$DQ$13&gt;0,1,0)</f>
        <v>0</v>
      </c>
      <c r="BG12" s="1608">
        <f>IF(S_9!$DR$13&gt;0,1,0)</f>
        <v>0</v>
      </c>
      <c r="BH12" s="1608">
        <f>IF(S_9!$DS$13&gt;0,1,0)</f>
        <v>0</v>
      </c>
      <c r="BI12" s="1608">
        <f t="shared" si="9"/>
        <v>0</v>
      </c>
      <c r="BJ12" s="1106" t="str">
        <f t="shared" si="10"/>
        <v/>
      </c>
      <c r="BK12" s="2259" t="str">
        <f t="shared" si="11"/>
        <v/>
      </c>
      <c r="BL12" s="2259" t="str">
        <f t="shared" si="12"/>
        <v/>
      </c>
      <c r="BN12" s="747">
        <f>S_9!$DE$13</f>
        <v>0</v>
      </c>
      <c r="BO12" s="747">
        <f>S_9!$DM$13</f>
        <v>0</v>
      </c>
      <c r="BP12" s="747">
        <f>S_9!$CP$13</f>
        <v>0</v>
      </c>
      <c r="BQ12" s="747">
        <f>S_9!$CQ$13</f>
        <v>0</v>
      </c>
      <c r="BR12" s="1610" t="e">
        <f>BP12/Betrieb!$E$23</f>
        <v>#DIV/0!</v>
      </c>
      <c r="BS12" s="1610" t="e">
        <f>BQ12/Betrieb!$E$24</f>
        <v>#DIV/0!</v>
      </c>
      <c r="BT12" s="1615" t="str">
        <f t="shared" si="13"/>
        <v/>
      </c>
      <c r="BU12" s="1615" t="str">
        <f t="shared" si="14"/>
        <v/>
      </c>
      <c r="BV12" s="747">
        <f>IF(AND(S_9!$G$8="JA",S_9!$K$8="NEIN"),S_9!$U$13,0)</f>
        <v>0</v>
      </c>
      <c r="BW12" s="1769">
        <f>IF(AND(S_9!$G$8="JA",S_9!$K$8="NEIN"),S_9!$V$13,0)</f>
        <v>0</v>
      </c>
      <c r="BX12" s="1087" t="str">
        <f t="shared" si="15"/>
        <v/>
      </c>
      <c r="BY12" s="1087" t="str">
        <f t="shared" si="16"/>
        <v/>
      </c>
    </row>
    <row r="13" spans="1:77" ht="20.25" customHeight="1" thickBot="1">
      <c r="A13" s="1775"/>
      <c r="C13" s="1724" t="str">
        <f t="array" ref="C13">IFERROR(IF(ROW($C$1)&gt;COUNTA($Y$4:$Y$33),"",INDEX($Y:$Y,SMALL(IF(Y$4:Y$33&lt;&gt;"",ROW($4:$33)),ROW(C10)))),"")</f>
        <v/>
      </c>
      <c r="D13" s="1725" t="str">
        <f t="array" ref="D13">IFERROR(IF(ROW($D$1)&gt;COUNTA($V$4:$V$33),"",INDEX($V:$V,SMALL(IF(V$4:V$33&lt;&gt;"",ROW($4:$33)),ROW(B10)))),"")</f>
        <v/>
      </c>
      <c r="E13" s="2261" t="str">
        <f t="array" ref="E13">IFERROR(IF(ROW($E$1)&gt;COUNTA($W$4:$W$33),"",INDEX($W:$W,SMALL(IF(W$4:W$33&lt;&gt;"",ROW($4:$33)),ROW(C10)))),"")</f>
        <v/>
      </c>
      <c r="F13" s="2263" t="str">
        <f t="array" ref="F13">IFERROR(IF(ROW($F$1)&gt;COUNTA($AA$4:$AA$33),"",INDEX($AA:$AA,SMALL(IF(AA$4:AA$33&lt;&gt;"",ROW($4:$33)),ROW(D10)))),"")</f>
        <v/>
      </c>
      <c r="G13" s="1639" t="str">
        <f t="array" ref="G13">IFERROR(IF(ROW($G$1)&gt;COUNTA($AC$4:$AC$33),"",INDEX($AC:$AC,SMALL(IF(AC$4:AC$33&lt;&gt;"",ROW($4:$33)),ROW(E10)))),"")</f>
        <v/>
      </c>
      <c r="H13" s="1640" t="str">
        <f t="array" ref="H13">IFERROR(IF(ROW($H$1)&gt;COUNTA($BT$4:$BT$33),"",INDEX($BT:$BT,SMALL(IF(BT$4:BT$33&lt;&gt;"",ROW($4:$33)),ROW(F10)))),"")</f>
        <v/>
      </c>
      <c r="I13" s="2268" t="str">
        <f t="array" ref="I13">IFERROR(IF(ROW($I$1)&gt;COUNTA($AZ$4:$AZ$33),"",INDEX($AZ:$AZ,SMALL(IF(AZ$4:AZ$33&lt;&gt;"",ROW($4:$33)),ROW(G10)))),"")</f>
        <v/>
      </c>
      <c r="J13" s="2270" t="str">
        <f t="array" ref="J13">IFERROR(IF(ROW($J$1)&gt;COUNTA($BA$4:$BA$33),"",INDEX($BA:$BA,SMALL(IF(BA$4:BA$33&lt;&gt;"",ROW($4:$33)),ROW(H10)))),"")</f>
        <v/>
      </c>
      <c r="K13" s="2272" t="str">
        <f t="array" ref="K13">IFERROR(IF(ROW($K$1)&gt;COUNTA($BB$4:$BB$33),"",INDEX($BB:$BB,SMALL(IF(BB$4:BB$33&lt;&gt;"",ROW($4:$33)),ROW(I10)))),"")</f>
        <v/>
      </c>
      <c r="L13" s="1642"/>
      <c r="M13" s="1640" t="str">
        <f t="array" ref="M13">IFERROR(IF(ROW($M$1)&gt;COUNTA($BU$4:$BU$33),"",INDEX($BU:$BU,SMALL(IF(BU$4:BU$33&lt;&gt;"",ROW($4:$33)),ROW(K10)))),"")</f>
        <v/>
      </c>
      <c r="N13" s="2268" t="str">
        <f t="array" ref="N13">IFERROR(IF(ROW($N$1)&gt;COUNTA($BJ$4:$BJ$33),"",INDEX($BJ:$BJ,SMALL(IF(BJ$4:BJ$33&lt;&gt;"",ROW($4:$33)),ROW(L10)))),"")</f>
        <v/>
      </c>
      <c r="O13" s="2270" t="str">
        <f t="array" ref="O13">IFERROR(IF(ROW($O$1)&gt;COUNTA($BK$4:$BK$33),"",INDEX($BK:$BK,SMALL(IF(BK$4:BK$33&lt;&gt;"",ROW($4:$33)),ROW(M10)))),"")</f>
        <v/>
      </c>
      <c r="P13" s="2274" t="str">
        <f t="array" ref="P13">IFERROR(IF(ROW($P$1)&gt;COUNTA($BL$4:$BL$33),"",INDEX($BL:$BL,SMALL(IF(BL$4:BL$33&lt;&gt;"",ROW($4:$33)),ROW(N10)))),"")</f>
        <v/>
      </c>
      <c r="Q13" s="1775"/>
      <c r="R13" s="1775"/>
      <c r="S13" s="1775"/>
      <c r="T13" s="1775"/>
      <c r="U13" s="1608" t="str">
        <f>IF(AND(S_10!$G$8="ja",S_10!$K$8="nein"),S_10!$C$2,"")</f>
        <v/>
      </c>
      <c r="V13" s="747" t="str">
        <f t="shared" si="1"/>
        <v/>
      </c>
      <c r="W13" s="1106" t="str">
        <f>IF($U13="","",S_10!$B$13)</f>
        <v/>
      </c>
      <c r="Y13" s="1106" t="str">
        <f>IF($U13="","",Grünland!B14)</f>
        <v/>
      </c>
      <c r="Z13" s="1608" t="str">
        <f>IF($U13="","",S_10!C13)</f>
        <v/>
      </c>
      <c r="AA13" s="747" t="str">
        <f t="shared" si="2"/>
        <v/>
      </c>
      <c r="AB13" s="1608" t="str">
        <f>IF($U13="","",S_10!CM13)</f>
        <v/>
      </c>
      <c r="AC13" s="747" t="str">
        <f t="shared" si="3"/>
        <v/>
      </c>
      <c r="AD13" s="747" t="str">
        <f>IF($U13="","",S_10!E13)</f>
        <v/>
      </c>
      <c r="AE13" s="747" t="str">
        <f>IF($U13="","",S_10!F13)</f>
        <v/>
      </c>
      <c r="AF13" s="747" t="str">
        <f>IF($U13="","",S_10!G13)</f>
        <v/>
      </c>
      <c r="AG13" s="747" t="str">
        <f>IF($U13="","",S_10!H13)</f>
        <v/>
      </c>
      <c r="AH13" s="747" t="str">
        <f>IF($U13="","",S_10!I13)</f>
        <v/>
      </c>
      <c r="AI13" s="747" t="str">
        <f>IF($U13="","",S_10!J13)</f>
        <v/>
      </c>
      <c r="AJ13" s="747" t="str">
        <f>IF($U13="","",S_10!K13)</f>
        <v/>
      </c>
      <c r="AK13" s="747" t="str">
        <f>IF($U13="","",S_10!L13)</f>
        <v/>
      </c>
      <c r="AL13" s="747" t="str">
        <f>IF($U13="","",S_10!M13)</f>
        <v/>
      </c>
      <c r="AM13" s="747" t="str">
        <f>IF($U13="","",S_10!N13)</f>
        <v/>
      </c>
      <c r="AN13" s="747" t="str">
        <f>IF($U13="","",S_10!O13)</f>
        <v/>
      </c>
      <c r="AO13" s="747" t="str">
        <f>IF($U13="","",S_10!P13)</f>
        <v/>
      </c>
      <c r="AQ13" s="1608">
        <f>IF(S_10!$DF$13&gt;0,1,0)</f>
        <v>0</v>
      </c>
      <c r="AR13" s="1608">
        <f>IF(S_10!$DG$13&gt;0,1,0)</f>
        <v>0</v>
      </c>
      <c r="AS13" s="1608">
        <f>IF(S_10!$DH$13&gt;0,1,0)</f>
        <v>0</v>
      </c>
      <c r="AT13" s="1608">
        <f>IF(S_10!$DI$13&gt;0,1,0)</f>
        <v>0</v>
      </c>
      <c r="AU13" s="1608">
        <f>IF(S_10!$DJ$13&gt;0,1,0)</f>
        <v>0</v>
      </c>
      <c r="AV13" s="1608">
        <f>IF(S_10!$DK$13&gt;0,1,0)</f>
        <v>0</v>
      </c>
      <c r="AW13" s="1608">
        <f t="shared" si="4"/>
        <v>0</v>
      </c>
      <c r="AX13" s="1608" t="str">
        <f t="shared" si="5"/>
        <v/>
      </c>
      <c r="AY13" s="1106" t="str">
        <f t="shared" si="0"/>
        <v/>
      </c>
      <c r="AZ13" s="1106" t="str">
        <f t="shared" si="6"/>
        <v/>
      </c>
      <c r="BA13" s="2259" t="str">
        <f t="shared" si="7"/>
        <v/>
      </c>
      <c r="BB13" s="2259" t="str">
        <f t="shared" si="8"/>
        <v/>
      </c>
      <c r="BC13" s="1608">
        <f>IF(S_10!$DN$13&gt;0,1,0)</f>
        <v>0</v>
      </c>
      <c r="BD13" s="1608">
        <f>IF(S_10!$DO$13&gt;0,1,0)</f>
        <v>0</v>
      </c>
      <c r="BE13" s="1608">
        <f>IF(S_10!$DP$13&gt;0,1,0)</f>
        <v>0</v>
      </c>
      <c r="BF13" s="1608">
        <f>IF(S_10!$DQ$13&gt;0,1,0)</f>
        <v>0</v>
      </c>
      <c r="BG13" s="1608">
        <f>IF(S_10!$DR$13&gt;0,1,0)</f>
        <v>0</v>
      </c>
      <c r="BH13" s="1608">
        <f>IF(S_10!$DS$13&gt;0,1,0)</f>
        <v>0</v>
      </c>
      <c r="BI13" s="1608">
        <f t="shared" si="9"/>
        <v>0</v>
      </c>
      <c r="BJ13" s="1106" t="str">
        <f t="shared" si="10"/>
        <v/>
      </c>
      <c r="BK13" s="2259" t="str">
        <f t="shared" si="11"/>
        <v/>
      </c>
      <c r="BL13" s="2259" t="str">
        <f t="shared" si="12"/>
        <v/>
      </c>
      <c r="BN13" s="747">
        <f>S_10!$DE$13</f>
        <v>0</v>
      </c>
      <c r="BO13" s="747">
        <f>S_10!$DM$13</f>
        <v>0</v>
      </c>
      <c r="BP13" s="747">
        <f>S_10!$CP$13</f>
        <v>0</v>
      </c>
      <c r="BQ13" s="747">
        <f>S_10!$CQ$13</f>
        <v>0</v>
      </c>
      <c r="BR13" s="1610" t="e">
        <f>BP13/Betrieb!$E$23</f>
        <v>#DIV/0!</v>
      </c>
      <c r="BS13" s="1610" t="e">
        <f>BQ13/Betrieb!$E$24</f>
        <v>#DIV/0!</v>
      </c>
      <c r="BT13" s="1615" t="str">
        <f t="shared" si="13"/>
        <v/>
      </c>
      <c r="BU13" s="1615" t="str">
        <f t="shared" si="14"/>
        <v/>
      </c>
      <c r="BV13" s="747">
        <f>IF(AND(S_10!$G$8="JA",S_10!$K$8="NEIN"),S_10!$U$13,0)</f>
        <v>0</v>
      </c>
      <c r="BW13" s="1769">
        <f>IF(AND(S_10!$G$8="JA",S_10!$K$8="NEIN"),S_10!$V$13,0)</f>
        <v>0</v>
      </c>
      <c r="BX13" s="1087" t="str">
        <f t="shared" si="15"/>
        <v/>
      </c>
      <c r="BY13" s="1087" t="str">
        <f t="shared" si="16"/>
        <v/>
      </c>
    </row>
    <row r="14" spans="1:77" ht="20.25" hidden="1" customHeight="1">
      <c r="A14" s="1775"/>
      <c r="C14" s="1736" t="str">
        <f t="array" ref="C14">IFERROR(IF(ROW($C$1)&gt;COUNTA($Y$4:$Y$33),"",INDEX($Y:$Y,SMALL(IF(Y$4:Y$33&lt;&gt;"",ROW($4:$33)),ROW(C11)))),"")</f>
        <v/>
      </c>
      <c r="D14" s="1737" t="str">
        <f t="array" ref="D14">IFERROR(IF(ROW($D$1)&gt;COUNTA($V$4:$V$33),"",INDEX($V:$V,SMALL(IF(V$4:V$33&lt;&gt;"",ROW($4:$33)),ROW(B11)))),"")</f>
        <v/>
      </c>
      <c r="E14" s="1735" t="str">
        <f t="array" ref="E14">IFERROR(IF(ROW($E$1)&gt;COUNTA($W$4:$W$33),"",INDEX($W:$W,SMALL(IF(W$4:W$33&lt;&gt;"",ROW($4:$33)),ROW(C11)))),"")</f>
        <v/>
      </c>
      <c r="F14" s="1728" t="str">
        <f t="array" ref="F14">IFERROR(IF(ROW($F$1)&gt;COUNTA($AA$4:$AA$33),"",INDEX($AA:$AA,SMALL(IF(AA$4:AA$33&lt;&gt;"",ROW($4:$33)),ROW(D11)))),"")</f>
        <v/>
      </c>
      <c r="G14" s="2265" t="str">
        <f t="array" ref="G14">IFERROR(IF(ROW($G$1)&gt;COUNTA($AC$4:$AC$33),"",INDEX($AC:$AC,SMALL(IF(AC$4:AC$33&lt;&gt;"",ROW($4:$33)),ROW(E11)))),"")</f>
        <v/>
      </c>
      <c r="H14" s="1633" t="str">
        <f t="array" ref="H14">IFERROR(IF(ROW($H$1)&gt;COUNTA($BT$4:$BT$33),"",INDEX($BT:$BT,SMALL(IF(BT$4:BT$33&lt;&gt;"",ROW($4:$33)),ROW(F11)))),"")</f>
        <v/>
      </c>
      <c r="I14" s="1627" t="str">
        <f t="array" ref="I14">IFERROR(IF(ROW($I$1)&gt;COUNTA($AZ$4:$AZ$33),"",INDEX($AZ:$AZ,SMALL(IF(AZ$4:AZ$33&lt;&gt;"",ROW($4:$33)),ROW(G11)))),"")</f>
        <v/>
      </c>
      <c r="J14" s="1626" t="str">
        <f t="array" ref="J14">IFERROR(IF(ROW($J$1)&gt;COUNTA($BA$4:$BA$33),"",INDEX($BA:$BA,SMALL(IF(BA$4:BA$33&lt;&gt;"",ROW($4:$33)),ROW(H11)))),"")</f>
        <v/>
      </c>
      <c r="K14" s="1628" t="str">
        <f t="array" ref="K14">IFERROR(IF(ROW($K$1)&gt;COUNTA($BB$4:$BB$33),"",INDEX($BB:$BB,SMALL(IF(BB$4:BB$33&lt;&gt;"",ROW($4:$33)),ROW(I11)))),"")</f>
        <v/>
      </c>
      <c r="L14" s="1641"/>
      <c r="M14" s="1633" t="str">
        <f t="array" ref="M14">IFERROR(IF(ROW($M$1)&gt;COUNTA($BU$4:$BU$33),"",INDEX($BU:$BU,SMALL(IF(BU$4:BU$33&lt;&gt;"",ROW($4:$33)),ROW(K11)))),"")</f>
        <v/>
      </c>
      <c r="N14" s="1627" t="str">
        <f t="array" ref="N14">IFERROR(IF(ROW($N$1)&gt;COUNTA($BJ$4:$BJ$33),"",INDEX($BJ:$BJ,SMALL(IF(BJ$4:BJ$33&lt;&gt;"",ROW($4:$33)),ROW(L11)))),"")</f>
        <v/>
      </c>
      <c r="O14" s="1626" t="str">
        <f t="array" ref="O14">IFERROR(IF(ROW($O$1)&gt;COUNTA($BK$4:$BK$33),"",INDEX($BK:$BK,SMALL(IF(BK$4:BK$33&lt;&gt;"",ROW($4:$33)),ROW(M11)))),"")</f>
        <v/>
      </c>
      <c r="P14" s="1647" t="str">
        <f t="array" ref="P14">IFERROR(IF(ROW($P$1)&gt;COUNTA($BL$4:$BL$33),"",INDEX($BL:$BL,SMALL(IF(BL$4:BL$33&lt;&gt;"",ROW($4:$33)),ROW(N11)))),"")</f>
        <v/>
      </c>
      <c r="Q14" s="1775"/>
      <c r="R14" s="1775"/>
      <c r="S14" s="1775"/>
      <c r="T14" s="1775"/>
      <c r="U14" s="1608" t="str">
        <f>IF(AND(S_11!$G$8="ja",S_11!$K$8="nein"),S_11!$C$2,"")</f>
        <v/>
      </c>
      <c r="V14" s="747" t="str">
        <f t="shared" si="1"/>
        <v/>
      </c>
      <c r="W14" s="1106" t="str">
        <f>IF($U14="","",S_11!$B$13)</f>
        <v/>
      </c>
      <c r="Y14" s="1106" t="str">
        <f>IF($U14="","",Grünland!B15)</f>
        <v/>
      </c>
      <c r="Z14" s="1608" t="str">
        <f>IF($U14="","",S_11!C13)</f>
        <v/>
      </c>
      <c r="AA14" s="747" t="str">
        <f t="shared" si="2"/>
        <v/>
      </c>
      <c r="AB14" s="1608" t="str">
        <f>IF($U14="","",S_11!CM13)</f>
        <v/>
      </c>
      <c r="AC14" s="747" t="str">
        <f t="shared" si="3"/>
        <v/>
      </c>
      <c r="AD14" s="747" t="str">
        <f>IF($U14="","",S_11!E13)</f>
        <v/>
      </c>
      <c r="AE14" s="747" t="str">
        <f>IF($U14="","",S_11!F13)</f>
        <v/>
      </c>
      <c r="AF14" s="747" t="str">
        <f>IF($U14="","",S_11!G13)</f>
        <v/>
      </c>
      <c r="AG14" s="747" t="str">
        <f>IF($U14="","",S_11!H13)</f>
        <v/>
      </c>
      <c r="AH14" s="747" t="str">
        <f>IF($U14="","",S_11!I13)</f>
        <v/>
      </c>
      <c r="AI14" s="747" t="str">
        <f>IF($U14="","",S_11!J13)</f>
        <v/>
      </c>
      <c r="AJ14" s="747" t="str">
        <f>IF($U14="","",S_11!K13)</f>
        <v/>
      </c>
      <c r="AK14" s="747" t="str">
        <f>IF($U14="","",S_11!L13)</f>
        <v/>
      </c>
      <c r="AL14" s="747" t="str">
        <f>IF($U14="","",S_11!M13)</f>
        <v/>
      </c>
      <c r="AM14" s="747" t="str">
        <f>IF($U14="","",S_11!N13)</f>
        <v/>
      </c>
      <c r="AN14" s="747" t="str">
        <f>IF($U14="","",S_11!O13)</f>
        <v/>
      </c>
      <c r="AO14" s="747" t="str">
        <f>IF($U14="","",S_11!P13)</f>
        <v/>
      </c>
      <c r="AQ14" s="1608">
        <f>IF(S_11!$DF$13&gt;0,1,0)</f>
        <v>0</v>
      </c>
      <c r="AR14" s="1608">
        <f>IF(S_11!$DG$13&gt;0,1,0)</f>
        <v>0</v>
      </c>
      <c r="AS14" s="1608">
        <f>IF(S_11!$DH$13&gt;0,1,0)</f>
        <v>0</v>
      </c>
      <c r="AT14" s="1608">
        <f>IF(S_11!$DI$13&gt;0,1,0)</f>
        <v>0</v>
      </c>
      <c r="AU14" s="1608">
        <f>IF(S_11!$DJ$13&gt;0,1,0)</f>
        <v>0</v>
      </c>
      <c r="AV14" s="1608">
        <f>IF(S_11!$DK$13&gt;0,1,0)</f>
        <v>0</v>
      </c>
      <c r="AW14" s="1608">
        <f t="shared" si="4"/>
        <v>0</v>
      </c>
      <c r="AX14" s="1608" t="str">
        <f t="shared" si="5"/>
        <v/>
      </c>
      <c r="AY14" s="1106" t="str">
        <f t="shared" si="0"/>
        <v/>
      </c>
      <c r="AZ14" s="1106" t="str">
        <f t="shared" si="6"/>
        <v/>
      </c>
      <c r="BA14" s="2259" t="str">
        <f t="shared" si="7"/>
        <v/>
      </c>
      <c r="BB14" s="2259" t="str">
        <f t="shared" si="8"/>
        <v/>
      </c>
      <c r="BC14" s="1608">
        <f>IF(S_11!$DN$13&gt;0,1,0)</f>
        <v>0</v>
      </c>
      <c r="BD14" s="1608">
        <f>IF(S_11!$DO$13&gt;0,1,0)</f>
        <v>0</v>
      </c>
      <c r="BE14" s="1608">
        <f>IF(S_11!$DP$13&gt;0,1,0)</f>
        <v>0</v>
      </c>
      <c r="BF14" s="1608">
        <f>IF(S_11!$DQ$13&gt;0,1,0)</f>
        <v>0</v>
      </c>
      <c r="BG14" s="1608">
        <f>IF(S_11!$DR$13&gt;0,1,0)</f>
        <v>0</v>
      </c>
      <c r="BH14" s="1608">
        <f>IF(S_11!$DS$13&gt;0,1,0)</f>
        <v>0</v>
      </c>
      <c r="BI14" s="1608">
        <f t="shared" si="9"/>
        <v>0</v>
      </c>
      <c r="BJ14" s="1106" t="str">
        <f t="shared" si="10"/>
        <v/>
      </c>
      <c r="BK14" s="2259" t="str">
        <f t="shared" si="11"/>
        <v/>
      </c>
      <c r="BL14" s="2259" t="str">
        <f t="shared" si="12"/>
        <v/>
      </c>
      <c r="BN14" s="747">
        <f>S_11!$DE$13</f>
        <v>0</v>
      </c>
      <c r="BO14" s="747">
        <f>S_11!$DM$13</f>
        <v>0</v>
      </c>
      <c r="BP14" s="747">
        <f>S_11!$CP$13</f>
        <v>0</v>
      </c>
      <c r="BQ14" s="747">
        <f>S_11!$CQ$13</f>
        <v>0</v>
      </c>
      <c r="BR14" s="1610" t="e">
        <f>BP14/Betrieb!$E$23</f>
        <v>#DIV/0!</v>
      </c>
      <c r="BS14" s="1610" t="e">
        <f>BQ14/Betrieb!$E$24</f>
        <v>#DIV/0!</v>
      </c>
      <c r="BT14" s="1615" t="str">
        <f t="shared" si="13"/>
        <v/>
      </c>
      <c r="BU14" s="1615" t="str">
        <f t="shared" si="14"/>
        <v/>
      </c>
      <c r="BV14" s="747">
        <f>IF(AND(S_11!$G$8="JA",S_11!$K$8="NEIN"),S_11!$U$13,0)</f>
        <v>0</v>
      </c>
      <c r="BW14" s="1769">
        <f>IF(AND(S_11!$G$8="JA",S_11!$K$8="NEIN"),S_11!$V$13,0)</f>
        <v>0</v>
      </c>
      <c r="BX14" s="1087" t="str">
        <f t="shared" si="15"/>
        <v/>
      </c>
      <c r="BY14" s="1087" t="str">
        <f t="shared" si="16"/>
        <v/>
      </c>
    </row>
    <row r="15" spans="1:77" ht="20.25" hidden="1" customHeight="1">
      <c r="A15" s="1775"/>
      <c r="C15" s="1724" t="str">
        <f t="array" ref="C15">IFERROR(IF(ROW($C$1)&gt;COUNTA($Y$4:$Y$33),"",INDEX($Y:$Y,SMALL(IF(Y$4:Y$33&lt;&gt;"",ROW($4:$33)),ROW(C12)))),"")</f>
        <v/>
      </c>
      <c r="D15" s="1725" t="str">
        <f t="array" ref="D15">IFERROR(IF(ROW($D$1)&gt;COUNTA($V$4:$V$33),"",INDEX($V:$V,SMALL(IF(V$4:V$33&lt;&gt;"",ROW($4:$33)),ROW(B12)))),"")</f>
        <v/>
      </c>
      <c r="E15" s="2261" t="str">
        <f t="array" ref="E15">IFERROR(IF(ROW($E$1)&gt;COUNTA($W$4:$W$33),"",INDEX($W:$W,SMALL(IF(W$4:W$33&lt;&gt;"",ROW($4:$33)),ROW(C12)))),"")</f>
        <v/>
      </c>
      <c r="F15" s="2263" t="str">
        <f t="array" ref="F15">IFERROR(IF(ROW($F$1)&gt;COUNTA($AA$4:$AA$33),"",INDEX($AA:$AA,SMALL(IF(AA$4:AA$33&lt;&gt;"",ROW($4:$33)),ROW(D12)))),"")</f>
        <v/>
      </c>
      <c r="G15" s="1639" t="str">
        <f t="array" ref="G15">IFERROR(IF(ROW($G$1)&gt;COUNTA($AC$4:$AC$33),"",INDEX($AC:$AC,SMALL(IF(AC$4:AC$33&lt;&gt;"",ROW($4:$33)),ROW(E12)))),"")</f>
        <v/>
      </c>
      <c r="H15" s="1640" t="str">
        <f t="array" ref="H15">IFERROR(IF(ROW($H$1)&gt;COUNTA($BT$4:$BT$33),"",INDEX($BT:$BT,SMALL(IF(BT$4:BT$33&lt;&gt;"",ROW($4:$33)),ROW(F12)))),"")</f>
        <v/>
      </c>
      <c r="I15" s="2268" t="str">
        <f t="array" ref="I15">IFERROR(IF(ROW($I$1)&gt;COUNTA($AZ$4:$AZ$33),"",INDEX($AZ:$AZ,SMALL(IF(AZ$4:AZ$33&lt;&gt;"",ROW($4:$33)),ROW(G12)))),"")</f>
        <v/>
      </c>
      <c r="J15" s="2270" t="str">
        <f t="array" ref="J15">IFERROR(IF(ROW($J$1)&gt;COUNTA($BA$4:$BA$33),"",INDEX($BA:$BA,SMALL(IF(BA$4:BA$33&lt;&gt;"",ROW($4:$33)),ROW(H12)))),"")</f>
        <v/>
      </c>
      <c r="K15" s="2272" t="str">
        <f t="array" ref="K15">IFERROR(IF(ROW($K$1)&gt;COUNTA($BB$4:$BB$33),"",INDEX($BB:$BB,SMALL(IF(BB$4:BB$33&lt;&gt;"",ROW($4:$33)),ROW(I12)))),"")</f>
        <v/>
      </c>
      <c r="L15" s="1642"/>
      <c r="M15" s="1640" t="str">
        <f t="array" ref="M15">IFERROR(IF(ROW($M$1)&gt;COUNTA($BU$4:$BU$33),"",INDEX($BU:$BU,SMALL(IF(BU$4:BU$33&lt;&gt;"",ROW($4:$33)),ROW(K12)))),"")</f>
        <v/>
      </c>
      <c r="N15" s="2268" t="str">
        <f t="array" ref="N15">IFERROR(IF(ROW($N$1)&gt;COUNTA($BJ$4:$BJ$33),"",INDEX($BJ:$BJ,SMALL(IF(BJ$4:BJ$33&lt;&gt;"",ROW($4:$33)),ROW(L12)))),"")</f>
        <v/>
      </c>
      <c r="O15" s="2270" t="str">
        <f t="array" ref="O15">IFERROR(IF(ROW($O$1)&gt;COUNTA($BK$4:$BK$33),"",INDEX($BK:$BK,SMALL(IF(BK$4:BK$33&lt;&gt;"",ROW($4:$33)),ROW(M12)))),"")</f>
        <v/>
      </c>
      <c r="P15" s="2274" t="str">
        <f t="array" ref="P15">IFERROR(IF(ROW($P$1)&gt;COUNTA($BL$4:$BL$33),"",INDEX($BL:$BL,SMALL(IF(BL$4:BL$33&lt;&gt;"",ROW($4:$33)),ROW(N12)))),"")</f>
        <v/>
      </c>
      <c r="Q15" s="1775"/>
      <c r="R15" s="1775"/>
      <c r="S15" s="1775"/>
      <c r="T15" s="1775"/>
      <c r="U15" s="1608" t="str">
        <f>IF(AND(S_12!$G$8="ja",S_12!$K$8="nein"),S_12!$C$2,"")</f>
        <v/>
      </c>
      <c r="V15" s="747" t="str">
        <f t="shared" si="1"/>
        <v/>
      </c>
      <c r="W15" s="1106" t="str">
        <f>IF($U15="","",S_12!$B$13)</f>
        <v/>
      </c>
      <c r="Y15" s="1106" t="str">
        <f>IF($U15="","",Grünland!B16)</f>
        <v/>
      </c>
      <c r="Z15" s="1608" t="str">
        <f>IF($U15="","",S_12!C13)</f>
        <v/>
      </c>
      <c r="AA15" s="747" t="str">
        <f t="shared" si="2"/>
        <v/>
      </c>
      <c r="AB15" s="1608" t="str">
        <f>IF($U15="","",S_12!CM13)</f>
        <v/>
      </c>
      <c r="AC15" s="747" t="str">
        <f t="shared" si="3"/>
        <v/>
      </c>
      <c r="AD15" s="747" t="str">
        <f>IF($U15="","",S_12!E13)</f>
        <v/>
      </c>
      <c r="AE15" s="747" t="str">
        <f>IF($U15="","",S_12!F13)</f>
        <v/>
      </c>
      <c r="AF15" s="747" t="str">
        <f>IF($U15="","",S_12!G13)</f>
        <v/>
      </c>
      <c r="AG15" s="747" t="str">
        <f>IF($U15="","",S_12!H13)</f>
        <v/>
      </c>
      <c r="AH15" s="747" t="str">
        <f>IF($U15="","",S_12!I13)</f>
        <v/>
      </c>
      <c r="AI15" s="747" t="str">
        <f>IF($U15="","",S_12!J13)</f>
        <v/>
      </c>
      <c r="AJ15" s="747" t="str">
        <f>IF($U15="","",S_12!K13)</f>
        <v/>
      </c>
      <c r="AK15" s="747" t="str">
        <f>IF($U15="","",S_12!L13)</f>
        <v/>
      </c>
      <c r="AL15" s="747" t="str">
        <f>IF($U15="","",S_12!M13)</f>
        <v/>
      </c>
      <c r="AM15" s="747" t="str">
        <f>IF($U15="","",S_12!N13)</f>
        <v/>
      </c>
      <c r="AN15" s="747" t="str">
        <f>IF($U15="","",S_12!O13)</f>
        <v/>
      </c>
      <c r="AO15" s="747" t="str">
        <f>IF($U15="","",S_12!P13)</f>
        <v/>
      </c>
      <c r="AQ15" s="1608">
        <f>IF(S_12!$DF$13&gt;0,1,0)</f>
        <v>0</v>
      </c>
      <c r="AR15" s="1608">
        <f>IF(S_12!$DG$13&gt;0,1,0)</f>
        <v>0</v>
      </c>
      <c r="AS15" s="1608">
        <f>IF(S_12!$DH$13&gt;0,1,0)</f>
        <v>0</v>
      </c>
      <c r="AT15" s="1608">
        <f>IF(S_12!$DI$13&gt;0,1,0)</f>
        <v>0</v>
      </c>
      <c r="AU15" s="1608">
        <f>IF(S_12!$DJ$13&gt;0,1,0)</f>
        <v>0</v>
      </c>
      <c r="AV15" s="1608">
        <f>IF(S_12!$DK$13&gt;0,1,0)</f>
        <v>0</v>
      </c>
      <c r="AW15" s="1608">
        <f t="shared" si="4"/>
        <v>0</v>
      </c>
      <c r="AX15" s="1608" t="str">
        <f t="shared" si="5"/>
        <v/>
      </c>
      <c r="AY15" s="1106" t="str">
        <f t="shared" si="0"/>
        <v/>
      </c>
      <c r="AZ15" s="1106" t="str">
        <f t="shared" si="6"/>
        <v/>
      </c>
      <c r="BA15" s="2259" t="str">
        <f t="shared" si="7"/>
        <v/>
      </c>
      <c r="BB15" s="2259" t="str">
        <f t="shared" si="8"/>
        <v/>
      </c>
      <c r="BC15" s="1608">
        <f>IF(S_12!$DN$13&gt;0,1,0)</f>
        <v>0</v>
      </c>
      <c r="BD15" s="1608">
        <f>IF(S_12!$DO$13&gt;0,1,0)</f>
        <v>0</v>
      </c>
      <c r="BE15" s="1608">
        <f>IF(S_12!$DP$13&gt;0,1,0)</f>
        <v>0</v>
      </c>
      <c r="BF15" s="1608">
        <f>IF(S_12!$DQ$13&gt;0,1,0)</f>
        <v>0</v>
      </c>
      <c r="BG15" s="1608">
        <f>IF(S_12!$DR$13&gt;0,1,0)</f>
        <v>0</v>
      </c>
      <c r="BH15" s="1608">
        <f>IF(S_12!$DS$13&gt;0,1,0)</f>
        <v>0</v>
      </c>
      <c r="BI15" s="1608">
        <f t="shared" si="9"/>
        <v>0</v>
      </c>
      <c r="BJ15" s="1106" t="str">
        <f t="shared" si="10"/>
        <v/>
      </c>
      <c r="BK15" s="2259" t="str">
        <f t="shared" si="11"/>
        <v/>
      </c>
      <c r="BL15" s="2259" t="str">
        <f t="shared" si="12"/>
        <v/>
      </c>
      <c r="BN15" s="747">
        <f>S_12!$DE$13</f>
        <v>0</v>
      </c>
      <c r="BO15" s="747">
        <f>S_12!$DM$13</f>
        <v>0</v>
      </c>
      <c r="BP15" s="747">
        <f>S_12!$CP$13</f>
        <v>0</v>
      </c>
      <c r="BQ15" s="747">
        <f>S_12!$CQ$13</f>
        <v>0</v>
      </c>
      <c r="BR15" s="1610" t="e">
        <f>BP15/Betrieb!$E$23</f>
        <v>#DIV/0!</v>
      </c>
      <c r="BS15" s="1610" t="e">
        <f>BQ15/Betrieb!$E$24</f>
        <v>#DIV/0!</v>
      </c>
      <c r="BT15" s="1615" t="str">
        <f t="shared" si="13"/>
        <v/>
      </c>
      <c r="BU15" s="1615" t="str">
        <f t="shared" si="14"/>
        <v/>
      </c>
      <c r="BV15" s="747">
        <f>IF(AND(S_12!$G$8="JA",S_12!$K$8="NEIN"),S_12!$U$13,0)</f>
        <v>0</v>
      </c>
      <c r="BW15" s="1769">
        <f>IF(AND(S_12!$G$8="JA",S_12!$K$8="NEIN"),S_12!$V$13,0)</f>
        <v>0</v>
      </c>
      <c r="BX15" s="1087" t="str">
        <f t="shared" si="15"/>
        <v/>
      </c>
      <c r="BY15" s="1087" t="str">
        <f t="shared" si="16"/>
        <v/>
      </c>
    </row>
    <row r="16" spans="1:77" ht="20.25" hidden="1" customHeight="1" thickBot="1">
      <c r="A16" s="1775"/>
      <c r="C16" s="1738" t="str">
        <f t="array" ref="C16">IFERROR(IF(ROW($C$1)&gt;COUNTA($Y$4:$Y$33),"",INDEX($Y:$Y,SMALL(IF(Y$4:Y$33&lt;&gt;"",ROW($4:$33)),ROW(C13)))),"")</f>
        <v/>
      </c>
      <c r="D16" s="1739" t="str">
        <f t="array" ref="D16">IFERROR(IF(ROW($D$1)&gt;COUNTA($V$4:$V$33),"",INDEX($V:$V,SMALL(IF(V$4:V$33&lt;&gt;"",ROW($4:$33)),ROW(B13)))),"")</f>
        <v/>
      </c>
      <c r="E16" s="2262" t="str">
        <f t="array" ref="E16">IFERROR(IF(ROW($E$1)&gt;COUNTA($W$4:$W$33),"",INDEX($W:$W,SMALL(IF(W$4:W$33&lt;&gt;"",ROW($4:$33)),ROW(C13)))),"")</f>
        <v/>
      </c>
      <c r="F16" s="2264" t="str">
        <f t="array" ref="F16">IFERROR(IF(ROW($F$1)&gt;COUNTA($AA$4:$AA$33),"",INDEX($AA:$AA,SMALL(IF(AA$4:AA$33&lt;&gt;"",ROW($4:$33)),ROW(D13)))),"")</f>
        <v/>
      </c>
      <c r="G16" s="2266" t="str">
        <f t="array" ref="G16">IFERROR(IF(ROW($G$1)&gt;COUNTA($AC$4:$AC$33),"",INDEX($AC:$AC,SMALL(IF(AC$4:AC$33&lt;&gt;"",ROW($4:$33)),ROW(E13)))),"")</f>
        <v/>
      </c>
      <c r="H16" s="2267" t="str">
        <f t="array" ref="H16">IFERROR(IF(ROW($H$1)&gt;COUNTA($BT$4:$BT$33),"",INDEX($BT:$BT,SMALL(IF(BT$4:BT$33&lt;&gt;"",ROW($4:$33)),ROW(F13)))),"")</f>
        <v/>
      </c>
      <c r="I16" s="2269" t="str">
        <f t="array" ref="I16">IFERROR(IF(ROW($I$1)&gt;COUNTA($AZ$4:$AZ$33),"",INDEX($AZ:$AZ,SMALL(IF(AZ$4:AZ$33&lt;&gt;"",ROW($4:$33)),ROW(G13)))),"")</f>
        <v/>
      </c>
      <c r="J16" s="2271" t="str">
        <f t="array" ref="J16">IFERROR(IF(ROW($J$1)&gt;COUNTA($BA$4:$BA$33),"",INDEX($BA:$BA,SMALL(IF(BA$4:BA$33&lt;&gt;"",ROW($4:$33)),ROW(H13)))),"")</f>
        <v/>
      </c>
      <c r="K16" s="2273" t="str">
        <f t="array" ref="K16">IFERROR(IF(ROW($K$1)&gt;COUNTA($BB$4:$BB$33),"",INDEX($BB:$BB,SMALL(IF(BB$4:BB$33&lt;&gt;"",ROW($4:$33)),ROW(I13)))),"")</f>
        <v/>
      </c>
      <c r="L16" s="1648"/>
      <c r="M16" s="2267" t="str">
        <f t="array" ref="M16">IFERROR(IF(ROW($M$1)&gt;COUNTA($BU$4:$BU$33),"",INDEX($BU:$BU,SMALL(IF(BU$4:BU$33&lt;&gt;"",ROW($4:$33)),ROW(K13)))),"")</f>
        <v/>
      </c>
      <c r="N16" s="2269" t="str">
        <f t="array" ref="N16">IFERROR(IF(ROW($N$1)&gt;COUNTA($BJ$4:$BJ$33),"",INDEX($BJ:$BJ,SMALL(IF(BJ$4:BJ$33&lt;&gt;"",ROW($4:$33)),ROW(L13)))),"")</f>
        <v/>
      </c>
      <c r="O16" s="2271" t="str">
        <f t="array" ref="O16">IFERROR(IF(ROW($O$1)&gt;COUNTA($BK$4:$BK$33),"",INDEX($BK:$BK,SMALL(IF(BK$4:BK$33&lt;&gt;"",ROW($4:$33)),ROW(M13)))),"")</f>
        <v/>
      </c>
      <c r="P16" s="2275" t="str">
        <f t="array" ref="P16">IFERROR(IF(ROW($P$1)&gt;COUNTA($BL$4:$BL$33),"",INDEX($BL:$BL,SMALL(IF(BL$4:BL$33&lt;&gt;"",ROW($4:$33)),ROW(N13)))),"")</f>
        <v/>
      </c>
      <c r="Q16" s="1775"/>
      <c r="R16" s="1775"/>
      <c r="S16" s="1775"/>
      <c r="T16" s="1775"/>
      <c r="U16" s="1608" t="str">
        <f>IF(AND(S_13!$G$8="ja",S_13!$K$8="nein"),S_13!$C$2,"")</f>
        <v/>
      </c>
      <c r="V16" s="747" t="str">
        <f t="shared" si="1"/>
        <v/>
      </c>
      <c r="W16" s="1106" t="str">
        <f>IF($U16="","",S_13!$B$13)</f>
        <v/>
      </c>
      <c r="Y16" s="1106" t="str">
        <f>IF($U16="","",Grünland!B17)</f>
        <v/>
      </c>
      <c r="Z16" s="1608" t="str">
        <f>IF($U16="","",S_13!C13)</f>
        <v/>
      </c>
      <c r="AA16" s="747" t="str">
        <f t="shared" si="2"/>
        <v/>
      </c>
      <c r="AB16" s="1608" t="str">
        <f>IF($U16="","",S_13!CM13)</f>
        <v/>
      </c>
      <c r="AC16" s="747" t="str">
        <f t="shared" si="3"/>
        <v/>
      </c>
      <c r="AD16" s="747" t="str">
        <f>IF($U16="","",S_13!E13)</f>
        <v/>
      </c>
      <c r="AE16" s="747" t="str">
        <f>IF($U16="","",S_13!F13)</f>
        <v/>
      </c>
      <c r="AF16" s="747" t="str">
        <f>IF($U16="","",S_13!G13)</f>
        <v/>
      </c>
      <c r="AG16" s="747" t="str">
        <f>IF($U16="","",S_13!H13)</f>
        <v/>
      </c>
      <c r="AH16" s="747" t="str">
        <f>IF($U16="","",S_13!I13)</f>
        <v/>
      </c>
      <c r="AI16" s="747" t="str">
        <f>IF($U16="","",S_13!J13)</f>
        <v/>
      </c>
      <c r="AJ16" s="747" t="str">
        <f>IF($U16="","",S_13!K13)</f>
        <v/>
      </c>
      <c r="AK16" s="747" t="str">
        <f>IF($U16="","",S_13!L13)</f>
        <v/>
      </c>
      <c r="AL16" s="747" t="str">
        <f>IF($U16="","",S_13!M13)</f>
        <v/>
      </c>
      <c r="AM16" s="747" t="str">
        <f>IF($U16="","",S_13!N13)</f>
        <v/>
      </c>
      <c r="AN16" s="747" t="str">
        <f>IF($U16="","",S_13!O13)</f>
        <v/>
      </c>
      <c r="AO16" s="747" t="str">
        <f>IF($U16="","",S_13!P13)</f>
        <v/>
      </c>
      <c r="AQ16" s="1608">
        <f>IF(S_13!$DF$13&gt;0,1,0)</f>
        <v>0</v>
      </c>
      <c r="AR16" s="1608">
        <f>IF(S_13!$DG$13&gt;0,1,0)</f>
        <v>0</v>
      </c>
      <c r="AS16" s="1608">
        <f>IF(S_13!$DH$13&gt;0,1,0)</f>
        <v>0</v>
      </c>
      <c r="AT16" s="1608">
        <f>IF(S_13!$DI$13&gt;0,1,0)</f>
        <v>0</v>
      </c>
      <c r="AU16" s="1608">
        <f>IF(S_13!$DJ$13&gt;0,1,0)</f>
        <v>0</v>
      </c>
      <c r="AV16" s="1608">
        <f>IF(S_13!$DK$13&gt;0,1,0)</f>
        <v>0</v>
      </c>
      <c r="AW16" s="1608">
        <f t="shared" si="4"/>
        <v>0</v>
      </c>
      <c r="AX16" s="1608" t="str">
        <f t="shared" si="5"/>
        <v/>
      </c>
      <c r="AY16" s="1106" t="str">
        <f t="shared" si="0"/>
        <v/>
      </c>
      <c r="AZ16" s="1106" t="str">
        <f t="shared" si="6"/>
        <v/>
      </c>
      <c r="BA16" s="2259" t="str">
        <f t="shared" si="7"/>
        <v/>
      </c>
      <c r="BB16" s="2259" t="str">
        <f t="shared" si="8"/>
        <v/>
      </c>
      <c r="BC16" s="1608">
        <f>IF(S_13!$DN$13&gt;0,1,0)</f>
        <v>0</v>
      </c>
      <c r="BD16" s="1608">
        <f>IF(S_13!$DO$13&gt;0,1,0)</f>
        <v>0</v>
      </c>
      <c r="BE16" s="1608">
        <f>IF(S_13!$DP$13&gt;0,1,0)</f>
        <v>0</v>
      </c>
      <c r="BF16" s="1608">
        <f>IF(S_13!$DQ$13&gt;0,1,0)</f>
        <v>0</v>
      </c>
      <c r="BG16" s="1608">
        <f>IF(S_13!$DR$13&gt;0,1,0)</f>
        <v>0</v>
      </c>
      <c r="BH16" s="1608">
        <f>IF(S_13!$DS$13&gt;0,1,0)</f>
        <v>0</v>
      </c>
      <c r="BI16" s="1608">
        <f t="shared" si="9"/>
        <v>0</v>
      </c>
      <c r="BJ16" s="1106" t="str">
        <f t="shared" si="10"/>
        <v/>
      </c>
      <c r="BK16" s="2259" t="str">
        <f t="shared" si="11"/>
        <v/>
      </c>
      <c r="BL16" s="2259" t="str">
        <f t="shared" si="12"/>
        <v/>
      </c>
      <c r="BN16" s="747">
        <f>S_13!$DE$13</f>
        <v>0</v>
      </c>
      <c r="BO16" s="747">
        <f>S_13!$DM$13</f>
        <v>0</v>
      </c>
      <c r="BP16" s="747">
        <f>S_13!$CP$13</f>
        <v>0</v>
      </c>
      <c r="BQ16" s="747">
        <f>S_13!$CQ$13</f>
        <v>0</v>
      </c>
      <c r="BR16" s="1610" t="e">
        <f>BP16/Betrieb!$E$23</f>
        <v>#DIV/0!</v>
      </c>
      <c r="BS16" s="1610" t="e">
        <f>BQ16/Betrieb!$E$24</f>
        <v>#DIV/0!</v>
      </c>
      <c r="BT16" s="1615" t="str">
        <f t="shared" si="13"/>
        <v/>
      </c>
      <c r="BU16" s="1615" t="str">
        <f t="shared" si="14"/>
        <v/>
      </c>
      <c r="BV16" s="747">
        <f>IF(AND(S_13!$G$8="JA",S_13!$K$8="NEIN"),S_13!$U$13,0)</f>
        <v>0</v>
      </c>
      <c r="BW16" s="1769">
        <f>IF(AND(S_13!$G$8="JA",S_13!$K$8="NEIN"),S_13!$V$13,0)</f>
        <v>0</v>
      </c>
      <c r="BX16" s="1087" t="str">
        <f t="shared" si="15"/>
        <v/>
      </c>
      <c r="BY16" s="1087" t="str">
        <f t="shared" si="16"/>
        <v/>
      </c>
    </row>
    <row r="17" spans="1:77" ht="20.25" hidden="1" customHeight="1">
      <c r="A17" s="1775"/>
      <c r="C17" s="1796" t="str">
        <f t="array" ref="C17">IFERROR(IF(ROW($C$1)&gt;COUNTA($Y$4:$Y$33),"",INDEX($Y:$Y,SMALL(IF(Y$4:Y$33&lt;&gt;"",ROW($4:$33)),ROW(C14)))),"")</f>
        <v/>
      </c>
      <c r="D17" s="747" t="str">
        <f t="array" ref="D17">IFERROR(IF(ROW($D$1)&gt;COUNTA($V$4:$V$33),"",INDEX($V:$V,SMALL(IF(V$4:V$33&lt;&gt;"",ROW($4:$33)),ROW(B14)))),"")</f>
        <v/>
      </c>
      <c r="E17" s="1616" t="str">
        <f t="array" ref="E17">IFERROR(IF(ROW($E$1)&gt;COUNTA($W$4:$W$33),"",INDEX($W:$W,SMALL(IF(W$4:W$33&lt;&gt;"",ROW($4:$33)),ROW(C14)))),"")</f>
        <v/>
      </c>
      <c r="F17" s="1796" t="str">
        <f t="array" ref="F17">IFERROR(IF(ROW($F$1)&gt;COUNTA($AA$4:$AA$33),"",INDEX($AA:$AA,SMALL(IF(AA$4:AA$33&lt;&gt;"",ROW($4:$33)),ROW(D14)))),"")</f>
        <v/>
      </c>
      <c r="G17" s="16" t="str">
        <f t="array" ref="G17">IFERROR(IF(ROW($G$1)&gt;COUNTA($AC$4:$AC$33),"",INDEX($AC:$AC,SMALL(IF(AC$4:AC$33&lt;&gt;"",ROW($4:$33)),ROW(E14)))),"")</f>
        <v/>
      </c>
      <c r="H17" s="1797" t="str">
        <f t="array" ref="H17">IFERROR(IF(ROW($H$1)&gt;COUNTA($BT$4:$BT$33),"",INDEX($BT:$BT,SMALL(IF(BT$4:BT$33&lt;&gt;"",ROW($4:$33)),ROW(F14)))),"")</f>
        <v/>
      </c>
      <c r="I17" s="1613" t="str">
        <f t="array" ref="I17">IFERROR(IF(ROW($I$1)&gt;COUNTA($AZ$4:$AZ$33),"",INDEX($AZ:$AZ,SMALL(IF(AZ$4:AZ$33&lt;&gt;"",ROW($4:$33)),ROW(G14)))),"")</f>
        <v/>
      </c>
      <c r="J17" s="1797" t="str">
        <f t="array" ref="J17">IFERROR(IF(ROW($J$1)&gt;COUNTA($BA$4:$BA$33),"",INDEX($BA:$BA,SMALL(IF(BA$4:BA$33&lt;&gt;"",ROW($4:$33)),ROW(H14)))),"")</f>
        <v/>
      </c>
      <c r="K17" s="1614" t="str">
        <f t="array" ref="K17">IFERROR(IF(ROW($K$1)&gt;COUNTA($BB$4:$BB$33),"",INDEX($BB:$BB,SMALL(IF(BB$4:BB$33&lt;&gt;"",ROW($4:$33)),ROW(I14)))),"")</f>
        <v/>
      </c>
      <c r="M17" s="1797" t="str">
        <f t="array" ref="M17">IFERROR(IF(ROW($M$1)&gt;COUNTA($BU$4:$BU$33),"",INDEX($BU:$BU,SMALL(IF(BU$4:BU$33&lt;&gt;"",ROW($4:$33)),ROW(K14)))),"")</f>
        <v/>
      </c>
      <c r="N17" s="1613" t="str">
        <f t="array" ref="N17">IFERROR(IF(ROW($N$1)&gt;COUNTA($BJ$4:$BJ$33),"",INDEX($BJ:$BJ,SMALL(IF(BJ$4:BJ$33&lt;&gt;"",ROW($4:$33)),ROW(L14)))),"")</f>
        <v/>
      </c>
      <c r="O17" s="1797" t="str">
        <f t="array" ref="O17">IFERROR(IF(ROW($O$1)&gt;COUNTA($BK$4:$BK$33),"",INDEX($BK:$BK,SMALL(IF(BK$4:BK$33&lt;&gt;"",ROW($4:$33)),ROW(M14)))),"")</f>
        <v/>
      </c>
      <c r="P17" s="1614" t="str">
        <f t="array" ref="P17">IFERROR(IF(ROW($P$1)&gt;COUNTA($BL$4:$BL$33),"",INDEX($BL:$BL,SMALL(IF(BL$4:BL$33&lt;&gt;"",ROW($4:$33)),ROW(N14)))),"")</f>
        <v/>
      </c>
      <c r="Q17" s="1775"/>
      <c r="R17" s="1775"/>
      <c r="S17" s="1775"/>
      <c r="T17" s="1775"/>
      <c r="U17" s="1608" t="str">
        <f>IF(AND(S_14!$G$8="ja",S_14!$K$8="nein"),S_14!$C$2,"")</f>
        <v/>
      </c>
      <c r="V17" s="747" t="str">
        <f t="shared" si="1"/>
        <v/>
      </c>
      <c r="W17" s="1106" t="str">
        <f>IF($U17="","",S_14!$B$13)</f>
        <v/>
      </c>
      <c r="Y17" s="1106" t="str">
        <f>IF($U17="","",Grünland!B18)</f>
        <v/>
      </c>
      <c r="Z17" s="1608" t="str">
        <f>IF($U17="","",S_14!C13)</f>
        <v/>
      </c>
      <c r="AA17" s="747" t="str">
        <f t="shared" si="2"/>
        <v/>
      </c>
      <c r="AB17" s="1608" t="str">
        <f>IF($U17="","",S_14!CM13)</f>
        <v/>
      </c>
      <c r="AC17" s="747" t="str">
        <f t="shared" si="3"/>
        <v/>
      </c>
      <c r="AD17" s="747" t="str">
        <f>IF($U17="","",S_14!E13)</f>
        <v/>
      </c>
      <c r="AE17" s="747" t="str">
        <f>IF($U17="","",S_14!F13)</f>
        <v/>
      </c>
      <c r="AF17" s="747" t="str">
        <f>IF($U17="","",S_14!G13)</f>
        <v/>
      </c>
      <c r="AG17" s="747" t="str">
        <f>IF($U17="","",S_14!H13)</f>
        <v/>
      </c>
      <c r="AH17" s="747" t="str">
        <f>IF($U17="","",S_14!I13)</f>
        <v/>
      </c>
      <c r="AI17" s="747" t="str">
        <f>IF($U17="","",S_14!J13)</f>
        <v/>
      </c>
      <c r="AJ17" s="747" t="str">
        <f>IF($U17="","",S_14!K13)</f>
        <v/>
      </c>
      <c r="AK17" s="747" t="str">
        <f>IF($U17="","",S_14!L13)</f>
        <v/>
      </c>
      <c r="AL17" s="747" t="str">
        <f>IF($U17="","",S_14!M13)</f>
        <v/>
      </c>
      <c r="AM17" s="747" t="str">
        <f>IF($U17="","",S_14!N13)</f>
        <v/>
      </c>
      <c r="AN17" s="747" t="str">
        <f>IF($U17="","",S_14!O13)</f>
        <v/>
      </c>
      <c r="AO17" s="747" t="str">
        <f>IF($U17="","",S_14!P13)</f>
        <v/>
      </c>
      <c r="AQ17" s="1608">
        <f>IF(S_14!$DF$13&gt;0,1,0)</f>
        <v>0</v>
      </c>
      <c r="AR17" s="1608">
        <f>IF(S_14!$DG$13&gt;0,1,0)</f>
        <v>0</v>
      </c>
      <c r="AS17" s="1608">
        <f>IF(S_14!$DH$13&gt;0,1,0)</f>
        <v>0</v>
      </c>
      <c r="AT17" s="1608">
        <f>IF(S_14!$DI$13&gt;0,1,0)</f>
        <v>0</v>
      </c>
      <c r="AU17" s="1608">
        <f>IF(S_14!$DJ$13&gt;0,1,0)</f>
        <v>0</v>
      </c>
      <c r="AV17" s="1608">
        <f>IF(S_14!$DK$13&gt;0,1,0)</f>
        <v>0</v>
      </c>
      <c r="AW17" s="1608">
        <f t="shared" si="4"/>
        <v>0</v>
      </c>
      <c r="AX17" s="1608" t="str">
        <f t="shared" si="5"/>
        <v/>
      </c>
      <c r="AY17" s="1106" t="str">
        <f t="shared" si="0"/>
        <v/>
      </c>
      <c r="AZ17" s="1106" t="str">
        <f t="shared" si="6"/>
        <v/>
      </c>
      <c r="BA17" s="2259" t="str">
        <f t="shared" si="7"/>
        <v/>
      </c>
      <c r="BB17" s="2259" t="str">
        <f t="shared" si="8"/>
        <v/>
      </c>
      <c r="BC17" s="1608">
        <f>IF(S_14!$DN$13&gt;0,1,0)</f>
        <v>0</v>
      </c>
      <c r="BD17" s="1608">
        <f>IF(S_14!$DO$13&gt;0,1,0)</f>
        <v>0</v>
      </c>
      <c r="BE17" s="1608">
        <f>IF(S_14!$DP$13&gt;0,1,0)</f>
        <v>0</v>
      </c>
      <c r="BF17" s="1608">
        <f>IF(S_14!$DQ$13&gt;0,1,0)</f>
        <v>0</v>
      </c>
      <c r="BG17" s="1608">
        <f>IF(S_14!$DR$13&gt;0,1,0)</f>
        <v>0</v>
      </c>
      <c r="BH17" s="1608">
        <f>IF(S_14!$DS$13&gt;0,1,0)</f>
        <v>0</v>
      </c>
      <c r="BI17" s="1608">
        <f t="shared" si="9"/>
        <v>0</v>
      </c>
      <c r="BJ17" s="1106" t="str">
        <f t="shared" si="10"/>
        <v/>
      </c>
      <c r="BK17" s="2259" t="str">
        <f t="shared" si="11"/>
        <v/>
      </c>
      <c r="BL17" s="2259" t="str">
        <f t="shared" si="12"/>
        <v/>
      </c>
      <c r="BN17" s="747">
        <f>S_14!$DE$13</f>
        <v>0</v>
      </c>
      <c r="BO17" s="747">
        <f>S_14!$DM$13</f>
        <v>0</v>
      </c>
      <c r="BP17" s="747">
        <f>S_14!$CP$13</f>
        <v>0</v>
      </c>
      <c r="BQ17" s="747">
        <f>S_14!$CQ$13</f>
        <v>0</v>
      </c>
      <c r="BR17" s="1610" t="e">
        <f>BP17/Betrieb!$E$23</f>
        <v>#DIV/0!</v>
      </c>
      <c r="BS17" s="1610" t="e">
        <f>BQ17/Betrieb!$E$24</f>
        <v>#DIV/0!</v>
      </c>
      <c r="BT17" s="1615" t="str">
        <f t="shared" si="13"/>
        <v/>
      </c>
      <c r="BU17" s="1615" t="str">
        <f t="shared" si="14"/>
        <v/>
      </c>
      <c r="BV17" s="747">
        <f>IF(AND(S_14!$G$8="JA",S_14!$K$8="NEIN"),S_14!$U$13,0)</f>
        <v>0</v>
      </c>
      <c r="BW17" s="1769">
        <f>IF(AND(S_14!$G$8="JA",S_14!$K$8="NEIN"),S_14!$V$13,0)</f>
        <v>0</v>
      </c>
      <c r="BX17" s="1087" t="str">
        <f t="shared" si="15"/>
        <v/>
      </c>
      <c r="BY17" s="1087" t="str">
        <f t="shared" si="16"/>
        <v/>
      </c>
    </row>
    <row r="18" spans="1:77" ht="20.25" hidden="1" customHeight="1">
      <c r="A18" s="1775"/>
      <c r="C18" s="1796" t="str">
        <f t="array" ref="C18">IFERROR(IF(ROW($C$1)&gt;COUNTA($Y$4:$Y$33),"",INDEX($Y:$Y,SMALL(IF(Y$4:Y$33&lt;&gt;"",ROW($4:$33)),ROW(C15)))),"")</f>
        <v/>
      </c>
      <c r="D18" s="747" t="str">
        <f t="array" ref="D18">IFERROR(IF(ROW($D$1)&gt;COUNTA($V$4:$V$33),"",INDEX($V:$V,SMALL(IF(V$4:V$33&lt;&gt;"",ROW($4:$33)),ROW(B15)))),"")</f>
        <v/>
      </c>
      <c r="E18" s="1616" t="str">
        <f t="array" ref="E18">IFERROR(IF(ROW($E$1)&gt;COUNTA($W$4:$W$33),"",INDEX($W:$W,SMALL(IF(W$4:W$33&lt;&gt;"",ROW($4:$33)),ROW(C15)))),"")</f>
        <v/>
      </c>
      <c r="F18" s="1796" t="str">
        <f t="array" ref="F18">IFERROR(IF(ROW($F$1)&gt;COUNTA($AA$4:$AA$33),"",INDEX($AA:$AA,SMALL(IF(AA$4:AA$33&lt;&gt;"",ROW($4:$33)),ROW(D15)))),"")</f>
        <v/>
      </c>
      <c r="G18" s="16" t="str">
        <f t="array" ref="G18">IFERROR(IF(ROW($G$1)&gt;COUNTA($AC$4:$AC$33),"",INDEX($AC:$AC,SMALL(IF(AC$4:AC$33&lt;&gt;"",ROW($4:$33)),ROW(E15)))),"")</f>
        <v/>
      </c>
      <c r="H18" s="1797" t="str">
        <f t="array" ref="H18">IFERROR(IF(ROW($H$1)&gt;COUNTA($BT$4:$BT$33),"",INDEX($BT:$BT,SMALL(IF(BT$4:BT$33&lt;&gt;"",ROW($4:$33)),ROW(F15)))),"")</f>
        <v/>
      </c>
      <c r="I18" s="1613" t="str">
        <f t="array" ref="I18">IFERROR(IF(ROW($I$1)&gt;COUNTA($AZ$4:$AZ$33),"",INDEX($AZ:$AZ,SMALL(IF(AZ$4:AZ$33&lt;&gt;"",ROW($4:$33)),ROW(G15)))),"")</f>
        <v/>
      </c>
      <c r="J18" s="1797" t="str">
        <f t="array" ref="J18">IFERROR(IF(ROW($J$1)&gt;COUNTA($BA$4:$BA$33),"",INDEX($BA:$BA,SMALL(IF(BA$4:BA$33&lt;&gt;"",ROW($4:$33)),ROW(H15)))),"")</f>
        <v/>
      </c>
      <c r="K18" s="1614" t="str">
        <f t="array" ref="K18">IFERROR(IF(ROW($K$1)&gt;COUNTA($BB$4:$BB$33),"",INDEX($BB:$BB,SMALL(IF(BB$4:BB$33&lt;&gt;"",ROW($4:$33)),ROW(I15)))),"")</f>
        <v/>
      </c>
      <c r="M18" s="1797" t="str">
        <f t="array" ref="M18">IFERROR(IF(ROW($M$1)&gt;COUNTA($BU$4:$BU$33),"",INDEX($BU:$BU,SMALL(IF(BU$4:BU$33&lt;&gt;"",ROW($4:$33)),ROW(K15)))),"")</f>
        <v/>
      </c>
      <c r="N18" s="1613" t="str">
        <f t="array" ref="N18">IFERROR(IF(ROW($N$1)&gt;COUNTA($BJ$4:$BJ$33),"",INDEX($BJ:$BJ,SMALL(IF(BJ$4:BJ$33&lt;&gt;"",ROW($4:$33)),ROW(L15)))),"")</f>
        <v/>
      </c>
      <c r="O18" s="1797" t="str">
        <f t="array" ref="O18">IFERROR(IF(ROW($O$1)&gt;COUNTA($BK$4:$BK$33),"",INDEX($BK:$BK,SMALL(IF(BK$4:BK$33&lt;&gt;"",ROW($4:$33)),ROW(M15)))),"")</f>
        <v/>
      </c>
      <c r="P18" s="1614" t="str">
        <f t="array" ref="P18">IFERROR(IF(ROW($P$1)&gt;COUNTA($BL$4:$BL$33),"",INDEX($BL:$BL,SMALL(IF(BL$4:BL$33&lt;&gt;"",ROW($4:$33)),ROW(N15)))),"")</f>
        <v/>
      </c>
      <c r="Q18" s="1775"/>
      <c r="R18" s="1775"/>
      <c r="S18" s="1775"/>
      <c r="T18" s="1775"/>
      <c r="U18" s="1608" t="str">
        <f>IF(AND(S_15!$G$8="ja",S_15!$K$8="nein"),S_15!$C$2,"")</f>
        <v/>
      </c>
      <c r="V18" s="747" t="str">
        <f t="shared" si="1"/>
        <v/>
      </c>
      <c r="W18" s="1106" t="str">
        <f>IF($U18="","",S_15!$B$13)</f>
        <v/>
      </c>
      <c r="Y18" s="1106" t="str">
        <f>IF($U18="","",Grünland!B19)</f>
        <v/>
      </c>
      <c r="Z18" s="1608" t="str">
        <f>IF($U18="","",S_15!C13)</f>
        <v/>
      </c>
      <c r="AA18" s="747" t="str">
        <f t="shared" si="2"/>
        <v/>
      </c>
      <c r="AB18" s="1608" t="str">
        <f>IF($U18="","",S_15!CM13)</f>
        <v/>
      </c>
      <c r="AC18" s="747" t="str">
        <f t="shared" si="3"/>
        <v/>
      </c>
      <c r="AD18" s="747" t="str">
        <f>IF($U18="","",S_15!E13)</f>
        <v/>
      </c>
      <c r="AE18" s="747" t="str">
        <f>IF($U18="","",S_15!F13)</f>
        <v/>
      </c>
      <c r="AF18" s="747" t="str">
        <f>IF($U18="","",S_15!G13)</f>
        <v/>
      </c>
      <c r="AG18" s="747" t="str">
        <f>IF($U18="","",S_15!H13)</f>
        <v/>
      </c>
      <c r="AH18" s="747" t="str">
        <f>IF($U18="","",S_15!I13)</f>
        <v/>
      </c>
      <c r="AI18" s="747" t="str">
        <f>IF($U18="","",S_15!J13)</f>
        <v/>
      </c>
      <c r="AJ18" s="747" t="str">
        <f>IF($U18="","",S_15!K13)</f>
        <v/>
      </c>
      <c r="AK18" s="747" t="str">
        <f>IF($U18="","",S_15!L13)</f>
        <v/>
      </c>
      <c r="AL18" s="747" t="str">
        <f>IF($U18="","",S_15!M13)</f>
        <v/>
      </c>
      <c r="AM18" s="747" t="str">
        <f>IF($U18="","",S_15!N13)</f>
        <v/>
      </c>
      <c r="AN18" s="747" t="str">
        <f>IF($U18="","",S_15!O13)</f>
        <v/>
      </c>
      <c r="AO18" s="747" t="str">
        <f>IF($U18="","",S_15!P13)</f>
        <v/>
      </c>
      <c r="AQ18" s="1608">
        <f>IF(S_15!$DF$13&gt;0,1,0)</f>
        <v>0</v>
      </c>
      <c r="AR18" s="1608">
        <f>IF(S_15!$DG$13&gt;0,1,0)</f>
        <v>0</v>
      </c>
      <c r="AS18" s="1608">
        <f>IF(S_15!$DH$13&gt;0,1,0)</f>
        <v>0</v>
      </c>
      <c r="AT18" s="1608">
        <f>IF(S_15!$DI$13&gt;0,1,0)</f>
        <v>0</v>
      </c>
      <c r="AU18" s="1608">
        <f>IF(S_15!$DJ$13&gt;0,1,0)</f>
        <v>0</v>
      </c>
      <c r="AV18" s="1608">
        <f>IF(S_15!$DK$13&gt;0,1,0)</f>
        <v>0</v>
      </c>
      <c r="AW18" s="1608">
        <f t="shared" si="4"/>
        <v>0</v>
      </c>
      <c r="AX18" s="1608" t="str">
        <f t="shared" si="5"/>
        <v/>
      </c>
      <c r="AY18" s="1106" t="str">
        <f t="shared" si="0"/>
        <v/>
      </c>
      <c r="AZ18" s="1106" t="str">
        <f t="shared" si="6"/>
        <v/>
      </c>
      <c r="BA18" s="2259" t="str">
        <f t="shared" si="7"/>
        <v/>
      </c>
      <c r="BB18" s="2259" t="str">
        <f t="shared" si="8"/>
        <v/>
      </c>
      <c r="BC18" s="1608">
        <f>IF(S_15!$DN$13&gt;0,1,0)</f>
        <v>0</v>
      </c>
      <c r="BD18" s="1608">
        <f>IF(S_15!$DO$13&gt;0,1,0)</f>
        <v>0</v>
      </c>
      <c r="BE18" s="1608">
        <f>IF(S_15!$DP$13&gt;0,1,0)</f>
        <v>0</v>
      </c>
      <c r="BF18" s="1608">
        <f>IF(S_15!$DQ$13&gt;0,1,0)</f>
        <v>0</v>
      </c>
      <c r="BG18" s="1608">
        <f>IF(S_15!$DR$13&gt;0,1,0)</f>
        <v>0</v>
      </c>
      <c r="BH18" s="1608">
        <f>IF(S_15!$DS$13&gt;0,1,0)</f>
        <v>0</v>
      </c>
      <c r="BI18" s="1608">
        <f t="shared" si="9"/>
        <v>0</v>
      </c>
      <c r="BJ18" s="1106" t="str">
        <f t="shared" si="10"/>
        <v/>
      </c>
      <c r="BK18" s="2259" t="str">
        <f t="shared" si="11"/>
        <v/>
      </c>
      <c r="BL18" s="2259" t="str">
        <f t="shared" si="12"/>
        <v/>
      </c>
      <c r="BN18" s="747">
        <f>S_15!$DE$13</f>
        <v>0</v>
      </c>
      <c r="BO18" s="747">
        <f>S_15!$DM$13</f>
        <v>0</v>
      </c>
      <c r="BP18" s="747">
        <f>S_15!$CP$13</f>
        <v>0</v>
      </c>
      <c r="BQ18" s="747">
        <f>S_15!$CQ$13</f>
        <v>0</v>
      </c>
      <c r="BR18" s="1610" t="e">
        <f>BP18/Betrieb!$E$23</f>
        <v>#DIV/0!</v>
      </c>
      <c r="BS18" s="1610" t="e">
        <f>BQ18/Betrieb!$E$24</f>
        <v>#DIV/0!</v>
      </c>
      <c r="BT18" s="1615" t="str">
        <f t="shared" si="13"/>
        <v/>
      </c>
      <c r="BU18" s="1615" t="str">
        <f t="shared" si="14"/>
        <v/>
      </c>
      <c r="BV18" s="747">
        <f>IF(AND(S_15!$G$8="JA",S_15!$K$8="NEIN"),S_15!$U$13,0)</f>
        <v>0</v>
      </c>
      <c r="BW18" s="1769">
        <f>IF(AND(S_15!$G$8="JA",S_15!$K$8="NEIN"),S_15!$V$13,0)</f>
        <v>0</v>
      </c>
      <c r="BX18" s="1087" t="str">
        <f t="shared" si="15"/>
        <v/>
      </c>
      <c r="BY18" s="1087" t="str">
        <f t="shared" si="16"/>
        <v/>
      </c>
    </row>
    <row r="19" spans="1:77" ht="20.25" hidden="1" customHeight="1">
      <c r="A19" s="1775"/>
      <c r="C19" s="1796" t="str">
        <f t="array" ref="C19">IFERROR(IF(ROW($C$1)&gt;COUNTA($Y$4:$Y$33),"",INDEX($Y:$Y,SMALL(IF(Y$4:Y$33&lt;&gt;"",ROW($4:$33)),ROW(C16)))),"")</f>
        <v/>
      </c>
      <c r="D19" s="747" t="str">
        <f t="array" ref="D19">IFERROR(IF(ROW($D$1)&gt;COUNTA($V$4:$V$33),"",INDEX($V:$V,SMALL(IF(V$4:V$33&lt;&gt;"",ROW($4:$33)),ROW(B16)))),"")</f>
        <v/>
      </c>
      <c r="E19" s="1616" t="str">
        <f t="array" ref="E19">IFERROR(IF(ROW($E$1)&gt;COUNTA($W$4:$W$33),"",INDEX($W:$W,SMALL(IF(W$4:W$33&lt;&gt;"",ROW($4:$33)),ROW(C16)))),"")</f>
        <v/>
      </c>
      <c r="F19" s="1796" t="str">
        <f t="array" ref="F19">IFERROR(IF(ROW($F$1)&gt;COUNTA($AA$4:$AA$33),"",INDEX($AA:$AA,SMALL(IF(AA$4:AA$33&lt;&gt;"",ROW($4:$33)),ROW(D16)))),"")</f>
        <v/>
      </c>
      <c r="G19" s="16" t="str">
        <f t="array" ref="G19">IFERROR(IF(ROW($G$1)&gt;COUNTA($AC$4:$AC$33),"",INDEX($AC:$AC,SMALL(IF(AC$4:AC$33&lt;&gt;"",ROW($4:$33)),ROW(E16)))),"")</f>
        <v/>
      </c>
      <c r="H19" s="1797" t="str">
        <f t="array" ref="H19">IFERROR(IF(ROW($H$1)&gt;COUNTA($BT$4:$BT$33),"",INDEX($BT:$BT,SMALL(IF(BT$4:BT$33&lt;&gt;"",ROW($4:$33)),ROW(F16)))),"")</f>
        <v/>
      </c>
      <c r="I19" s="1613" t="str">
        <f t="array" ref="I19">IFERROR(IF(ROW($I$1)&gt;COUNTA($AZ$4:$AZ$33),"",INDEX($AZ:$AZ,SMALL(IF(AZ$4:AZ$33&lt;&gt;"",ROW($4:$33)),ROW(G16)))),"")</f>
        <v/>
      </c>
      <c r="J19" s="1797" t="str">
        <f t="array" ref="J19">IFERROR(IF(ROW($J$1)&gt;COUNTA($BA$4:$BA$33),"",INDEX($BA:$BA,SMALL(IF(BA$4:BA$33&lt;&gt;"",ROW($4:$33)),ROW(H16)))),"")</f>
        <v/>
      </c>
      <c r="K19" s="1614" t="str">
        <f t="array" ref="K19">IFERROR(IF(ROW($K$1)&gt;COUNTA($BB$4:$BB$33),"",INDEX($BB:$BB,SMALL(IF(BB$4:BB$33&lt;&gt;"",ROW($4:$33)),ROW(I16)))),"")</f>
        <v/>
      </c>
      <c r="M19" s="1797" t="str">
        <f t="array" ref="M19">IFERROR(IF(ROW($M$1)&gt;COUNTA($BU$4:$BU$33),"",INDEX($BU:$BU,SMALL(IF(BU$4:BU$33&lt;&gt;"",ROW($4:$33)),ROW(K16)))),"")</f>
        <v/>
      </c>
      <c r="N19" s="1613" t="str">
        <f t="array" ref="N19">IFERROR(IF(ROW($N$1)&gt;COUNTA($BJ$4:$BJ$33),"",INDEX($BJ:$BJ,SMALL(IF(BJ$4:BJ$33&lt;&gt;"",ROW($4:$33)),ROW(L16)))),"")</f>
        <v/>
      </c>
      <c r="O19" s="1797" t="str">
        <f t="array" ref="O19">IFERROR(IF(ROW($O$1)&gt;COUNTA($BK$4:$BK$33),"",INDEX($BK:$BK,SMALL(IF(BK$4:BK$33&lt;&gt;"",ROW($4:$33)),ROW(M16)))),"")</f>
        <v/>
      </c>
      <c r="P19" s="1614" t="str">
        <f t="array" ref="P19">IFERROR(IF(ROW($P$1)&gt;COUNTA($BL$4:$BL$33),"",INDEX($BL:$BL,SMALL(IF(BL$4:BL$33&lt;&gt;"",ROW($4:$33)),ROW(N16)))),"")</f>
        <v/>
      </c>
      <c r="Q19" s="1775"/>
      <c r="R19" s="1775"/>
      <c r="S19" s="1775"/>
      <c r="T19" s="1775"/>
      <c r="U19" s="1608" t="str">
        <f>IF(AND(S_16!$G$8="ja",S_16!$K$8="nein"),S_16!$C$2,"")</f>
        <v/>
      </c>
      <c r="V19" s="747" t="str">
        <f t="shared" si="1"/>
        <v/>
      </c>
      <c r="W19" s="1106" t="str">
        <f>IF($U19="","",S_16!$B$13)</f>
        <v/>
      </c>
      <c r="Y19" s="1106" t="str">
        <f>IF($U19="","",Grünland!B20)</f>
        <v/>
      </c>
      <c r="Z19" s="1608" t="str">
        <f>IF($U19="","",S_16!C13)</f>
        <v/>
      </c>
      <c r="AA19" s="747" t="str">
        <f t="shared" si="2"/>
        <v/>
      </c>
      <c r="AB19" s="1608" t="str">
        <f>IF($U19="","",S_16!CM13)</f>
        <v/>
      </c>
      <c r="AC19" s="747" t="str">
        <f t="shared" si="3"/>
        <v/>
      </c>
      <c r="AD19" s="747" t="str">
        <f>IF($U19="","",S_16!E13)</f>
        <v/>
      </c>
      <c r="AE19" s="747" t="str">
        <f>IF($U19="","",S_16!F13)</f>
        <v/>
      </c>
      <c r="AF19" s="747" t="str">
        <f>IF($U19="","",S_16!G13)</f>
        <v/>
      </c>
      <c r="AG19" s="747" t="str">
        <f>IF($U19="","",S_16!H13)</f>
        <v/>
      </c>
      <c r="AH19" s="747" t="str">
        <f>IF($U19="","",S_16!I13)</f>
        <v/>
      </c>
      <c r="AI19" s="747" t="str">
        <f>IF($U19="","",S_16!J13)</f>
        <v/>
      </c>
      <c r="AJ19" s="747" t="str">
        <f>IF($U19="","",S_16!K13)</f>
        <v/>
      </c>
      <c r="AK19" s="747" t="str">
        <f>IF($U19="","",S_16!L13)</f>
        <v/>
      </c>
      <c r="AL19" s="747" t="str">
        <f>IF($U19="","",S_16!M13)</f>
        <v/>
      </c>
      <c r="AM19" s="747" t="str">
        <f>IF($U19="","",S_16!N13)</f>
        <v/>
      </c>
      <c r="AN19" s="747" t="str">
        <f>IF($U19="","",S_16!O13)</f>
        <v/>
      </c>
      <c r="AO19" s="747" t="str">
        <f>IF($U19="","",S_16!P13)</f>
        <v/>
      </c>
      <c r="AQ19" s="1608">
        <f>IF(S_16!$DF$13&gt;0,1,0)</f>
        <v>0</v>
      </c>
      <c r="AR19" s="1608">
        <f>IF(S_16!$DG$13&gt;0,1,0)</f>
        <v>0</v>
      </c>
      <c r="AS19" s="1608">
        <f>IF(S_16!$DH$13&gt;0,1,0)</f>
        <v>0</v>
      </c>
      <c r="AT19" s="1608">
        <f>IF(S_16!$DI$13&gt;0,1,0)</f>
        <v>0</v>
      </c>
      <c r="AU19" s="1608">
        <f>IF(S_16!$DJ$13&gt;0,1,0)</f>
        <v>0</v>
      </c>
      <c r="AV19" s="1608">
        <f>IF(S_16!$DK$13&gt;0,1,0)</f>
        <v>0</v>
      </c>
      <c r="AW19" s="1608">
        <f t="shared" si="4"/>
        <v>0</v>
      </c>
      <c r="AX19" s="1608" t="str">
        <f t="shared" si="5"/>
        <v/>
      </c>
      <c r="AY19" s="1106" t="str">
        <f t="shared" si="0"/>
        <v/>
      </c>
      <c r="AZ19" s="1106" t="str">
        <f t="shared" si="6"/>
        <v/>
      </c>
      <c r="BA19" s="2259" t="str">
        <f t="shared" si="7"/>
        <v/>
      </c>
      <c r="BB19" s="2259" t="str">
        <f t="shared" si="8"/>
        <v/>
      </c>
      <c r="BC19" s="1608">
        <f>IF(S_16!$DN$13&gt;0,1,0)</f>
        <v>0</v>
      </c>
      <c r="BD19" s="1608">
        <f>IF(S_16!$DO$13&gt;0,1,0)</f>
        <v>0</v>
      </c>
      <c r="BE19" s="1608">
        <f>IF(S_16!$DP$13&gt;0,1,0)</f>
        <v>0</v>
      </c>
      <c r="BF19" s="1608">
        <f>IF(S_16!$DQ$13&gt;0,1,0)</f>
        <v>0</v>
      </c>
      <c r="BG19" s="1608">
        <f>IF(S_16!$DR$13&gt;0,1,0)</f>
        <v>0</v>
      </c>
      <c r="BH19" s="1608">
        <f>IF(S_16!$DS$13&gt;0,1,0)</f>
        <v>0</v>
      </c>
      <c r="BI19" s="1608">
        <f t="shared" si="9"/>
        <v>0</v>
      </c>
      <c r="BJ19" s="1106" t="str">
        <f t="shared" si="10"/>
        <v/>
      </c>
      <c r="BK19" s="2259" t="str">
        <f t="shared" si="11"/>
        <v/>
      </c>
      <c r="BL19" s="2259" t="str">
        <f t="shared" si="12"/>
        <v/>
      </c>
      <c r="BN19" s="747">
        <f>S_16!$DE$13</f>
        <v>0</v>
      </c>
      <c r="BO19" s="747">
        <f>S_16!$DM$13</f>
        <v>0</v>
      </c>
      <c r="BP19" s="747">
        <f>S_16!$CP$13</f>
        <v>0</v>
      </c>
      <c r="BQ19" s="747">
        <f>S_16!$CQ$13</f>
        <v>0</v>
      </c>
      <c r="BR19" s="1610" t="e">
        <f>BP19/Betrieb!$E$23</f>
        <v>#DIV/0!</v>
      </c>
      <c r="BS19" s="1610" t="e">
        <f>BQ19/Betrieb!$E$24</f>
        <v>#DIV/0!</v>
      </c>
      <c r="BT19" s="1615" t="str">
        <f t="shared" si="13"/>
        <v/>
      </c>
      <c r="BU19" s="1615" t="str">
        <f t="shared" si="14"/>
        <v/>
      </c>
      <c r="BV19" s="747">
        <f>IF(AND(S_16!$G$8="JA",S_16!$K$8="NEIN"),S_16!$U$13,0)</f>
        <v>0</v>
      </c>
      <c r="BW19" s="1769">
        <f>IF(AND(S_16!$G$8="JA",S_16!$K$8="NEIN"),S_16!$V$13,0)</f>
        <v>0</v>
      </c>
      <c r="BX19" s="1087" t="str">
        <f t="shared" si="15"/>
        <v/>
      </c>
      <c r="BY19" s="1087" t="str">
        <f t="shared" si="16"/>
        <v/>
      </c>
    </row>
    <row r="20" spans="1:77" ht="20.25" hidden="1" customHeight="1">
      <c r="A20" s="1775"/>
      <c r="C20" s="1796" t="str">
        <f t="array" ref="C20">IFERROR(IF(ROW($C$1)&gt;COUNTA($Y$4:$Y$33),"",INDEX($Y:$Y,SMALL(IF(Y$4:Y$33&lt;&gt;"",ROW($4:$33)),ROW(C17)))),"")</f>
        <v/>
      </c>
      <c r="D20" s="747" t="str">
        <f t="array" ref="D20">IFERROR(IF(ROW($D$1)&gt;COUNTA($V$4:$V$33),"",INDEX($V:$V,SMALL(IF(V$4:V$33&lt;&gt;"",ROW($4:$33)),ROW(B17)))),"")</f>
        <v/>
      </c>
      <c r="E20" s="1616" t="str">
        <f t="array" ref="E20">IFERROR(IF(ROW($E$1)&gt;COUNTA($W$4:$W$33),"",INDEX($W:$W,SMALL(IF(W$4:W$33&lt;&gt;"",ROW($4:$33)),ROW(C17)))),"")</f>
        <v/>
      </c>
      <c r="F20" s="1796" t="str">
        <f t="array" ref="F20">IFERROR(IF(ROW($F$1)&gt;COUNTA($AA$4:$AA$33),"",INDEX($AA:$AA,SMALL(IF(AA$4:AA$33&lt;&gt;"",ROW($4:$33)),ROW(D17)))),"")</f>
        <v/>
      </c>
      <c r="G20" s="16" t="str">
        <f t="array" ref="G20">IFERROR(IF(ROW($G$1)&gt;COUNTA($AC$4:$AC$33),"",INDEX($AC:$AC,SMALL(IF(AC$4:AC$33&lt;&gt;"",ROW($4:$33)),ROW(E17)))),"")</f>
        <v/>
      </c>
      <c r="H20" s="1797" t="str">
        <f t="array" ref="H20">IFERROR(IF(ROW($H$1)&gt;COUNTA($BT$4:$BT$33),"",INDEX($BT:$BT,SMALL(IF(BT$4:BT$33&lt;&gt;"",ROW($4:$33)),ROW(F17)))),"")</f>
        <v/>
      </c>
      <c r="I20" s="1613" t="str">
        <f t="array" ref="I20">IFERROR(IF(ROW($I$1)&gt;COUNTA($AZ$4:$AZ$33),"",INDEX($AZ:$AZ,SMALL(IF(AZ$4:AZ$33&lt;&gt;"",ROW($4:$33)),ROW(G17)))),"")</f>
        <v/>
      </c>
      <c r="J20" s="1797" t="str">
        <f t="array" ref="J20">IFERROR(IF(ROW($J$1)&gt;COUNTA($BA$4:$BA$33),"",INDEX($BA:$BA,SMALL(IF(BA$4:BA$33&lt;&gt;"",ROW($4:$33)),ROW(H17)))),"")</f>
        <v/>
      </c>
      <c r="K20" s="1614" t="str">
        <f t="array" ref="K20">IFERROR(IF(ROW($K$1)&gt;COUNTA($BB$4:$BB$33),"",INDEX($BB:$BB,SMALL(IF(BB$4:BB$33&lt;&gt;"",ROW($4:$33)),ROW(I17)))),"")</f>
        <v/>
      </c>
      <c r="M20" s="1797" t="str">
        <f t="array" ref="M20">IFERROR(IF(ROW($M$1)&gt;COUNTA($BU$4:$BU$33),"",INDEX($BU:$BU,SMALL(IF(BU$4:BU$33&lt;&gt;"",ROW($4:$33)),ROW(K17)))),"")</f>
        <v/>
      </c>
      <c r="N20" s="1613" t="str">
        <f t="array" ref="N20">IFERROR(IF(ROW($N$1)&gt;COUNTA($BJ$4:$BJ$33),"",INDEX($BJ:$BJ,SMALL(IF(BJ$4:BJ$33&lt;&gt;"",ROW($4:$33)),ROW(L17)))),"")</f>
        <v/>
      </c>
      <c r="O20" s="1797" t="str">
        <f t="array" ref="O20">IFERROR(IF(ROW($O$1)&gt;COUNTA($BK$4:$BK$33),"",INDEX($BK:$BK,SMALL(IF(BK$4:BK$33&lt;&gt;"",ROW($4:$33)),ROW(M17)))),"")</f>
        <v/>
      </c>
      <c r="P20" s="1614" t="str">
        <f t="array" ref="P20">IFERROR(IF(ROW($P$1)&gt;COUNTA($BL$4:$BL$33),"",INDEX($BL:$BL,SMALL(IF(BL$4:BL$33&lt;&gt;"",ROW($4:$33)),ROW(N17)))),"")</f>
        <v/>
      </c>
      <c r="Q20" s="1775"/>
      <c r="R20" s="1775"/>
      <c r="S20" s="1775"/>
      <c r="T20" s="1775"/>
      <c r="U20" s="1608" t="str">
        <f>IF(AND(S_17!$G$8="ja",S_17!$K$8="nein"),S_17!$C$2,"")</f>
        <v/>
      </c>
      <c r="V20" s="747" t="str">
        <f t="shared" si="1"/>
        <v/>
      </c>
      <c r="W20" s="1106" t="str">
        <f>IF($U20="","",S_17!$B$13)</f>
        <v/>
      </c>
      <c r="Y20" s="1106" t="str">
        <f>IF($U20="","",Grünland!B21)</f>
        <v/>
      </c>
      <c r="Z20" s="1608" t="str">
        <f>IF($U20="","",S_17!C13)</f>
        <v/>
      </c>
      <c r="AA20" s="747" t="str">
        <f t="shared" si="2"/>
        <v/>
      </c>
      <c r="AB20" s="1608" t="str">
        <f>IF($U20="","",S_17!CM13)</f>
        <v/>
      </c>
      <c r="AC20" s="747" t="str">
        <f t="shared" si="3"/>
        <v/>
      </c>
      <c r="AD20" s="747" t="str">
        <f>IF($U20="","",S_17!E13)</f>
        <v/>
      </c>
      <c r="AE20" s="747" t="str">
        <f>IF($U20="","",S_17!F13)</f>
        <v/>
      </c>
      <c r="AF20" s="747" t="str">
        <f>IF($U20="","",S_17!G13)</f>
        <v/>
      </c>
      <c r="AG20" s="747" t="str">
        <f>IF($U20="","",S_17!H13)</f>
        <v/>
      </c>
      <c r="AH20" s="747" t="str">
        <f>IF($U20="","",S_17!I13)</f>
        <v/>
      </c>
      <c r="AI20" s="747" t="str">
        <f>IF($U20="","",S_17!J13)</f>
        <v/>
      </c>
      <c r="AJ20" s="747" t="str">
        <f>IF($U20="","",S_17!K13)</f>
        <v/>
      </c>
      <c r="AK20" s="747" t="str">
        <f>IF($U20="","",S_17!L13)</f>
        <v/>
      </c>
      <c r="AL20" s="747" t="str">
        <f>IF($U20="","",S_17!M13)</f>
        <v/>
      </c>
      <c r="AM20" s="747" t="str">
        <f>IF($U20="","",S_17!N13)</f>
        <v/>
      </c>
      <c r="AN20" s="747" t="str">
        <f>IF($U20="","",S_17!O13)</f>
        <v/>
      </c>
      <c r="AO20" s="747" t="str">
        <f>IF($U20="","",S_17!P13)</f>
        <v/>
      </c>
      <c r="AQ20" s="1608">
        <f>IF(S_17!$DF$13&gt;0,1,0)</f>
        <v>0</v>
      </c>
      <c r="AR20" s="1608">
        <f>IF(S_17!$DG$13&gt;0,1,0)</f>
        <v>0</v>
      </c>
      <c r="AS20" s="1608">
        <f>IF(S_17!$DH$13&gt;0,1,0)</f>
        <v>0</v>
      </c>
      <c r="AT20" s="1608">
        <f>IF(S_17!$DI$13&gt;0,1,0)</f>
        <v>0</v>
      </c>
      <c r="AU20" s="1608">
        <f>IF(S_17!$DJ$13&gt;0,1,0)</f>
        <v>0</v>
      </c>
      <c r="AV20" s="1608">
        <f>IF(S_17!$DK$13&gt;0,1,0)</f>
        <v>0</v>
      </c>
      <c r="AW20" s="1608">
        <f t="shared" si="4"/>
        <v>0</v>
      </c>
      <c r="AX20" s="1608" t="str">
        <f t="shared" si="5"/>
        <v/>
      </c>
      <c r="AY20" s="1106" t="str">
        <f t="shared" si="0"/>
        <v/>
      </c>
      <c r="AZ20" s="1106" t="str">
        <f t="shared" si="6"/>
        <v/>
      </c>
      <c r="BA20" s="2259" t="str">
        <f t="shared" si="7"/>
        <v/>
      </c>
      <c r="BB20" s="2259" t="str">
        <f t="shared" si="8"/>
        <v/>
      </c>
      <c r="BC20" s="1608">
        <f>IF(S_17!$DN$13&gt;0,1,0)</f>
        <v>0</v>
      </c>
      <c r="BD20" s="1608">
        <f>IF(S_17!$DO$13&gt;0,1,0)</f>
        <v>0</v>
      </c>
      <c r="BE20" s="1608">
        <f>IF(S_17!$DP$13&gt;0,1,0)</f>
        <v>0</v>
      </c>
      <c r="BF20" s="1608">
        <f>IF(S_17!$DQ$13&gt;0,1,0)</f>
        <v>0</v>
      </c>
      <c r="BG20" s="1608">
        <f>IF(S_17!$DR$13&gt;0,1,0)</f>
        <v>0</v>
      </c>
      <c r="BH20" s="1608">
        <f>IF(S_17!$DS$13&gt;0,1,0)</f>
        <v>0</v>
      </c>
      <c r="BI20" s="1608">
        <f t="shared" si="9"/>
        <v>0</v>
      </c>
      <c r="BJ20" s="1106" t="str">
        <f t="shared" si="10"/>
        <v/>
      </c>
      <c r="BK20" s="2259" t="str">
        <f t="shared" si="11"/>
        <v/>
      </c>
      <c r="BL20" s="2259" t="str">
        <f t="shared" si="12"/>
        <v/>
      </c>
      <c r="BN20" s="747">
        <f>S_17!$DE$13</f>
        <v>0</v>
      </c>
      <c r="BO20" s="747">
        <f>S_17!$DM$13</f>
        <v>0</v>
      </c>
      <c r="BP20" s="747">
        <f>S_17!$CP$13</f>
        <v>0</v>
      </c>
      <c r="BQ20" s="747">
        <f>S_17!$CQ$13</f>
        <v>0</v>
      </c>
      <c r="BR20" s="1610" t="e">
        <f>BP20/Betrieb!$E$23</f>
        <v>#DIV/0!</v>
      </c>
      <c r="BS20" s="1610" t="e">
        <f>BQ20/Betrieb!$E$24</f>
        <v>#DIV/0!</v>
      </c>
      <c r="BT20" s="1615" t="str">
        <f t="shared" si="13"/>
        <v/>
      </c>
      <c r="BU20" s="1615" t="str">
        <f t="shared" si="14"/>
        <v/>
      </c>
      <c r="BV20" s="747">
        <f>IF(AND(S_17!$G$8="JA",S_17!$K$8="NEIN"),S_17!$U$13,0)</f>
        <v>0</v>
      </c>
      <c r="BW20" s="1769">
        <f>IF(AND(S_17!$G$8="JA",S_17!$K$8="NEIN"),S_17!$V$13,0)</f>
        <v>0</v>
      </c>
      <c r="BX20" s="1087" t="str">
        <f t="shared" si="15"/>
        <v/>
      </c>
      <c r="BY20" s="1087" t="str">
        <f t="shared" si="16"/>
        <v/>
      </c>
    </row>
    <row r="21" spans="1:77" ht="20.25" hidden="1" customHeight="1">
      <c r="A21" s="1775"/>
      <c r="C21" s="1796" t="str">
        <f t="array" ref="C21">IFERROR(IF(ROW($C$1)&gt;COUNTA($Y$4:$Y$33),"",INDEX($Y:$Y,SMALL(IF(Y$4:Y$33&lt;&gt;"",ROW($4:$33)),ROW(C18)))),"")</f>
        <v/>
      </c>
      <c r="D21" s="747" t="str">
        <f t="array" ref="D21">IFERROR(IF(ROW($D$1)&gt;COUNTA($V$4:$V$33),"",INDEX($V:$V,SMALL(IF(V$4:V$33&lt;&gt;"",ROW($4:$33)),ROW(B18)))),"")</f>
        <v/>
      </c>
      <c r="E21" s="1616" t="str">
        <f t="array" ref="E21">IFERROR(IF(ROW($E$1)&gt;COUNTA($W$4:$W$33),"",INDEX($W:$W,SMALL(IF(W$4:W$33&lt;&gt;"",ROW($4:$33)),ROW(C18)))),"")</f>
        <v/>
      </c>
      <c r="F21" s="1796" t="str">
        <f t="array" ref="F21">IFERROR(IF(ROW($F$1)&gt;COUNTA($AA$4:$AA$33),"",INDEX($AA:$AA,SMALL(IF(AA$4:AA$33&lt;&gt;"",ROW($4:$33)),ROW(D18)))),"")</f>
        <v/>
      </c>
      <c r="G21" s="16" t="str">
        <f t="array" ref="G21">IFERROR(IF(ROW($G$1)&gt;COUNTA($AC$4:$AC$33),"",INDEX($AC:$AC,SMALL(IF(AC$4:AC$33&lt;&gt;"",ROW($4:$33)),ROW(E18)))),"")</f>
        <v/>
      </c>
      <c r="H21" s="1797" t="str">
        <f t="array" ref="H21">IFERROR(IF(ROW($H$1)&gt;COUNTA($BT$4:$BT$33),"",INDEX($BT:$BT,SMALL(IF(BT$4:BT$33&lt;&gt;"",ROW($4:$33)),ROW(F18)))),"")</f>
        <v/>
      </c>
      <c r="I21" s="1613" t="str">
        <f t="array" ref="I21">IFERROR(IF(ROW($I$1)&gt;COUNTA($AZ$4:$AZ$33),"",INDEX($AZ:$AZ,SMALL(IF(AZ$4:AZ$33&lt;&gt;"",ROW($4:$33)),ROW(G18)))),"")</f>
        <v/>
      </c>
      <c r="J21" s="1797" t="str">
        <f t="array" ref="J21">IFERROR(IF(ROW($J$1)&gt;COUNTA($BA$4:$BA$33),"",INDEX($BA:$BA,SMALL(IF(BA$4:BA$33&lt;&gt;"",ROW($4:$33)),ROW(H18)))),"")</f>
        <v/>
      </c>
      <c r="K21" s="1614" t="str">
        <f t="array" ref="K21">IFERROR(IF(ROW($K$1)&gt;COUNTA($BB$4:$BB$33),"",INDEX($BB:$BB,SMALL(IF(BB$4:BB$33&lt;&gt;"",ROW($4:$33)),ROW(I18)))),"")</f>
        <v/>
      </c>
      <c r="M21" s="1797" t="str">
        <f t="array" ref="M21">IFERROR(IF(ROW($M$1)&gt;COUNTA($BU$4:$BU$33),"",INDEX($BU:$BU,SMALL(IF(BU$4:BU$33&lt;&gt;"",ROW($4:$33)),ROW(K18)))),"")</f>
        <v/>
      </c>
      <c r="N21" s="1613" t="str">
        <f t="array" ref="N21">IFERROR(IF(ROW($N$1)&gt;COUNTA($BJ$4:$BJ$33),"",INDEX($BJ:$BJ,SMALL(IF(BJ$4:BJ$33&lt;&gt;"",ROW($4:$33)),ROW(L18)))),"")</f>
        <v/>
      </c>
      <c r="O21" s="1797" t="str">
        <f t="array" ref="O21">IFERROR(IF(ROW($O$1)&gt;COUNTA($BK$4:$BK$33),"",INDEX($BK:$BK,SMALL(IF(BK$4:BK$33&lt;&gt;"",ROW($4:$33)),ROW(M18)))),"")</f>
        <v/>
      </c>
      <c r="P21" s="1614" t="str">
        <f t="array" ref="P21">IFERROR(IF(ROW($P$1)&gt;COUNTA($BL$4:$BL$33),"",INDEX($BL:$BL,SMALL(IF(BL$4:BL$33&lt;&gt;"",ROW($4:$33)),ROW(N18)))),"")</f>
        <v/>
      </c>
      <c r="Q21" s="1775"/>
      <c r="R21" s="1775"/>
      <c r="S21" s="1775"/>
      <c r="T21" s="1775"/>
      <c r="U21" s="1608" t="str">
        <f>IF(AND(S_18!$G$8="ja",S_18!$K$8="nein"),S_18!$C$2,"")</f>
        <v/>
      </c>
      <c r="V21" s="747" t="str">
        <f t="shared" si="1"/>
        <v/>
      </c>
      <c r="W21" s="1106" t="str">
        <f>IF($U21="","",S_18!$B$13)</f>
        <v/>
      </c>
      <c r="Y21" s="1106" t="str">
        <f>IF($U21="","",Grünland!B22)</f>
        <v/>
      </c>
      <c r="Z21" s="1608" t="str">
        <f>IF($U21="","",S_18!C13)</f>
        <v/>
      </c>
      <c r="AA21" s="747" t="str">
        <f t="shared" si="2"/>
        <v/>
      </c>
      <c r="AB21" s="1608" t="str">
        <f>IF($U21="","",S_18!CM13)</f>
        <v/>
      </c>
      <c r="AC21" s="747" t="str">
        <f t="shared" si="3"/>
        <v/>
      </c>
      <c r="AD21" s="747" t="str">
        <f>IF($U21="","",S_18!E13)</f>
        <v/>
      </c>
      <c r="AE21" s="747" t="str">
        <f>IF($U21="","",S_18!F13)</f>
        <v/>
      </c>
      <c r="AF21" s="747" t="str">
        <f>IF($U21="","",S_18!G13)</f>
        <v/>
      </c>
      <c r="AG21" s="747" t="str">
        <f>IF($U21="","",S_18!H13)</f>
        <v/>
      </c>
      <c r="AH21" s="747" t="str">
        <f>IF($U21="","",S_18!I13)</f>
        <v/>
      </c>
      <c r="AI21" s="747" t="str">
        <f>IF($U21="","",S_18!J13)</f>
        <v/>
      </c>
      <c r="AJ21" s="747" t="str">
        <f>IF($U21="","",S_18!K13)</f>
        <v/>
      </c>
      <c r="AK21" s="747" t="str">
        <f>IF($U21="","",S_18!L13)</f>
        <v/>
      </c>
      <c r="AL21" s="747" t="str">
        <f>IF($U21="","",S_18!M13)</f>
        <v/>
      </c>
      <c r="AM21" s="747" t="str">
        <f>IF($U21="","",S_18!N13)</f>
        <v/>
      </c>
      <c r="AN21" s="747" t="str">
        <f>IF($U21="","",S_18!O13)</f>
        <v/>
      </c>
      <c r="AO21" s="747" t="str">
        <f>IF($U21="","",S_18!P13)</f>
        <v/>
      </c>
      <c r="AQ21" s="1608">
        <f>IF(S_18!$DF$13&gt;0,1,0)</f>
        <v>0</v>
      </c>
      <c r="AR21" s="1608">
        <f>IF(S_18!$DG$13&gt;0,1,0)</f>
        <v>0</v>
      </c>
      <c r="AS21" s="1608">
        <f>IF(S_18!$DH$13&gt;0,1,0)</f>
        <v>0</v>
      </c>
      <c r="AT21" s="1608">
        <f>IF(S_18!$DI$13&gt;0,1,0)</f>
        <v>0</v>
      </c>
      <c r="AU21" s="1608">
        <f>IF(S_18!$DJ$13&gt;0,1,0)</f>
        <v>0</v>
      </c>
      <c r="AV21" s="1608">
        <f>IF(S_18!$DK$13&gt;0,1,0)</f>
        <v>0</v>
      </c>
      <c r="AW21" s="1608">
        <f t="shared" si="4"/>
        <v>0</v>
      </c>
      <c r="AX21" s="1608" t="str">
        <f t="shared" si="5"/>
        <v/>
      </c>
      <c r="AY21" s="1106" t="str">
        <f t="shared" si="0"/>
        <v/>
      </c>
      <c r="AZ21" s="1106" t="str">
        <f t="shared" si="6"/>
        <v/>
      </c>
      <c r="BA21" s="2259" t="str">
        <f t="shared" si="7"/>
        <v/>
      </c>
      <c r="BB21" s="2259" t="str">
        <f t="shared" si="8"/>
        <v/>
      </c>
      <c r="BC21" s="1608">
        <f>IF(S_18!$DN$13&gt;0,1,0)</f>
        <v>0</v>
      </c>
      <c r="BD21" s="1608">
        <f>IF(S_18!$DO$13&gt;0,1,0)</f>
        <v>0</v>
      </c>
      <c r="BE21" s="1608">
        <f>IF(S_18!$DP$13&gt;0,1,0)</f>
        <v>0</v>
      </c>
      <c r="BF21" s="1608">
        <f>IF(S_18!$DQ$13&gt;0,1,0)</f>
        <v>0</v>
      </c>
      <c r="BG21" s="1608">
        <f>IF(S_18!$DR$13&gt;0,1,0)</f>
        <v>0</v>
      </c>
      <c r="BH21" s="1608">
        <f>IF(S_18!$DS$13&gt;0,1,0)</f>
        <v>0</v>
      </c>
      <c r="BI21" s="1608">
        <f t="shared" si="9"/>
        <v>0</v>
      </c>
      <c r="BJ21" s="1106" t="str">
        <f t="shared" si="10"/>
        <v/>
      </c>
      <c r="BK21" s="2259" t="str">
        <f t="shared" si="11"/>
        <v/>
      </c>
      <c r="BL21" s="2259" t="str">
        <f t="shared" si="12"/>
        <v/>
      </c>
      <c r="BN21" s="747">
        <f>S_18!$DE$13</f>
        <v>0</v>
      </c>
      <c r="BO21" s="747">
        <f>S_18!$DM$13</f>
        <v>0</v>
      </c>
      <c r="BP21" s="747">
        <f>S_18!$CP$13</f>
        <v>0</v>
      </c>
      <c r="BQ21" s="747">
        <f>S_18!$CQ$13</f>
        <v>0</v>
      </c>
      <c r="BR21" s="1610" t="e">
        <f>BP21/Betrieb!$E$23</f>
        <v>#DIV/0!</v>
      </c>
      <c r="BS21" s="1610" t="e">
        <f>BQ21/Betrieb!$E$24</f>
        <v>#DIV/0!</v>
      </c>
      <c r="BT21" s="1615" t="str">
        <f t="shared" si="13"/>
        <v/>
      </c>
      <c r="BU21" s="1615" t="str">
        <f t="shared" si="14"/>
        <v/>
      </c>
      <c r="BV21" s="747">
        <f>IF(AND(S_18!$G$8="JA",S_18!$K$8="NEIN"),S_18!$U$13,0)</f>
        <v>0</v>
      </c>
      <c r="BW21" s="1769">
        <f>IF(AND(S_18!$G$8="JA",S_18!$K$8="NEIN"),S_18!$V$13,0)</f>
        <v>0</v>
      </c>
      <c r="BX21" s="1087" t="str">
        <f t="shared" si="15"/>
        <v/>
      </c>
      <c r="BY21" s="1087" t="str">
        <f t="shared" si="16"/>
        <v/>
      </c>
    </row>
    <row r="22" spans="1:77" ht="20.25" hidden="1" customHeight="1">
      <c r="A22" s="1775"/>
      <c r="C22" s="1796" t="str">
        <f t="array" ref="C22">IFERROR(IF(ROW($C$1)&gt;COUNTA($Y$4:$Y$33),"",INDEX($Y:$Y,SMALL(IF(Y$4:Y$33&lt;&gt;"",ROW($4:$33)),ROW(C19)))),"")</f>
        <v/>
      </c>
      <c r="D22" s="747" t="str">
        <f t="array" ref="D22">IFERROR(IF(ROW($D$1)&gt;COUNTA($V$4:$V$33),"",INDEX($V:$V,SMALL(IF(V$4:V$33&lt;&gt;"",ROW($4:$33)),ROW(B19)))),"")</f>
        <v/>
      </c>
      <c r="E22" s="1616" t="str">
        <f t="array" ref="E22">IFERROR(IF(ROW($E$1)&gt;COUNTA($W$4:$W$33),"",INDEX($W:$W,SMALL(IF(W$4:W$33&lt;&gt;"",ROW($4:$33)),ROW(C19)))),"")</f>
        <v/>
      </c>
      <c r="F22" s="1796" t="str">
        <f t="array" ref="F22">IFERROR(IF(ROW($F$1)&gt;COUNTA($AA$4:$AA$33),"",INDEX($AA:$AA,SMALL(IF(AA$4:AA$33&lt;&gt;"",ROW($4:$33)),ROW(D19)))),"")</f>
        <v/>
      </c>
      <c r="G22" s="16" t="str">
        <f t="array" ref="G22">IFERROR(IF(ROW($G$1)&gt;COUNTA($AC$4:$AC$33),"",INDEX($AC:$AC,SMALL(IF(AC$4:AC$33&lt;&gt;"",ROW($4:$33)),ROW(E19)))),"")</f>
        <v/>
      </c>
      <c r="H22" s="1797" t="str">
        <f t="array" ref="H22">IFERROR(IF(ROW($H$1)&gt;COUNTA($BT$4:$BT$33),"",INDEX($BT:$BT,SMALL(IF(BT$4:BT$33&lt;&gt;"",ROW($4:$33)),ROW(F19)))),"")</f>
        <v/>
      </c>
      <c r="I22" s="1613" t="str">
        <f t="array" ref="I22">IFERROR(IF(ROW($I$1)&gt;COUNTA($AZ$4:$AZ$33),"",INDEX($AZ:$AZ,SMALL(IF(AZ$4:AZ$33&lt;&gt;"",ROW($4:$33)),ROW(G19)))),"")</f>
        <v/>
      </c>
      <c r="J22" s="1797" t="str">
        <f t="array" ref="J22">IFERROR(IF(ROW($J$1)&gt;COUNTA($BA$4:$BA$33),"",INDEX($BA:$BA,SMALL(IF(BA$4:BA$33&lt;&gt;"",ROW($4:$33)),ROW(H19)))),"")</f>
        <v/>
      </c>
      <c r="K22" s="1614" t="str">
        <f t="array" ref="K22">IFERROR(IF(ROW($K$1)&gt;COUNTA($BB$4:$BB$33),"",INDEX($BB:$BB,SMALL(IF(BB$4:BB$33&lt;&gt;"",ROW($4:$33)),ROW(I19)))),"")</f>
        <v/>
      </c>
      <c r="M22" s="1797" t="str">
        <f t="array" ref="M22">IFERROR(IF(ROW($M$1)&gt;COUNTA($BU$4:$BU$33),"",INDEX($BU:$BU,SMALL(IF(BU$4:BU$33&lt;&gt;"",ROW($4:$33)),ROW(K19)))),"")</f>
        <v/>
      </c>
      <c r="N22" s="1613" t="str">
        <f t="array" ref="N22">IFERROR(IF(ROW($N$1)&gt;COUNTA($BJ$4:$BJ$33),"",INDEX($BJ:$BJ,SMALL(IF(BJ$4:BJ$33&lt;&gt;"",ROW($4:$33)),ROW(L19)))),"")</f>
        <v/>
      </c>
      <c r="O22" s="1797" t="str">
        <f t="array" ref="O22">IFERROR(IF(ROW($O$1)&gt;COUNTA($BK$4:$BK$33),"",INDEX($BK:$BK,SMALL(IF(BK$4:BK$33&lt;&gt;"",ROW($4:$33)),ROW(M19)))),"")</f>
        <v/>
      </c>
      <c r="P22" s="1614" t="str">
        <f t="array" ref="P22">IFERROR(IF(ROW($P$1)&gt;COUNTA($BL$4:$BL$33),"",INDEX($BL:$BL,SMALL(IF(BL$4:BL$33&lt;&gt;"",ROW($4:$33)),ROW(N19)))),"")</f>
        <v/>
      </c>
      <c r="Q22" s="1775"/>
      <c r="R22" s="1775"/>
      <c r="S22" s="1775"/>
      <c r="T22" s="1775"/>
      <c r="U22" s="1608" t="str">
        <f>IF(AND(S_19!$G$8="ja",S_19!$K$8="nein"),S_19!$C$2,"")</f>
        <v/>
      </c>
      <c r="V22" s="747" t="str">
        <f t="shared" si="1"/>
        <v/>
      </c>
      <c r="W22" s="1106" t="str">
        <f>IF($U22="","",S_19!$B$13)</f>
        <v/>
      </c>
      <c r="Y22" s="1106" t="str">
        <f>IF($U22="","",Grünland!B23)</f>
        <v/>
      </c>
      <c r="Z22" s="1608" t="str">
        <f>IF($U22="","",S_19!C13)</f>
        <v/>
      </c>
      <c r="AA22" s="747" t="str">
        <f t="shared" si="2"/>
        <v/>
      </c>
      <c r="AB22" s="1608" t="str">
        <f>IF($U22="","",S_19!CM13)</f>
        <v/>
      </c>
      <c r="AC22" s="747" t="str">
        <f t="shared" si="3"/>
        <v/>
      </c>
      <c r="AD22" s="747" t="str">
        <f>IF($U22="","",S_19!E13)</f>
        <v/>
      </c>
      <c r="AE22" s="747" t="str">
        <f>IF($U22="","",S_19!F13)</f>
        <v/>
      </c>
      <c r="AF22" s="747" t="str">
        <f>IF($U22="","",S_19!G13)</f>
        <v/>
      </c>
      <c r="AG22" s="747" t="str">
        <f>IF($U22="","",S_19!H13)</f>
        <v/>
      </c>
      <c r="AH22" s="747" t="str">
        <f>IF($U22="","",S_19!I13)</f>
        <v/>
      </c>
      <c r="AI22" s="747" t="str">
        <f>IF($U22="","",S_19!J13)</f>
        <v/>
      </c>
      <c r="AJ22" s="747" t="str">
        <f>IF($U22="","",S_19!K13)</f>
        <v/>
      </c>
      <c r="AK22" s="747" t="str">
        <f>IF($U22="","",S_19!L13)</f>
        <v/>
      </c>
      <c r="AL22" s="747" t="str">
        <f>IF($U22="","",S_19!M13)</f>
        <v/>
      </c>
      <c r="AM22" s="747" t="str">
        <f>IF($U22="","",S_19!N13)</f>
        <v/>
      </c>
      <c r="AN22" s="747" t="str">
        <f>IF($U22="","",S_19!O13)</f>
        <v/>
      </c>
      <c r="AO22" s="747" t="str">
        <f>IF($U22="","",S_19!P13)</f>
        <v/>
      </c>
      <c r="AQ22" s="1608">
        <f>IF(S_19!$DF$13&gt;0,1,0)</f>
        <v>0</v>
      </c>
      <c r="AR22" s="1608">
        <f>IF(S_19!$DG$13&gt;0,1,0)</f>
        <v>0</v>
      </c>
      <c r="AS22" s="1608">
        <f>IF(S_19!$DH$13&gt;0,1,0)</f>
        <v>0</v>
      </c>
      <c r="AT22" s="1608">
        <f>IF(S_19!$DI$13&gt;0,1,0)</f>
        <v>0</v>
      </c>
      <c r="AU22" s="1608">
        <f>IF(S_19!$DJ$13&gt;0,1,0)</f>
        <v>0</v>
      </c>
      <c r="AV22" s="1608">
        <f>IF(S_19!$DK$13&gt;0,1,0)</f>
        <v>0</v>
      </c>
      <c r="AW22" s="1608">
        <f t="shared" si="4"/>
        <v>0</v>
      </c>
      <c r="AX22" s="1608" t="str">
        <f t="shared" si="5"/>
        <v/>
      </c>
      <c r="AY22" s="1106" t="str">
        <f t="shared" si="0"/>
        <v/>
      </c>
      <c r="AZ22" s="1106" t="str">
        <f t="shared" si="6"/>
        <v/>
      </c>
      <c r="BA22" s="2259" t="str">
        <f t="shared" si="7"/>
        <v/>
      </c>
      <c r="BB22" s="2259" t="str">
        <f t="shared" si="8"/>
        <v/>
      </c>
      <c r="BC22" s="1608">
        <f>IF(S_19!$DN$13&gt;0,1,0)</f>
        <v>0</v>
      </c>
      <c r="BD22" s="1608">
        <f>IF(S_19!$DO$13&gt;0,1,0)</f>
        <v>0</v>
      </c>
      <c r="BE22" s="1608">
        <f>IF(S_19!$DP$13&gt;0,1,0)</f>
        <v>0</v>
      </c>
      <c r="BF22" s="1608">
        <f>IF(S_19!$DQ$13&gt;0,1,0)</f>
        <v>0</v>
      </c>
      <c r="BG22" s="1608">
        <f>IF(S_19!$DR$13&gt;0,1,0)</f>
        <v>0</v>
      </c>
      <c r="BH22" s="1608">
        <f>IF(S_19!$DS$13&gt;0,1,0)</f>
        <v>0</v>
      </c>
      <c r="BI22" s="1608">
        <f t="shared" si="9"/>
        <v>0</v>
      </c>
      <c r="BJ22" s="1106" t="str">
        <f t="shared" si="10"/>
        <v/>
      </c>
      <c r="BK22" s="2259" t="str">
        <f t="shared" si="11"/>
        <v/>
      </c>
      <c r="BL22" s="2259" t="str">
        <f t="shared" si="12"/>
        <v/>
      </c>
      <c r="BN22" s="747">
        <f>S_19!$DE$13</f>
        <v>0</v>
      </c>
      <c r="BO22" s="747">
        <f>S_19!$DM$13</f>
        <v>0</v>
      </c>
      <c r="BP22" s="747">
        <f>S_19!$CP$13</f>
        <v>0</v>
      </c>
      <c r="BQ22" s="747">
        <f>S_19!$CQ$13</f>
        <v>0</v>
      </c>
      <c r="BR22" s="1610" t="e">
        <f>BP22/Betrieb!$E$23</f>
        <v>#DIV/0!</v>
      </c>
      <c r="BS22" s="1610" t="e">
        <f>BQ22/Betrieb!$E$24</f>
        <v>#DIV/0!</v>
      </c>
      <c r="BT22" s="1615" t="str">
        <f t="shared" si="13"/>
        <v/>
      </c>
      <c r="BU22" s="1615" t="str">
        <f t="shared" si="14"/>
        <v/>
      </c>
      <c r="BV22" s="747">
        <f>IF(AND(S_19!$G$8="JA",S_19!$K$8="NEIN"),S_19!$U$13,0)</f>
        <v>0</v>
      </c>
      <c r="BW22" s="1769">
        <f>IF(AND(S_19!$G$8="JA",S_19!$K$8="NEIN"),S_19!$V$13,0)</f>
        <v>0</v>
      </c>
      <c r="BX22" s="1087" t="str">
        <f t="shared" si="15"/>
        <v/>
      </c>
      <c r="BY22" s="1087" t="str">
        <f t="shared" si="16"/>
        <v/>
      </c>
    </row>
    <row r="23" spans="1:77" ht="20.25" hidden="1" customHeight="1">
      <c r="A23" s="1775"/>
      <c r="C23" s="1796" t="str">
        <f t="array" ref="C23">IFERROR(IF(ROW($C$1)&gt;COUNTA($Y$4:$Y$33),"",INDEX($Y:$Y,SMALL(IF(Y$4:Y$33&lt;&gt;"",ROW($4:$33)),ROW(C20)))),"")</f>
        <v/>
      </c>
      <c r="D23" s="747" t="str">
        <f t="array" ref="D23">IFERROR(IF(ROW($D$1)&gt;COUNTA($V$4:$V$33),"",INDEX($V:$V,SMALL(IF(V$4:V$33&lt;&gt;"",ROW($4:$33)),ROW(B20)))),"")</f>
        <v/>
      </c>
      <c r="E23" s="1616" t="str">
        <f t="array" ref="E23">IFERROR(IF(ROW($E$1)&gt;COUNTA($W$4:$W$33),"",INDEX($W:$W,SMALL(IF(W$4:W$33&lt;&gt;"",ROW($4:$33)),ROW(C20)))),"")</f>
        <v/>
      </c>
      <c r="F23" s="1796" t="str">
        <f t="array" ref="F23">IFERROR(IF(ROW($F$1)&gt;COUNTA($AA$4:$AA$33),"",INDEX($AA:$AA,SMALL(IF(AA$4:AA$33&lt;&gt;"",ROW($4:$33)),ROW(D20)))),"")</f>
        <v/>
      </c>
      <c r="G23" s="16" t="str">
        <f t="array" ref="G23">IFERROR(IF(ROW($G$1)&gt;COUNTA($AC$4:$AC$33),"",INDEX($AC:$AC,SMALL(IF(AC$4:AC$33&lt;&gt;"",ROW($4:$33)),ROW(E20)))),"")</f>
        <v/>
      </c>
      <c r="H23" s="1797" t="str">
        <f t="array" ref="H23">IFERROR(IF(ROW($H$1)&gt;COUNTA($BT$4:$BT$33),"",INDEX($BT:$BT,SMALL(IF(BT$4:BT$33&lt;&gt;"",ROW($4:$33)),ROW(F20)))),"")</f>
        <v/>
      </c>
      <c r="I23" s="1613" t="str">
        <f t="array" ref="I23">IFERROR(IF(ROW($I$1)&gt;COUNTA($AZ$4:$AZ$33),"",INDEX($AZ:$AZ,SMALL(IF(AZ$4:AZ$33&lt;&gt;"",ROW($4:$33)),ROW(G20)))),"")</f>
        <v/>
      </c>
      <c r="J23" s="1797" t="str">
        <f t="array" ref="J23">IFERROR(IF(ROW($J$1)&gt;COUNTA($BA$4:$BA$33),"",INDEX($BA:$BA,SMALL(IF(BA$4:BA$33&lt;&gt;"",ROW($4:$33)),ROW(H20)))),"")</f>
        <v/>
      </c>
      <c r="K23" s="1614" t="str">
        <f t="array" ref="K23">IFERROR(IF(ROW($K$1)&gt;COUNTA($BB$4:$BB$33),"",INDEX($BB:$BB,SMALL(IF(BB$4:BB$33&lt;&gt;"",ROW($4:$33)),ROW(I20)))),"")</f>
        <v/>
      </c>
      <c r="M23" s="1797" t="str">
        <f t="array" ref="M23">IFERROR(IF(ROW($M$1)&gt;COUNTA($BU$4:$BU$33),"",INDEX($BU:$BU,SMALL(IF(BU$4:BU$33&lt;&gt;"",ROW($4:$33)),ROW(K20)))),"")</f>
        <v/>
      </c>
      <c r="N23" s="1613" t="str">
        <f t="array" ref="N23">IFERROR(IF(ROW($N$1)&gt;COUNTA($BJ$4:$BJ$33),"",INDEX($BJ:$BJ,SMALL(IF(BJ$4:BJ$33&lt;&gt;"",ROW($4:$33)),ROW(L20)))),"")</f>
        <v/>
      </c>
      <c r="O23" s="1797" t="str">
        <f t="array" ref="O23">IFERROR(IF(ROW($O$1)&gt;COUNTA($BK$4:$BK$33),"",INDEX($BK:$BK,SMALL(IF(BK$4:BK$33&lt;&gt;"",ROW($4:$33)),ROW(M20)))),"")</f>
        <v/>
      </c>
      <c r="P23" s="1614" t="str">
        <f t="array" ref="P23">IFERROR(IF(ROW($P$1)&gt;COUNTA($BL$4:$BL$33),"",INDEX($BL:$BL,SMALL(IF(BL$4:BL$33&lt;&gt;"",ROW($4:$33)),ROW(N20)))),"")</f>
        <v/>
      </c>
      <c r="Q23" s="1775"/>
      <c r="R23" s="1775"/>
      <c r="S23" s="1775"/>
      <c r="T23" s="1775"/>
      <c r="U23" s="1608" t="str">
        <f>IF(AND(S_20!$G$8="ja",S_20!$K$8="nein"),S_20!$C$2,"")</f>
        <v/>
      </c>
      <c r="V23" s="747" t="str">
        <f t="shared" si="1"/>
        <v/>
      </c>
      <c r="W23" s="1106" t="str">
        <f>IF($U23="","",S_20!$B$13)</f>
        <v/>
      </c>
      <c r="Y23" s="1106" t="str">
        <f>IF($U23="","",Grünland!B24)</f>
        <v/>
      </c>
      <c r="Z23" s="1608" t="str">
        <f>IF($U23="","",S_20!C13)</f>
        <v/>
      </c>
      <c r="AA23" s="747" t="str">
        <f t="shared" si="2"/>
        <v/>
      </c>
      <c r="AB23" s="1608" t="str">
        <f>IF($U23="","",S_20!CM13)</f>
        <v/>
      </c>
      <c r="AC23" s="747" t="str">
        <f t="shared" si="3"/>
        <v/>
      </c>
      <c r="AD23" s="747" t="str">
        <f>IF($U23="","",S_20!E13)</f>
        <v/>
      </c>
      <c r="AE23" s="747" t="str">
        <f>IF($U23="","",S_20!F13)</f>
        <v/>
      </c>
      <c r="AF23" s="747" t="str">
        <f>IF($U23="","",S_20!G13)</f>
        <v/>
      </c>
      <c r="AG23" s="747" t="str">
        <f>IF($U23="","",S_20!H13)</f>
        <v/>
      </c>
      <c r="AH23" s="747" t="str">
        <f>IF($U23="","",S_20!I13)</f>
        <v/>
      </c>
      <c r="AI23" s="747" t="str">
        <f>IF($U23="","",S_20!J13)</f>
        <v/>
      </c>
      <c r="AJ23" s="747" t="str">
        <f>IF($U23="","",S_20!K13)</f>
        <v/>
      </c>
      <c r="AK23" s="747" t="str">
        <f>IF($U23="","",S_20!L13)</f>
        <v/>
      </c>
      <c r="AL23" s="747" t="str">
        <f>IF($U23="","",S_20!M13)</f>
        <v/>
      </c>
      <c r="AM23" s="747" t="str">
        <f>IF($U23="","",S_20!N13)</f>
        <v/>
      </c>
      <c r="AN23" s="747" t="str">
        <f>IF($U23="","",S_20!O13)</f>
        <v/>
      </c>
      <c r="AO23" s="747" t="str">
        <f>IF($U23="","",S_20!P13)</f>
        <v/>
      </c>
      <c r="AQ23" s="1608">
        <f>IF(S_20!$DF$13&gt;0,1,0)</f>
        <v>0</v>
      </c>
      <c r="AR23" s="1608">
        <f>IF(S_20!$DG$13&gt;0,1,0)</f>
        <v>0</v>
      </c>
      <c r="AS23" s="1608">
        <f>IF(S_20!$DH$13&gt;0,1,0)</f>
        <v>0</v>
      </c>
      <c r="AT23" s="1608">
        <f>IF(S_20!$DI$13&gt;0,1,0)</f>
        <v>0</v>
      </c>
      <c r="AU23" s="1608">
        <f>IF(S_20!$DJ$13&gt;0,1,0)</f>
        <v>0</v>
      </c>
      <c r="AV23" s="1608">
        <f>IF(S_20!$DK$13&gt;0,1,0)</f>
        <v>0</v>
      </c>
      <c r="AW23" s="1608">
        <f t="shared" si="4"/>
        <v>0</v>
      </c>
      <c r="AX23" s="1608" t="str">
        <f t="shared" si="5"/>
        <v/>
      </c>
      <c r="AY23" s="1106" t="str">
        <f t="shared" si="0"/>
        <v/>
      </c>
      <c r="AZ23" s="1106" t="str">
        <f t="shared" si="6"/>
        <v/>
      </c>
      <c r="BA23" s="2259" t="str">
        <f t="shared" si="7"/>
        <v/>
      </c>
      <c r="BB23" s="2259" t="str">
        <f t="shared" si="8"/>
        <v/>
      </c>
      <c r="BC23" s="1608">
        <f>IF(S_20!$DN$13&gt;0,1,0)</f>
        <v>0</v>
      </c>
      <c r="BD23" s="1608">
        <f>IF(S_20!$DO$13&gt;0,1,0)</f>
        <v>0</v>
      </c>
      <c r="BE23" s="1608">
        <f>IF(S_20!$DP$13&gt;0,1,0)</f>
        <v>0</v>
      </c>
      <c r="BF23" s="1608">
        <f>IF(S_20!$DQ$13&gt;0,1,0)</f>
        <v>0</v>
      </c>
      <c r="BG23" s="1608">
        <f>IF(S_20!$DR$13&gt;0,1,0)</f>
        <v>0</v>
      </c>
      <c r="BH23" s="1608">
        <f>IF(S_20!$DS$13&gt;0,1,0)</f>
        <v>0</v>
      </c>
      <c r="BI23" s="1608">
        <f t="shared" si="9"/>
        <v>0</v>
      </c>
      <c r="BJ23" s="1106" t="str">
        <f t="shared" si="10"/>
        <v/>
      </c>
      <c r="BK23" s="2259" t="str">
        <f t="shared" si="11"/>
        <v/>
      </c>
      <c r="BL23" s="2259" t="str">
        <f t="shared" si="12"/>
        <v/>
      </c>
      <c r="BN23" s="747">
        <f>S_20!$DE$13</f>
        <v>0</v>
      </c>
      <c r="BO23" s="747">
        <f>S_20!$DM$13</f>
        <v>0</v>
      </c>
      <c r="BP23" s="747">
        <f>S_20!$CP$13</f>
        <v>0</v>
      </c>
      <c r="BQ23" s="747">
        <f>S_20!$CQ$13</f>
        <v>0</v>
      </c>
      <c r="BR23" s="1610" t="e">
        <f>BP23/Betrieb!$E$23</f>
        <v>#DIV/0!</v>
      </c>
      <c r="BS23" s="1610" t="e">
        <f>BQ23/Betrieb!$E$24</f>
        <v>#DIV/0!</v>
      </c>
      <c r="BT23" s="1615" t="str">
        <f t="shared" si="13"/>
        <v/>
      </c>
      <c r="BU23" s="1615" t="str">
        <f t="shared" si="14"/>
        <v/>
      </c>
      <c r="BV23" s="747">
        <f>IF(AND(S_20!$G$8="JA",S_20!$K$8="NEIN"),S_20!$U$13,0)</f>
        <v>0</v>
      </c>
      <c r="BW23" s="1769">
        <f>IF(AND(S_20!$G$8="JA",S_20!$K$8="NEIN"),S_20!$V$13,0)</f>
        <v>0</v>
      </c>
      <c r="BX23" s="1087" t="str">
        <f t="shared" si="15"/>
        <v/>
      </c>
      <c r="BY23" s="1087" t="str">
        <f t="shared" si="16"/>
        <v/>
      </c>
    </row>
    <row r="24" spans="1:77" ht="20.25" hidden="1" customHeight="1">
      <c r="A24" s="1775"/>
      <c r="C24" s="1796" t="str">
        <f t="array" ref="C24">IFERROR(IF(ROW($C$1)&gt;COUNTA($Y$4:$Y$33),"",INDEX($Y:$Y,SMALL(IF(Y$4:Y$33&lt;&gt;"",ROW($4:$33)),ROW(C21)))),"")</f>
        <v/>
      </c>
      <c r="D24" s="747" t="str">
        <f t="array" ref="D24">IFERROR(IF(ROW($D$1)&gt;COUNTA($V$4:$V$33),"",INDEX($V:$V,SMALL(IF(V$4:V$33&lt;&gt;"",ROW($4:$33)),ROW(B21)))),"")</f>
        <v/>
      </c>
      <c r="E24" s="1616" t="str">
        <f t="array" ref="E24">IFERROR(IF(ROW($E$1)&gt;COUNTA($W$4:$W$33),"",INDEX($W:$W,SMALL(IF(W$4:W$33&lt;&gt;"",ROW($4:$33)),ROW(C21)))),"")</f>
        <v/>
      </c>
      <c r="F24" s="1796" t="str">
        <f t="array" ref="F24">IFERROR(IF(ROW($F$1)&gt;COUNTA($AA$4:$AA$33),"",INDEX($AA:$AA,SMALL(IF(AA$4:AA$33&lt;&gt;"",ROW($4:$33)),ROW(D21)))),"")</f>
        <v/>
      </c>
      <c r="G24" s="16" t="str">
        <f t="array" ref="G24">IFERROR(IF(ROW($G$1)&gt;COUNTA($AC$4:$AC$33),"",INDEX($AC:$AC,SMALL(IF(AC$4:AC$33&lt;&gt;"",ROW($4:$33)),ROW(E21)))),"")</f>
        <v/>
      </c>
      <c r="H24" s="1797" t="str">
        <f t="array" ref="H24">IFERROR(IF(ROW($H$1)&gt;COUNTA($BT$4:$BT$33),"",INDEX($BT:$BT,SMALL(IF(BT$4:BT$33&lt;&gt;"",ROW($4:$33)),ROW(F21)))),"")</f>
        <v/>
      </c>
      <c r="I24" s="1613" t="str">
        <f t="array" ref="I24">IFERROR(IF(ROW($I$1)&gt;COUNTA($AZ$4:$AZ$33),"",INDEX($AZ:$AZ,SMALL(IF(AZ$4:AZ$33&lt;&gt;"",ROW($4:$33)),ROW(G21)))),"")</f>
        <v/>
      </c>
      <c r="J24" s="1797" t="str">
        <f t="array" ref="J24">IFERROR(IF(ROW($J$1)&gt;COUNTA($BA$4:$BA$33),"",INDEX($BA:$BA,SMALL(IF(BA$4:BA$33&lt;&gt;"",ROW($4:$33)),ROW(H21)))),"")</f>
        <v/>
      </c>
      <c r="K24" s="1614" t="str">
        <f t="array" ref="K24">IFERROR(IF(ROW($K$1)&gt;COUNTA($BB$4:$BB$33),"",INDEX($BB:$BB,SMALL(IF(BB$4:BB$33&lt;&gt;"",ROW($4:$33)),ROW(I21)))),"")</f>
        <v/>
      </c>
      <c r="M24" s="1797" t="str">
        <f t="array" ref="M24">IFERROR(IF(ROW($M$1)&gt;COUNTA($BU$4:$BU$33),"",INDEX($BU:$BU,SMALL(IF(BU$4:BU$33&lt;&gt;"",ROW($4:$33)),ROW(K21)))),"")</f>
        <v/>
      </c>
      <c r="N24" s="1613" t="str">
        <f t="array" ref="N24">IFERROR(IF(ROW($N$1)&gt;COUNTA($BJ$4:$BJ$33),"",INDEX($BJ:$BJ,SMALL(IF(BJ$4:BJ$33&lt;&gt;"",ROW($4:$33)),ROW(L21)))),"")</f>
        <v/>
      </c>
      <c r="O24" s="1797" t="str">
        <f t="array" ref="O24">IFERROR(IF(ROW($O$1)&gt;COUNTA($BK$4:$BK$33),"",INDEX($BK:$BK,SMALL(IF(BK$4:BK$33&lt;&gt;"",ROW($4:$33)),ROW(M21)))),"")</f>
        <v/>
      </c>
      <c r="P24" s="1614" t="str">
        <f t="array" ref="P24">IFERROR(IF(ROW($P$1)&gt;COUNTA($BL$4:$BL$33),"",INDEX($BL:$BL,SMALL(IF(BL$4:BL$33&lt;&gt;"",ROW($4:$33)),ROW(N21)))),"")</f>
        <v/>
      </c>
      <c r="Q24" s="1775"/>
      <c r="R24" s="1775"/>
      <c r="S24" s="1775"/>
      <c r="T24" s="1775"/>
      <c r="U24" s="1608" t="str">
        <f>IF(AND(S_21!$G$8="ja",S_21!$K$8="nein"),S_21!$C$2,"")</f>
        <v/>
      </c>
      <c r="V24" s="747" t="str">
        <f t="shared" si="1"/>
        <v/>
      </c>
      <c r="W24" s="1106" t="str">
        <f>IF($U24="","",S_21!$B$13)</f>
        <v/>
      </c>
      <c r="Y24" s="1106" t="str">
        <f>IF($U24="","",Grünland!B25)</f>
        <v/>
      </c>
      <c r="Z24" s="1608" t="str">
        <f>IF($U24="","",S_21!C13)</f>
        <v/>
      </c>
      <c r="AA24" s="747" t="str">
        <f t="shared" si="2"/>
        <v/>
      </c>
      <c r="AB24" s="1608" t="str">
        <f>IF($U24="","",S_21!CM13)</f>
        <v/>
      </c>
      <c r="AC24" s="747" t="str">
        <f t="shared" si="3"/>
        <v/>
      </c>
      <c r="AD24" s="747" t="str">
        <f>IF($U24="","",S_21!E13)</f>
        <v/>
      </c>
      <c r="AE24" s="747" t="str">
        <f>IF($U24="","",S_21!F13)</f>
        <v/>
      </c>
      <c r="AF24" s="747" t="str">
        <f>IF($U24="","",S_21!G13)</f>
        <v/>
      </c>
      <c r="AG24" s="747" t="str">
        <f>IF($U24="","",S_21!H13)</f>
        <v/>
      </c>
      <c r="AH24" s="747" t="str">
        <f>IF($U24="","",S_21!I13)</f>
        <v/>
      </c>
      <c r="AI24" s="747" t="str">
        <f>IF($U24="","",S_21!J13)</f>
        <v/>
      </c>
      <c r="AJ24" s="747" t="str">
        <f>IF($U24="","",S_21!K13)</f>
        <v/>
      </c>
      <c r="AK24" s="747" t="str">
        <f>IF($U24="","",S_21!L13)</f>
        <v/>
      </c>
      <c r="AL24" s="747" t="str">
        <f>IF($U24="","",S_21!M13)</f>
        <v/>
      </c>
      <c r="AM24" s="747" t="str">
        <f>IF($U24="","",S_21!N13)</f>
        <v/>
      </c>
      <c r="AN24" s="747" t="str">
        <f>IF($U24="","",S_21!O13)</f>
        <v/>
      </c>
      <c r="AO24" s="747" t="str">
        <f>IF($U24="","",S_21!P13)</f>
        <v/>
      </c>
      <c r="AQ24" s="1608">
        <f>IF(S_21!$DF$13&gt;0,1,0)</f>
        <v>0</v>
      </c>
      <c r="AR24" s="1608">
        <f>IF(S_21!$DG$13&gt;0,1,0)</f>
        <v>0</v>
      </c>
      <c r="AS24" s="1608">
        <f>IF(S_21!$DH$13&gt;0,1,0)</f>
        <v>0</v>
      </c>
      <c r="AT24" s="1608">
        <f>IF(S_21!$DI$13&gt;0,1,0)</f>
        <v>0</v>
      </c>
      <c r="AU24" s="1608">
        <f>IF(S_21!$DJ$13&gt;0,1,0)</f>
        <v>0</v>
      </c>
      <c r="AV24" s="1608">
        <f>IF(S_21!$DK$13&gt;0,1,0)</f>
        <v>0</v>
      </c>
      <c r="AW24" s="1608">
        <f t="shared" si="4"/>
        <v>0</v>
      </c>
      <c r="AX24" s="1608" t="str">
        <f t="shared" si="5"/>
        <v/>
      </c>
      <c r="AY24" s="1106" t="str">
        <f t="shared" si="0"/>
        <v/>
      </c>
      <c r="AZ24" s="1106" t="str">
        <f t="shared" si="6"/>
        <v/>
      </c>
      <c r="BA24" s="2259" t="str">
        <f t="shared" si="7"/>
        <v/>
      </c>
      <c r="BB24" s="2259" t="str">
        <f t="shared" si="8"/>
        <v/>
      </c>
      <c r="BC24" s="1608">
        <f>IF(S_21!$DN$13&gt;0,1,0)</f>
        <v>0</v>
      </c>
      <c r="BD24" s="1608">
        <f>IF(S_21!$DO$13&gt;0,1,0)</f>
        <v>0</v>
      </c>
      <c r="BE24" s="1608">
        <f>IF(S_21!$DP$13&gt;0,1,0)</f>
        <v>0</v>
      </c>
      <c r="BF24" s="1608">
        <f>IF(S_21!$DQ$13&gt;0,1,0)</f>
        <v>0</v>
      </c>
      <c r="BG24" s="1608">
        <f>IF(S_21!$DR$13&gt;0,1,0)</f>
        <v>0</v>
      </c>
      <c r="BH24" s="1608">
        <f>IF(S_21!$DS$13&gt;0,1,0)</f>
        <v>0</v>
      </c>
      <c r="BI24" s="1608">
        <f t="shared" si="9"/>
        <v>0</v>
      </c>
      <c r="BJ24" s="1106" t="str">
        <f t="shared" si="10"/>
        <v/>
      </c>
      <c r="BK24" s="2259" t="str">
        <f t="shared" si="11"/>
        <v/>
      </c>
      <c r="BL24" s="2259" t="str">
        <f t="shared" si="12"/>
        <v/>
      </c>
      <c r="BN24" s="747">
        <f>S_21!$DE$13</f>
        <v>0</v>
      </c>
      <c r="BO24" s="747">
        <f>S_21!$DM$13</f>
        <v>0</v>
      </c>
      <c r="BP24" s="747">
        <f>S_21!$CP$13</f>
        <v>0</v>
      </c>
      <c r="BQ24" s="747">
        <f>S_21!$CQ$13</f>
        <v>0</v>
      </c>
      <c r="BR24" s="1610" t="e">
        <f>BP24/Betrieb!$E$23</f>
        <v>#DIV/0!</v>
      </c>
      <c r="BS24" s="1610" t="e">
        <f>BQ24/Betrieb!$E$24</f>
        <v>#DIV/0!</v>
      </c>
      <c r="BT24" s="1615" t="str">
        <f t="shared" si="13"/>
        <v/>
      </c>
      <c r="BU24" s="1615" t="str">
        <f t="shared" si="14"/>
        <v/>
      </c>
      <c r="BV24" s="747">
        <f>IF(AND(S_21!$G$8="JA",S_21!$K$8="NEIN"),S_21!$U$13,0)</f>
        <v>0</v>
      </c>
      <c r="BW24" s="1769">
        <f>IF(AND(S_21!$G$8="JA",S_21!$K$8="NEIN"),S_21!$V$13,0)</f>
        <v>0</v>
      </c>
      <c r="BX24" s="1087" t="str">
        <f t="shared" si="15"/>
        <v/>
      </c>
      <c r="BY24" s="1087" t="str">
        <f t="shared" si="16"/>
        <v/>
      </c>
    </row>
    <row r="25" spans="1:77" ht="20.25" hidden="1" customHeight="1">
      <c r="A25" s="1775"/>
      <c r="C25" s="1796" t="str">
        <f t="array" ref="C25">IFERROR(IF(ROW($C$1)&gt;COUNTA($Y$4:$Y$33),"",INDEX($Y:$Y,SMALL(IF(Y$4:Y$33&lt;&gt;"",ROW($4:$33)),ROW(C22)))),"")</f>
        <v/>
      </c>
      <c r="D25" s="747" t="str">
        <f t="array" ref="D25">IFERROR(IF(ROW($D$1)&gt;COUNTA($V$4:$V$33),"",INDEX($V:$V,SMALL(IF(V$4:V$33&lt;&gt;"",ROW($4:$33)),ROW(B22)))),"")</f>
        <v/>
      </c>
      <c r="E25" s="1616" t="str">
        <f t="array" ref="E25">IFERROR(IF(ROW($E$1)&gt;COUNTA($W$4:$W$33),"",INDEX($W:$W,SMALL(IF(W$4:W$33&lt;&gt;"",ROW($4:$33)),ROW(C22)))),"")</f>
        <v/>
      </c>
      <c r="F25" s="1796" t="str">
        <f t="array" ref="F25">IFERROR(IF(ROW($F$1)&gt;COUNTA($AA$4:$AA$33),"",INDEX($AA:$AA,SMALL(IF(AA$4:AA$33&lt;&gt;"",ROW($4:$33)),ROW(D22)))),"")</f>
        <v/>
      </c>
      <c r="G25" s="16" t="str">
        <f t="array" ref="G25">IFERROR(IF(ROW($G$1)&gt;COUNTA($AC$4:$AC$33),"",INDEX($AC:$AC,SMALL(IF(AC$4:AC$33&lt;&gt;"",ROW($4:$33)),ROW(E22)))),"")</f>
        <v/>
      </c>
      <c r="H25" s="1797" t="str">
        <f t="array" ref="H25">IFERROR(IF(ROW($H$1)&gt;COUNTA($BT$4:$BT$33),"",INDEX($BT:$BT,SMALL(IF(BT$4:BT$33&lt;&gt;"",ROW($4:$33)),ROW(F22)))),"")</f>
        <v/>
      </c>
      <c r="I25" s="1613" t="str">
        <f t="array" ref="I25">IFERROR(IF(ROW($I$1)&gt;COUNTA($AZ$4:$AZ$33),"",INDEX($AZ:$AZ,SMALL(IF(AZ$4:AZ$33&lt;&gt;"",ROW($4:$33)),ROW(G22)))),"")</f>
        <v/>
      </c>
      <c r="J25" s="1797" t="str">
        <f t="array" ref="J25">IFERROR(IF(ROW($J$1)&gt;COUNTA($BA$4:$BA$33),"",INDEX($BA:$BA,SMALL(IF(BA$4:BA$33&lt;&gt;"",ROW($4:$33)),ROW(H22)))),"")</f>
        <v/>
      </c>
      <c r="K25" s="1614" t="str">
        <f t="array" ref="K25">IFERROR(IF(ROW($K$1)&gt;COUNTA($BB$4:$BB$33),"",INDEX($BB:$BB,SMALL(IF(BB$4:BB$33&lt;&gt;"",ROW($4:$33)),ROW(I22)))),"")</f>
        <v/>
      </c>
      <c r="M25" s="1797" t="str">
        <f t="array" ref="M25">IFERROR(IF(ROW($M$1)&gt;COUNTA($BU$4:$BU$33),"",INDEX($BU:$BU,SMALL(IF(BU$4:BU$33&lt;&gt;"",ROW($4:$33)),ROW(K22)))),"")</f>
        <v/>
      </c>
      <c r="N25" s="1613" t="str">
        <f t="array" ref="N25">IFERROR(IF(ROW($N$1)&gt;COUNTA($BJ$4:$BJ$33),"",INDEX($BJ:$BJ,SMALL(IF(BJ$4:BJ$33&lt;&gt;"",ROW($4:$33)),ROW(L22)))),"")</f>
        <v/>
      </c>
      <c r="O25" s="1797" t="str">
        <f t="array" ref="O25">IFERROR(IF(ROW($O$1)&gt;COUNTA($BK$4:$BK$33),"",INDEX($BK:$BK,SMALL(IF(BK$4:BK$33&lt;&gt;"",ROW($4:$33)),ROW(M22)))),"")</f>
        <v/>
      </c>
      <c r="P25" s="1614" t="str">
        <f t="array" ref="P25">IFERROR(IF(ROW($P$1)&gt;COUNTA($BL$4:$BL$33),"",INDEX($BL:$BL,SMALL(IF(BL$4:BL$33&lt;&gt;"",ROW($4:$33)),ROW(N22)))),"")</f>
        <v/>
      </c>
      <c r="Q25" s="1775"/>
      <c r="R25" s="1775"/>
      <c r="S25" s="1775"/>
      <c r="T25" s="1775"/>
      <c r="U25" s="1608" t="str">
        <f>IF(AND(S_22!$G$8="ja",S_22!$K$8="nein"),S_22!$C$2,"")</f>
        <v/>
      </c>
      <c r="V25" s="747" t="str">
        <f t="shared" si="1"/>
        <v/>
      </c>
      <c r="W25" s="1106" t="str">
        <f>IF($U25="","",S_22!$B$13)</f>
        <v/>
      </c>
      <c r="Y25" s="1106" t="str">
        <f>IF($U25="","",Grünland!B26)</f>
        <v/>
      </c>
      <c r="Z25" s="1608" t="str">
        <f>IF($U25="","",S_22!C13)</f>
        <v/>
      </c>
      <c r="AA25" s="747" t="str">
        <f t="shared" si="2"/>
        <v/>
      </c>
      <c r="AB25" s="1608" t="str">
        <f>IF($U25="","",S_22!CM13)</f>
        <v/>
      </c>
      <c r="AC25" s="747" t="str">
        <f t="shared" si="3"/>
        <v/>
      </c>
      <c r="AD25" s="747" t="str">
        <f>IF($U25="","",S_22!E13)</f>
        <v/>
      </c>
      <c r="AE25" s="747" t="str">
        <f>IF($U25="","",S_22!F13)</f>
        <v/>
      </c>
      <c r="AF25" s="747" t="str">
        <f>IF($U25="","",S_22!G13)</f>
        <v/>
      </c>
      <c r="AG25" s="747" t="str">
        <f>IF($U25="","",S_22!H13)</f>
        <v/>
      </c>
      <c r="AH25" s="747" t="str">
        <f>IF($U25="","",S_22!I13)</f>
        <v/>
      </c>
      <c r="AI25" s="747" t="str">
        <f>IF($U25="","",S_22!J13)</f>
        <v/>
      </c>
      <c r="AJ25" s="747" t="str">
        <f>IF($U25="","",S_22!K13)</f>
        <v/>
      </c>
      <c r="AK25" s="747" t="str">
        <f>IF($U25="","",S_22!L13)</f>
        <v/>
      </c>
      <c r="AL25" s="747" t="str">
        <f>IF($U25="","",S_22!M13)</f>
        <v/>
      </c>
      <c r="AM25" s="747" t="str">
        <f>IF($U25="","",S_22!N13)</f>
        <v/>
      </c>
      <c r="AN25" s="747" t="str">
        <f>IF($U25="","",S_22!O13)</f>
        <v/>
      </c>
      <c r="AO25" s="747" t="str">
        <f>IF($U25="","",S_22!P13)</f>
        <v/>
      </c>
      <c r="AQ25" s="1608">
        <f>IF(S_22!$DF$13&gt;0,1,0)</f>
        <v>0</v>
      </c>
      <c r="AR25" s="1608">
        <f>IF(S_22!$DG$13&gt;0,1,0)</f>
        <v>0</v>
      </c>
      <c r="AS25" s="1608">
        <f>IF(S_22!$DH$13&gt;0,1,0)</f>
        <v>0</v>
      </c>
      <c r="AT25" s="1608">
        <f>IF(S_22!$DI$13&gt;0,1,0)</f>
        <v>0</v>
      </c>
      <c r="AU25" s="1608">
        <f>IF(S_22!$DJ$13&gt;0,1,0)</f>
        <v>0</v>
      </c>
      <c r="AV25" s="1608">
        <f>IF(S_22!$DK$13&gt;0,1,0)</f>
        <v>0</v>
      </c>
      <c r="AW25" s="1608">
        <f t="shared" si="4"/>
        <v>0</v>
      </c>
      <c r="AX25" s="1608" t="str">
        <f t="shared" si="5"/>
        <v/>
      </c>
      <c r="AY25" s="1106" t="str">
        <f t="shared" si="0"/>
        <v/>
      </c>
      <c r="AZ25" s="1106" t="str">
        <f t="shared" si="6"/>
        <v/>
      </c>
      <c r="BA25" s="2259" t="str">
        <f t="shared" si="7"/>
        <v/>
      </c>
      <c r="BB25" s="2259" t="str">
        <f t="shared" si="8"/>
        <v/>
      </c>
      <c r="BC25" s="1608">
        <f>IF(S_22!$DN$13&gt;0,1,0)</f>
        <v>0</v>
      </c>
      <c r="BD25" s="1608">
        <f>IF(S_22!$DO$13&gt;0,1,0)</f>
        <v>0</v>
      </c>
      <c r="BE25" s="1608">
        <f>IF(S_22!$DP$13&gt;0,1,0)</f>
        <v>0</v>
      </c>
      <c r="BF25" s="1608">
        <f>IF(S_22!$DQ$13&gt;0,1,0)</f>
        <v>0</v>
      </c>
      <c r="BG25" s="1608">
        <f>IF(S_22!$DR$13&gt;0,1,0)</f>
        <v>0</v>
      </c>
      <c r="BH25" s="1608">
        <f>IF(S_22!$DS$13&gt;0,1,0)</f>
        <v>0</v>
      </c>
      <c r="BI25" s="1608">
        <f t="shared" si="9"/>
        <v>0</v>
      </c>
      <c r="BJ25" s="1106" t="str">
        <f t="shared" si="10"/>
        <v/>
      </c>
      <c r="BK25" s="2259" t="str">
        <f t="shared" si="11"/>
        <v/>
      </c>
      <c r="BL25" s="2259" t="str">
        <f t="shared" si="12"/>
        <v/>
      </c>
      <c r="BN25" s="747">
        <f>S_22!$DE$13</f>
        <v>0</v>
      </c>
      <c r="BO25" s="747">
        <f>S_22!$DM$13</f>
        <v>0</v>
      </c>
      <c r="BP25" s="747">
        <f>S_22!$CP$13</f>
        <v>0</v>
      </c>
      <c r="BQ25" s="747">
        <f>S_22!$CQ$13</f>
        <v>0</v>
      </c>
      <c r="BR25" s="1610" t="e">
        <f>BP25/Betrieb!$E$23</f>
        <v>#DIV/0!</v>
      </c>
      <c r="BS25" s="1610" t="e">
        <f>BQ25/Betrieb!$E$24</f>
        <v>#DIV/0!</v>
      </c>
      <c r="BT25" s="1615" t="str">
        <f t="shared" si="13"/>
        <v/>
      </c>
      <c r="BU25" s="1615" t="str">
        <f t="shared" si="14"/>
        <v/>
      </c>
      <c r="BV25" s="747">
        <f>IF(AND(S_22!$G$8="JA",S_22!$K$8="NEIN"),S_22!$U$13,0)</f>
        <v>0</v>
      </c>
      <c r="BW25" s="1769">
        <f>IF(AND(S_22!$G$8="JA",S_22!$K$8="NEIN"),S_22!$V$13,0)</f>
        <v>0</v>
      </c>
      <c r="BX25" s="1087" t="str">
        <f t="shared" si="15"/>
        <v/>
      </c>
      <c r="BY25" s="1087" t="str">
        <f t="shared" si="16"/>
        <v/>
      </c>
    </row>
    <row r="26" spans="1:77" ht="20.25" hidden="1" customHeight="1">
      <c r="A26" s="1775"/>
      <c r="C26" s="1796" t="str">
        <f t="array" ref="C26">IFERROR(IF(ROW($C$1)&gt;COUNTA($Y$4:$Y$33),"",INDEX($Y:$Y,SMALL(IF(Y$4:Y$33&lt;&gt;"",ROW($4:$33)),ROW(C23)))),"")</f>
        <v/>
      </c>
      <c r="D26" s="747" t="str">
        <f t="array" ref="D26">IFERROR(IF(ROW($D$1)&gt;COUNTA($V$4:$V$33),"",INDEX($V:$V,SMALL(IF(V$4:V$33&lt;&gt;"",ROW($4:$33)),ROW(B23)))),"")</f>
        <v/>
      </c>
      <c r="E26" s="1616" t="str">
        <f t="array" ref="E26">IFERROR(IF(ROW($E$1)&gt;COUNTA($W$4:$W$33),"",INDEX($W:$W,SMALL(IF(W$4:W$33&lt;&gt;"",ROW($4:$33)),ROW(C23)))),"")</f>
        <v/>
      </c>
      <c r="F26" s="1796" t="str">
        <f t="array" ref="F26">IFERROR(IF(ROW($F$1)&gt;COUNTA($AA$4:$AA$33),"",INDEX($AA:$AA,SMALL(IF(AA$4:AA$33&lt;&gt;"",ROW($4:$33)),ROW(D23)))),"")</f>
        <v/>
      </c>
      <c r="G26" s="16" t="str">
        <f t="array" ref="G26">IFERROR(IF(ROW($G$1)&gt;COUNTA($AC$4:$AC$33),"",INDEX($AC:$AC,SMALL(IF(AC$4:AC$33&lt;&gt;"",ROW($4:$33)),ROW(E23)))),"")</f>
        <v/>
      </c>
      <c r="H26" s="1797" t="str">
        <f t="array" ref="H26">IFERROR(IF(ROW($H$1)&gt;COUNTA($BT$4:$BT$33),"",INDEX($BT:$BT,SMALL(IF(BT$4:BT$33&lt;&gt;"",ROW($4:$33)),ROW(F23)))),"")</f>
        <v/>
      </c>
      <c r="I26" s="1613" t="str">
        <f t="array" ref="I26">IFERROR(IF(ROW($I$1)&gt;COUNTA($AZ$4:$AZ$33),"",INDEX($AZ:$AZ,SMALL(IF(AZ$4:AZ$33&lt;&gt;"",ROW($4:$33)),ROW(G23)))),"")</f>
        <v/>
      </c>
      <c r="J26" s="1797" t="str">
        <f t="array" ref="J26">IFERROR(IF(ROW($J$1)&gt;COUNTA($BA$4:$BA$33),"",INDEX($BA:$BA,SMALL(IF(BA$4:BA$33&lt;&gt;"",ROW($4:$33)),ROW(H23)))),"")</f>
        <v/>
      </c>
      <c r="K26" s="1614" t="str">
        <f t="array" ref="K26">IFERROR(IF(ROW($K$1)&gt;COUNTA($BB$4:$BB$33),"",INDEX($BB:$BB,SMALL(IF(BB$4:BB$33&lt;&gt;"",ROW($4:$33)),ROW(I23)))),"")</f>
        <v/>
      </c>
      <c r="M26" s="1797" t="str">
        <f t="array" ref="M26">IFERROR(IF(ROW($M$1)&gt;COUNTA($BU$4:$BU$33),"",INDEX($BU:$BU,SMALL(IF(BU$4:BU$33&lt;&gt;"",ROW($4:$33)),ROW(K23)))),"")</f>
        <v/>
      </c>
      <c r="N26" s="1613" t="str">
        <f t="array" ref="N26">IFERROR(IF(ROW($N$1)&gt;COUNTA($BJ$4:$BJ$33),"",INDEX($BJ:$BJ,SMALL(IF(BJ$4:BJ$33&lt;&gt;"",ROW($4:$33)),ROW(L23)))),"")</f>
        <v/>
      </c>
      <c r="O26" s="1797" t="str">
        <f t="array" ref="O26">IFERROR(IF(ROW($O$1)&gt;COUNTA($BK$4:$BK$33),"",INDEX($BK:$BK,SMALL(IF(BK$4:BK$33&lt;&gt;"",ROW($4:$33)),ROW(M23)))),"")</f>
        <v/>
      </c>
      <c r="P26" s="1614" t="str">
        <f t="array" ref="P26">IFERROR(IF(ROW($P$1)&gt;COUNTA($BL$4:$BL$33),"",INDEX($BL:$BL,SMALL(IF(BL$4:BL$33&lt;&gt;"",ROW($4:$33)),ROW(N23)))),"")</f>
        <v/>
      </c>
      <c r="Q26" s="1775"/>
      <c r="R26" s="1775"/>
      <c r="S26" s="1775"/>
      <c r="T26" s="1775"/>
      <c r="U26" s="1608" t="str">
        <f>IF(AND(S_23!$G$8="ja",S_23!$K$8="nein"),S_23!$C$2,"")</f>
        <v/>
      </c>
      <c r="V26" s="747" t="str">
        <f t="shared" si="1"/>
        <v/>
      </c>
      <c r="W26" s="1106" t="str">
        <f>IF($U26="","",S_23!$B$13)</f>
        <v/>
      </c>
      <c r="Y26" s="1106" t="str">
        <f>IF($U26="","",Grünland!B27)</f>
        <v/>
      </c>
      <c r="Z26" s="1608" t="str">
        <f>IF($U26="","",S_23!C13)</f>
        <v/>
      </c>
      <c r="AA26" s="747" t="str">
        <f t="shared" si="2"/>
        <v/>
      </c>
      <c r="AB26" s="1608" t="str">
        <f>IF($U26="","",S_23!CM13)</f>
        <v/>
      </c>
      <c r="AC26" s="747" t="str">
        <f t="shared" si="3"/>
        <v/>
      </c>
      <c r="AD26" s="747" t="str">
        <f>IF($U26="","",S_23!E13)</f>
        <v/>
      </c>
      <c r="AE26" s="747" t="str">
        <f>IF($U26="","",S_23!F13)</f>
        <v/>
      </c>
      <c r="AF26" s="747" t="str">
        <f>IF($U26="","",S_23!G13)</f>
        <v/>
      </c>
      <c r="AG26" s="747" t="str">
        <f>IF($U26="","",S_23!H13)</f>
        <v/>
      </c>
      <c r="AH26" s="747" t="str">
        <f>IF($U26="","",S_23!I13)</f>
        <v/>
      </c>
      <c r="AI26" s="747" t="str">
        <f>IF($U26="","",S_23!J13)</f>
        <v/>
      </c>
      <c r="AJ26" s="747" t="str">
        <f>IF($U26="","",S_23!K13)</f>
        <v/>
      </c>
      <c r="AK26" s="747" t="str">
        <f>IF($U26="","",S_23!L13)</f>
        <v/>
      </c>
      <c r="AL26" s="747" t="str">
        <f>IF($U26="","",S_23!M13)</f>
        <v/>
      </c>
      <c r="AM26" s="747" t="str">
        <f>IF($U26="","",S_23!N13)</f>
        <v/>
      </c>
      <c r="AN26" s="747" t="str">
        <f>IF($U26="","",S_23!O13)</f>
        <v/>
      </c>
      <c r="AO26" s="747" t="str">
        <f>IF($U26="","",S_23!P13)</f>
        <v/>
      </c>
      <c r="AQ26" s="1608">
        <f>IF(S_23!$DF$13&gt;0,1,0)</f>
        <v>0</v>
      </c>
      <c r="AR26" s="1608">
        <f>IF(S_23!$DG$13&gt;0,1,0)</f>
        <v>0</v>
      </c>
      <c r="AS26" s="1608">
        <f>IF(S_23!$DH$13&gt;0,1,0)</f>
        <v>0</v>
      </c>
      <c r="AT26" s="1608">
        <f>IF(S_23!$DI$13&gt;0,1,0)</f>
        <v>0</v>
      </c>
      <c r="AU26" s="1608">
        <f>IF(S_23!$DJ$13&gt;0,1,0)</f>
        <v>0</v>
      </c>
      <c r="AV26" s="1608">
        <f>IF(S_23!$DK$13&gt;0,1,0)</f>
        <v>0</v>
      </c>
      <c r="AW26" s="1608">
        <f t="shared" si="4"/>
        <v>0</v>
      </c>
      <c r="AX26" s="1608" t="str">
        <f t="shared" si="5"/>
        <v/>
      </c>
      <c r="AY26" s="1106" t="str">
        <f t="shared" si="0"/>
        <v/>
      </c>
      <c r="AZ26" s="1106" t="str">
        <f t="shared" si="6"/>
        <v/>
      </c>
      <c r="BA26" s="2259" t="str">
        <f t="shared" si="7"/>
        <v/>
      </c>
      <c r="BB26" s="2259" t="str">
        <f t="shared" si="8"/>
        <v/>
      </c>
      <c r="BC26" s="1608">
        <f>IF(S_23!$DN$13&gt;0,1,0)</f>
        <v>0</v>
      </c>
      <c r="BD26" s="1608">
        <f>IF(S_23!$DO$13&gt;0,1,0)</f>
        <v>0</v>
      </c>
      <c r="BE26" s="1608">
        <f>IF(S_23!$DP$13&gt;0,1,0)</f>
        <v>0</v>
      </c>
      <c r="BF26" s="1608">
        <f>IF(S_23!$DQ$13&gt;0,1,0)</f>
        <v>0</v>
      </c>
      <c r="BG26" s="1608">
        <f>IF(S_23!$DR$13&gt;0,1,0)</f>
        <v>0</v>
      </c>
      <c r="BH26" s="1608">
        <f>IF(S_23!$DS$13&gt;0,1,0)</f>
        <v>0</v>
      </c>
      <c r="BI26" s="1608">
        <f t="shared" si="9"/>
        <v>0</v>
      </c>
      <c r="BJ26" s="1106" t="str">
        <f t="shared" si="10"/>
        <v/>
      </c>
      <c r="BK26" s="2259" t="str">
        <f t="shared" si="11"/>
        <v/>
      </c>
      <c r="BL26" s="2259" t="str">
        <f t="shared" si="12"/>
        <v/>
      </c>
      <c r="BN26" s="747">
        <f>S_23!$DE$13</f>
        <v>0</v>
      </c>
      <c r="BO26" s="747">
        <f>S_23!$DM$13</f>
        <v>0</v>
      </c>
      <c r="BP26" s="747">
        <f>S_23!$CP$13</f>
        <v>0</v>
      </c>
      <c r="BQ26" s="747">
        <f>S_23!$CQ$13</f>
        <v>0</v>
      </c>
      <c r="BR26" s="1610" t="e">
        <f>BP26/Betrieb!$E$23</f>
        <v>#DIV/0!</v>
      </c>
      <c r="BS26" s="1610" t="e">
        <f>BQ26/Betrieb!$E$24</f>
        <v>#DIV/0!</v>
      </c>
      <c r="BT26" s="1615" t="str">
        <f t="shared" si="13"/>
        <v/>
      </c>
      <c r="BU26" s="1615" t="str">
        <f t="shared" si="14"/>
        <v/>
      </c>
      <c r="BV26" s="747">
        <f>IF(AND(S_23!$G$8="JA",S_23!$K$8="NEIN"),S_23!$U$13,0)</f>
        <v>0</v>
      </c>
      <c r="BW26" s="1769">
        <f>IF(AND(S_23!$G$8="JA",S_23!$K$8="NEIN"),S_23!$V$13,0)</f>
        <v>0</v>
      </c>
      <c r="BX26" s="1087" t="str">
        <f t="shared" si="15"/>
        <v/>
      </c>
      <c r="BY26" s="1087" t="str">
        <f t="shared" si="16"/>
        <v/>
      </c>
    </row>
    <row r="27" spans="1:77" ht="20.25" hidden="1" customHeight="1">
      <c r="A27" s="1775"/>
      <c r="C27" s="1796" t="str">
        <f t="array" ref="C27">IFERROR(IF(ROW($C$1)&gt;COUNTA($Y$4:$Y$33),"",INDEX($Y:$Y,SMALL(IF(Y$4:Y$33&lt;&gt;"",ROW($4:$33)),ROW(C24)))),"")</f>
        <v/>
      </c>
      <c r="D27" s="747" t="str">
        <f t="array" ref="D27">IFERROR(IF(ROW($D$1)&gt;COUNTA($V$4:$V$33),"",INDEX($V:$V,SMALL(IF(V$4:V$33&lt;&gt;"",ROW($4:$33)),ROW(B24)))),"")</f>
        <v/>
      </c>
      <c r="E27" s="1616" t="str">
        <f t="array" ref="E27">IFERROR(IF(ROW($E$1)&gt;COUNTA($W$4:$W$33),"",INDEX($W:$W,SMALL(IF(W$4:W$33&lt;&gt;"",ROW($4:$33)),ROW(C24)))),"")</f>
        <v/>
      </c>
      <c r="F27" s="1796" t="str">
        <f t="array" ref="F27">IFERROR(IF(ROW($F$1)&gt;COUNTA($AA$4:$AA$33),"",INDEX($AA:$AA,SMALL(IF(AA$4:AA$33&lt;&gt;"",ROW($4:$33)),ROW(D24)))),"")</f>
        <v/>
      </c>
      <c r="G27" s="16" t="str">
        <f t="array" ref="G27">IFERROR(IF(ROW($G$1)&gt;COUNTA($AC$4:$AC$33),"",INDEX($AC:$AC,SMALL(IF(AC$4:AC$33&lt;&gt;"",ROW($4:$33)),ROW(E24)))),"")</f>
        <v/>
      </c>
      <c r="H27" s="1797" t="str">
        <f t="array" ref="H27">IFERROR(IF(ROW($H$1)&gt;COUNTA($BT$4:$BT$33),"",INDEX($BT:$BT,SMALL(IF(BT$4:BT$33&lt;&gt;"",ROW($4:$33)),ROW(F24)))),"")</f>
        <v/>
      </c>
      <c r="I27" s="1613" t="str">
        <f t="array" ref="I27">IFERROR(IF(ROW($I$1)&gt;COUNTA($AZ$4:$AZ$33),"",INDEX($AZ:$AZ,SMALL(IF(AZ$4:AZ$33&lt;&gt;"",ROW($4:$33)),ROW(G24)))),"")</f>
        <v/>
      </c>
      <c r="J27" s="1797" t="str">
        <f t="array" ref="J27">IFERROR(IF(ROW($J$1)&gt;COUNTA($BA$4:$BA$33),"",INDEX($BA:$BA,SMALL(IF(BA$4:BA$33&lt;&gt;"",ROW($4:$33)),ROW(H24)))),"")</f>
        <v/>
      </c>
      <c r="K27" s="1614" t="str">
        <f t="array" ref="K27">IFERROR(IF(ROW($K$1)&gt;COUNTA($BB$4:$BB$33),"",INDEX($BB:$BB,SMALL(IF(BB$4:BB$33&lt;&gt;"",ROW($4:$33)),ROW(I24)))),"")</f>
        <v/>
      </c>
      <c r="M27" s="1797" t="str">
        <f t="array" ref="M27">IFERROR(IF(ROW($M$1)&gt;COUNTA($BU$4:$BU$33),"",INDEX($BU:$BU,SMALL(IF(BU$4:BU$33&lt;&gt;"",ROW($4:$33)),ROW(K24)))),"")</f>
        <v/>
      </c>
      <c r="N27" s="1613" t="str">
        <f t="array" ref="N27">IFERROR(IF(ROW($N$1)&gt;COUNTA($BJ$4:$BJ$33),"",INDEX($BJ:$BJ,SMALL(IF(BJ$4:BJ$33&lt;&gt;"",ROW($4:$33)),ROW(L24)))),"")</f>
        <v/>
      </c>
      <c r="O27" s="1797" t="str">
        <f t="array" ref="O27">IFERROR(IF(ROW($O$1)&gt;COUNTA($BK$4:$BK$33),"",INDEX($BK:$BK,SMALL(IF(BK$4:BK$33&lt;&gt;"",ROW($4:$33)),ROW(M24)))),"")</f>
        <v/>
      </c>
      <c r="P27" s="1614" t="str">
        <f t="array" ref="P27">IFERROR(IF(ROW($P$1)&gt;COUNTA($BL$4:$BL$33),"",INDEX($BL:$BL,SMALL(IF(BL$4:BL$33&lt;&gt;"",ROW($4:$33)),ROW(N24)))),"")</f>
        <v/>
      </c>
      <c r="Q27" s="1775"/>
      <c r="R27" s="1775"/>
      <c r="S27" s="1775"/>
      <c r="T27" s="1775"/>
      <c r="U27" s="1608" t="str">
        <f>IF(AND(S_24!$G$8="ja",S_24!$K$8="nein"),S_24!$C$2,"")</f>
        <v/>
      </c>
      <c r="V27" s="747" t="str">
        <f t="shared" si="1"/>
        <v/>
      </c>
      <c r="W27" s="1106" t="str">
        <f>IF($U27="","",S_24!$B$13)</f>
        <v/>
      </c>
      <c r="Y27" s="1106" t="str">
        <f>IF($U27="","",Grünland!B28)</f>
        <v/>
      </c>
      <c r="Z27" s="1608" t="str">
        <f>IF($U27="","",S_24!C13)</f>
        <v/>
      </c>
      <c r="AA27" s="747" t="str">
        <f t="shared" si="2"/>
        <v/>
      </c>
      <c r="AB27" s="1608" t="str">
        <f>IF($U27="","",S_24!CM13)</f>
        <v/>
      </c>
      <c r="AC27" s="747" t="str">
        <f t="shared" si="3"/>
        <v/>
      </c>
      <c r="AD27" s="747" t="str">
        <f>IF($U27="","",S_24!E13)</f>
        <v/>
      </c>
      <c r="AE27" s="747" t="str">
        <f>IF($U27="","",S_24!F13)</f>
        <v/>
      </c>
      <c r="AF27" s="747" t="str">
        <f>IF($U27="","",S_24!G13)</f>
        <v/>
      </c>
      <c r="AG27" s="747" t="str">
        <f>IF($U27="","",S_24!H13)</f>
        <v/>
      </c>
      <c r="AH27" s="747" t="str">
        <f>IF($U27="","",S_24!I13)</f>
        <v/>
      </c>
      <c r="AI27" s="747" t="str">
        <f>IF($U27="","",S_24!J13)</f>
        <v/>
      </c>
      <c r="AJ27" s="747" t="str">
        <f>IF($U27="","",S_24!K13)</f>
        <v/>
      </c>
      <c r="AK27" s="747" t="str">
        <f>IF($U27="","",S_24!L13)</f>
        <v/>
      </c>
      <c r="AL27" s="747" t="str">
        <f>IF($U27="","",S_24!M13)</f>
        <v/>
      </c>
      <c r="AM27" s="747" t="str">
        <f>IF($U27="","",S_24!N13)</f>
        <v/>
      </c>
      <c r="AN27" s="747" t="str">
        <f>IF($U27="","",S_24!O13)</f>
        <v/>
      </c>
      <c r="AO27" s="747" t="str">
        <f>IF($U27="","",S_24!P13)</f>
        <v/>
      </c>
      <c r="AQ27" s="1608">
        <f>IF(S_24!$DF$13&gt;0,1,0)</f>
        <v>0</v>
      </c>
      <c r="AR27" s="1608">
        <f>IF(S_24!$DG$13&gt;0,1,0)</f>
        <v>0</v>
      </c>
      <c r="AS27" s="1608">
        <f>IF(S_24!$DH$13&gt;0,1,0)</f>
        <v>0</v>
      </c>
      <c r="AT27" s="1608">
        <f>IF(S_24!$DI$13&gt;0,1,0)</f>
        <v>0</v>
      </c>
      <c r="AU27" s="1608">
        <f>IF(S_24!$DJ$13&gt;0,1,0)</f>
        <v>0</v>
      </c>
      <c r="AV27" s="1608">
        <f>IF(S_24!$DK$13&gt;0,1,0)</f>
        <v>0</v>
      </c>
      <c r="AW27" s="1608">
        <f t="shared" si="4"/>
        <v>0</v>
      </c>
      <c r="AX27" s="1608" t="str">
        <f t="shared" si="5"/>
        <v/>
      </c>
      <c r="AY27" s="1106" t="str">
        <f t="shared" si="0"/>
        <v/>
      </c>
      <c r="AZ27" s="1106" t="str">
        <f t="shared" si="6"/>
        <v/>
      </c>
      <c r="BA27" s="2259" t="str">
        <f t="shared" si="7"/>
        <v/>
      </c>
      <c r="BB27" s="2259" t="str">
        <f t="shared" si="8"/>
        <v/>
      </c>
      <c r="BC27" s="1608">
        <f>IF(S_24!$DN$13&gt;0,1,0)</f>
        <v>0</v>
      </c>
      <c r="BD27" s="1608">
        <f>IF(S_24!$DO$13&gt;0,1,0)</f>
        <v>0</v>
      </c>
      <c r="BE27" s="1608">
        <f>IF(S_24!$DP$13&gt;0,1,0)</f>
        <v>0</v>
      </c>
      <c r="BF27" s="1608">
        <f>IF(S_24!$DQ$13&gt;0,1,0)</f>
        <v>0</v>
      </c>
      <c r="BG27" s="1608">
        <f>IF(S_24!$DR$13&gt;0,1,0)</f>
        <v>0</v>
      </c>
      <c r="BH27" s="1608">
        <f>IF(S_24!$DS$13&gt;0,1,0)</f>
        <v>0</v>
      </c>
      <c r="BI27" s="1608">
        <f t="shared" si="9"/>
        <v>0</v>
      </c>
      <c r="BJ27" s="1106" t="str">
        <f t="shared" si="10"/>
        <v/>
      </c>
      <c r="BK27" s="2259" t="str">
        <f t="shared" si="11"/>
        <v/>
      </c>
      <c r="BL27" s="2259" t="str">
        <f t="shared" si="12"/>
        <v/>
      </c>
      <c r="BN27" s="747">
        <f>S_24!$DE$13</f>
        <v>0</v>
      </c>
      <c r="BO27" s="747">
        <f>S_24!$DM$13</f>
        <v>0</v>
      </c>
      <c r="BP27" s="747">
        <f>S_24!$CP$13</f>
        <v>0</v>
      </c>
      <c r="BQ27" s="747">
        <f>S_24!$CQ$13</f>
        <v>0</v>
      </c>
      <c r="BR27" s="1610" t="e">
        <f>BP27/Betrieb!$E$23</f>
        <v>#DIV/0!</v>
      </c>
      <c r="BS27" s="1610" t="e">
        <f>BQ27/Betrieb!$E$24</f>
        <v>#DIV/0!</v>
      </c>
      <c r="BT27" s="1615" t="str">
        <f t="shared" si="13"/>
        <v/>
      </c>
      <c r="BU27" s="1615" t="str">
        <f t="shared" si="14"/>
        <v/>
      </c>
      <c r="BV27" s="747">
        <f>IF(AND(S_24!$G$8="JA",S_24!$K$8="NEIN"),S_24!$U$13,0)</f>
        <v>0</v>
      </c>
      <c r="BW27" s="1769">
        <f>IF(AND(S_24!$G$8="JA",S_24!$K$8="NEIN"),S_24!$V$13,0)</f>
        <v>0</v>
      </c>
      <c r="BX27" s="1087" t="str">
        <f t="shared" si="15"/>
        <v/>
      </c>
      <c r="BY27" s="1087" t="str">
        <f t="shared" si="16"/>
        <v/>
      </c>
    </row>
    <row r="28" spans="1:77" ht="20.25" hidden="1" customHeight="1">
      <c r="A28" s="1775"/>
      <c r="C28" s="1796" t="str">
        <f t="array" ref="C28">IFERROR(IF(ROW($C$1)&gt;COUNTA($Y$4:$Y$33),"",INDEX($Y:$Y,SMALL(IF(Y$4:Y$33&lt;&gt;"",ROW($4:$33)),ROW(C25)))),"")</f>
        <v/>
      </c>
      <c r="D28" s="747" t="str">
        <f t="array" ref="D28">IFERROR(IF(ROW($D$1)&gt;COUNTA($V$4:$V$33),"",INDEX($V:$V,SMALL(IF(V$4:V$33&lt;&gt;"",ROW($4:$33)),ROW(B25)))),"")</f>
        <v/>
      </c>
      <c r="E28" s="1616" t="str">
        <f t="array" ref="E28">IFERROR(IF(ROW($E$1)&gt;COUNTA($W$4:$W$33),"",INDEX($W:$W,SMALL(IF(W$4:W$33&lt;&gt;"",ROW($4:$33)),ROW(C25)))),"")</f>
        <v/>
      </c>
      <c r="F28" s="1796" t="str">
        <f t="array" ref="F28">IFERROR(IF(ROW($F$1)&gt;COUNTA($AA$4:$AA$33),"",INDEX($AA:$AA,SMALL(IF(AA$4:AA$33&lt;&gt;"",ROW($4:$33)),ROW(D25)))),"")</f>
        <v/>
      </c>
      <c r="G28" s="16" t="str">
        <f t="array" ref="G28">IFERROR(IF(ROW($G$1)&gt;COUNTA($AC$4:$AC$33),"",INDEX($AC:$AC,SMALL(IF(AC$4:AC$33&lt;&gt;"",ROW($4:$33)),ROW(E25)))),"")</f>
        <v/>
      </c>
      <c r="H28" s="1797" t="str">
        <f t="array" ref="H28">IFERROR(IF(ROW($H$1)&gt;COUNTA($BT$4:$BT$33),"",INDEX($BT:$BT,SMALL(IF(BT$4:BT$33&lt;&gt;"",ROW($4:$33)),ROW(F25)))),"")</f>
        <v/>
      </c>
      <c r="I28" s="1613" t="str">
        <f t="array" ref="I28">IFERROR(IF(ROW($I$1)&gt;COUNTA($AZ$4:$AZ$33),"",INDEX($AZ:$AZ,SMALL(IF(AZ$4:AZ$33&lt;&gt;"",ROW($4:$33)),ROW(G25)))),"")</f>
        <v/>
      </c>
      <c r="J28" s="1797" t="str">
        <f t="array" ref="J28">IFERROR(IF(ROW($J$1)&gt;COUNTA($BA$4:$BA$33),"",INDEX($BA:$BA,SMALL(IF(BA$4:BA$33&lt;&gt;"",ROW($4:$33)),ROW(H25)))),"")</f>
        <v/>
      </c>
      <c r="K28" s="1614" t="str">
        <f t="array" ref="K28">IFERROR(IF(ROW($K$1)&gt;COUNTA($BB$4:$BB$33),"",INDEX($BB:$BB,SMALL(IF(BB$4:BB$33&lt;&gt;"",ROW($4:$33)),ROW(I25)))),"")</f>
        <v/>
      </c>
      <c r="M28" s="1797" t="str">
        <f t="array" ref="M28">IFERROR(IF(ROW($M$1)&gt;COUNTA($BU$4:$BU$33),"",INDEX($BU:$BU,SMALL(IF(BU$4:BU$33&lt;&gt;"",ROW($4:$33)),ROW(K25)))),"")</f>
        <v/>
      </c>
      <c r="N28" s="1613" t="str">
        <f t="array" ref="N28">IFERROR(IF(ROW($N$1)&gt;COUNTA($BJ$4:$BJ$33),"",INDEX($BJ:$BJ,SMALL(IF(BJ$4:BJ$33&lt;&gt;"",ROW($4:$33)),ROW(L25)))),"")</f>
        <v/>
      </c>
      <c r="O28" s="1797" t="str">
        <f t="array" ref="O28">IFERROR(IF(ROW($O$1)&gt;COUNTA($BK$4:$BK$33),"",INDEX($BK:$BK,SMALL(IF(BK$4:BK$33&lt;&gt;"",ROW($4:$33)),ROW(M25)))),"")</f>
        <v/>
      </c>
      <c r="P28" s="1614" t="str">
        <f t="array" ref="P28">IFERROR(IF(ROW($P$1)&gt;COUNTA($BL$4:$BL$33),"",INDEX($BL:$BL,SMALL(IF(BL$4:BL$33&lt;&gt;"",ROW($4:$33)),ROW(N25)))),"")</f>
        <v/>
      </c>
      <c r="Q28" s="1775"/>
      <c r="R28" s="1775"/>
      <c r="S28" s="1775"/>
      <c r="T28" s="1775"/>
      <c r="U28" s="1608" t="str">
        <f>IF(AND(S_25!$G$8="ja",S_25!$K$8="nein"),S_25!$C$2,"")</f>
        <v/>
      </c>
      <c r="V28" s="747" t="str">
        <f t="shared" si="1"/>
        <v/>
      </c>
      <c r="W28" s="1106" t="str">
        <f>IF($U28="","",S_25!$B$13)</f>
        <v/>
      </c>
      <c r="Y28" s="1106" t="str">
        <f>IF($U28="","",Grünland!B29)</f>
        <v/>
      </c>
      <c r="Z28" s="1608" t="str">
        <f>IF($U28="","",S_25!C13)</f>
        <v/>
      </c>
      <c r="AA28" s="747" t="str">
        <f t="shared" si="2"/>
        <v/>
      </c>
      <c r="AB28" s="1608" t="str">
        <f>IF($U28="","",S_25!CM13)</f>
        <v/>
      </c>
      <c r="AC28" s="747" t="str">
        <f t="shared" si="3"/>
        <v/>
      </c>
      <c r="AD28" s="747" t="str">
        <f>IF($U28="","",S_25!E13)</f>
        <v/>
      </c>
      <c r="AE28" s="747" t="str">
        <f>IF($U28="","",S_25!F13)</f>
        <v/>
      </c>
      <c r="AF28" s="747" t="str">
        <f>IF($U28="","",S_25!G13)</f>
        <v/>
      </c>
      <c r="AG28" s="747" t="str">
        <f>IF($U28="","",S_25!H13)</f>
        <v/>
      </c>
      <c r="AH28" s="747" t="str">
        <f>IF($U28="","",S_25!I13)</f>
        <v/>
      </c>
      <c r="AI28" s="747" t="str">
        <f>IF($U28="","",S_25!J13)</f>
        <v/>
      </c>
      <c r="AJ28" s="747" t="str">
        <f>IF($U28="","",S_25!K13)</f>
        <v/>
      </c>
      <c r="AK28" s="747" t="str">
        <f>IF($U28="","",S_25!L13)</f>
        <v/>
      </c>
      <c r="AL28" s="747" t="str">
        <f>IF($U28="","",S_25!M13)</f>
        <v/>
      </c>
      <c r="AM28" s="747" t="str">
        <f>IF($U28="","",S_25!N13)</f>
        <v/>
      </c>
      <c r="AN28" s="747" t="str">
        <f>IF($U28="","",S_25!O13)</f>
        <v/>
      </c>
      <c r="AO28" s="747" t="str">
        <f>IF($U28="","",S_25!P13)</f>
        <v/>
      </c>
      <c r="AQ28" s="1608">
        <f>IF(S_25!$DF$13&gt;0,1,0)</f>
        <v>0</v>
      </c>
      <c r="AR28" s="1608">
        <f>IF(S_25!$DG$13&gt;0,1,0)</f>
        <v>0</v>
      </c>
      <c r="AS28" s="1608">
        <f>IF(S_25!$DH$13&gt;0,1,0)</f>
        <v>0</v>
      </c>
      <c r="AT28" s="1608">
        <f>IF(S_25!$DI$13&gt;0,1,0)</f>
        <v>0</v>
      </c>
      <c r="AU28" s="1608">
        <f>IF(S_25!$DJ$13&gt;0,1,0)</f>
        <v>0</v>
      </c>
      <c r="AV28" s="1608">
        <f>IF(S_25!$DK$13&gt;0,1,0)</f>
        <v>0</v>
      </c>
      <c r="AW28" s="1608">
        <f t="shared" si="4"/>
        <v>0</v>
      </c>
      <c r="AX28" s="1608" t="str">
        <f t="shared" si="5"/>
        <v/>
      </c>
      <c r="AY28" s="1106" t="str">
        <f t="shared" si="0"/>
        <v/>
      </c>
      <c r="AZ28" s="1106" t="str">
        <f t="shared" si="6"/>
        <v/>
      </c>
      <c r="BA28" s="2259" t="str">
        <f t="shared" si="7"/>
        <v/>
      </c>
      <c r="BB28" s="2259" t="str">
        <f t="shared" si="8"/>
        <v/>
      </c>
      <c r="BC28" s="1608">
        <f>IF(S_25!$DN$13&gt;0,1,0)</f>
        <v>0</v>
      </c>
      <c r="BD28" s="1608">
        <f>IF(S_25!$DO$13&gt;0,1,0)</f>
        <v>0</v>
      </c>
      <c r="BE28" s="1608">
        <f>IF(S_25!$DP$13&gt;0,1,0)</f>
        <v>0</v>
      </c>
      <c r="BF28" s="1608">
        <f>IF(S_25!$DQ$13&gt;0,1,0)</f>
        <v>0</v>
      </c>
      <c r="BG28" s="1608">
        <f>IF(S_25!$DR$13&gt;0,1,0)</f>
        <v>0</v>
      </c>
      <c r="BH28" s="1608">
        <f>IF(S_25!$DS$13&gt;0,1,0)</f>
        <v>0</v>
      </c>
      <c r="BI28" s="1608">
        <f t="shared" si="9"/>
        <v>0</v>
      </c>
      <c r="BJ28" s="1106" t="str">
        <f t="shared" si="10"/>
        <v/>
      </c>
      <c r="BK28" s="2259" t="str">
        <f t="shared" si="11"/>
        <v/>
      </c>
      <c r="BL28" s="2259" t="str">
        <f t="shared" si="12"/>
        <v/>
      </c>
      <c r="BN28" s="747">
        <f>S_25!$DE$13</f>
        <v>0</v>
      </c>
      <c r="BO28" s="747">
        <f>S_25!$DM$13</f>
        <v>0</v>
      </c>
      <c r="BP28" s="747">
        <f>S_25!$CP$13</f>
        <v>0</v>
      </c>
      <c r="BQ28" s="747">
        <f>S_25!$CQ$13</f>
        <v>0</v>
      </c>
      <c r="BR28" s="1610" t="e">
        <f>BP28/Betrieb!$E$23</f>
        <v>#DIV/0!</v>
      </c>
      <c r="BS28" s="1610" t="e">
        <f>BQ28/Betrieb!$E$24</f>
        <v>#DIV/0!</v>
      </c>
      <c r="BT28" s="1615" t="str">
        <f t="shared" si="13"/>
        <v/>
      </c>
      <c r="BU28" s="1615" t="str">
        <f t="shared" si="14"/>
        <v/>
      </c>
      <c r="BV28" s="747">
        <f>IF(AND(S_25!$G$8="JA",S_25!$K$8="NEIN"),S_25!$U$13,0)</f>
        <v>0</v>
      </c>
      <c r="BW28" s="1769">
        <f>IF(AND(S_25!$G$8="JA",S_25!$K$8="NEIN"),S_25!$V$13,0)</f>
        <v>0</v>
      </c>
      <c r="BX28" s="1087" t="str">
        <f t="shared" si="15"/>
        <v/>
      </c>
      <c r="BY28" s="1087" t="str">
        <f t="shared" si="16"/>
        <v/>
      </c>
    </row>
    <row r="29" spans="1:77" ht="20.25" hidden="1" customHeight="1">
      <c r="A29" s="1775"/>
      <c r="C29" s="1796" t="str">
        <f t="array" ref="C29">IFERROR(IF(ROW($C$1)&gt;COUNTA($Y$4:$Y$33),"",INDEX($Y:$Y,SMALL(IF(Y$4:Y$33&lt;&gt;"",ROW($4:$33)),ROW(C26)))),"")</f>
        <v/>
      </c>
      <c r="D29" s="747" t="str">
        <f t="array" ref="D29">IFERROR(IF(ROW($D$1)&gt;COUNTA($V$4:$V$33),"",INDEX($V:$V,SMALL(IF(V$4:V$33&lt;&gt;"",ROW($4:$33)),ROW(B26)))),"")</f>
        <v/>
      </c>
      <c r="E29" s="1616" t="str">
        <f t="array" ref="E29">IFERROR(IF(ROW($E$1)&gt;COUNTA($W$4:$W$33),"",INDEX($W:$W,SMALL(IF(W$4:W$33&lt;&gt;"",ROW($4:$33)),ROW(C26)))),"")</f>
        <v/>
      </c>
      <c r="F29" s="1796" t="str">
        <f t="array" ref="F29">IFERROR(IF(ROW($F$1)&gt;COUNTA($AA$4:$AA$33),"",INDEX($AA:$AA,SMALL(IF(AA$4:AA$33&lt;&gt;"",ROW($4:$33)),ROW(D26)))),"")</f>
        <v/>
      </c>
      <c r="G29" s="16" t="str">
        <f t="array" ref="G29">IFERROR(IF(ROW($G$1)&gt;COUNTA($AC$4:$AC$33),"",INDEX($AC:$AC,SMALL(IF(AC$4:AC$33&lt;&gt;"",ROW($4:$33)),ROW(E26)))),"")</f>
        <v/>
      </c>
      <c r="H29" s="1797" t="str">
        <f t="array" ref="H29">IFERROR(IF(ROW($H$1)&gt;COUNTA($BT$4:$BT$33),"",INDEX($BT:$BT,SMALL(IF(BT$4:BT$33&lt;&gt;"",ROW($4:$33)),ROW(F26)))),"")</f>
        <v/>
      </c>
      <c r="I29" s="1613" t="str">
        <f t="array" ref="I29">IFERROR(IF(ROW($I$1)&gt;COUNTA($AZ$4:$AZ$33),"",INDEX($AZ:$AZ,SMALL(IF(AZ$4:AZ$33&lt;&gt;"",ROW($4:$33)),ROW(G26)))),"")</f>
        <v/>
      </c>
      <c r="J29" s="1797" t="str">
        <f t="array" ref="J29">IFERROR(IF(ROW($J$1)&gt;COUNTA($BA$4:$BA$33),"",INDEX($BA:$BA,SMALL(IF(BA$4:BA$33&lt;&gt;"",ROW($4:$33)),ROW(H26)))),"")</f>
        <v/>
      </c>
      <c r="K29" s="1614" t="str">
        <f t="array" ref="K29">IFERROR(IF(ROW($K$1)&gt;COUNTA($BB$4:$BB$33),"",INDEX($BB:$BB,SMALL(IF(BB$4:BB$33&lt;&gt;"",ROW($4:$33)),ROW(I26)))),"")</f>
        <v/>
      </c>
      <c r="M29" s="1797" t="str">
        <f t="array" ref="M29">IFERROR(IF(ROW($M$1)&gt;COUNTA($BU$4:$BU$33),"",INDEX($BU:$BU,SMALL(IF(BU$4:BU$33&lt;&gt;"",ROW($4:$33)),ROW(K26)))),"")</f>
        <v/>
      </c>
      <c r="N29" s="1613" t="str">
        <f t="array" ref="N29">IFERROR(IF(ROW($N$1)&gt;COUNTA($BJ$4:$BJ$33),"",INDEX($BJ:$BJ,SMALL(IF(BJ$4:BJ$33&lt;&gt;"",ROW($4:$33)),ROW(L26)))),"")</f>
        <v/>
      </c>
      <c r="O29" s="1797" t="str">
        <f t="array" ref="O29">IFERROR(IF(ROW($O$1)&gt;COUNTA($BK$4:$BK$33),"",INDEX($BK:$BK,SMALL(IF(BK$4:BK$33&lt;&gt;"",ROW($4:$33)),ROW(M26)))),"")</f>
        <v/>
      </c>
      <c r="P29" s="1614" t="str">
        <f t="array" ref="P29">IFERROR(IF(ROW($P$1)&gt;COUNTA($BL$4:$BL$33),"",INDEX($BL:$BL,SMALL(IF(BL$4:BL$33&lt;&gt;"",ROW($4:$33)),ROW(N26)))),"")</f>
        <v/>
      </c>
      <c r="Q29" s="1775"/>
      <c r="R29" s="1775"/>
      <c r="S29" s="1775"/>
      <c r="T29" s="1775"/>
      <c r="U29" s="1608" t="str">
        <f>IF(AND(S_26!$G$8="ja",S_26!$K$8="nein"),S_26!$C$2,"")</f>
        <v/>
      </c>
      <c r="V29" s="747" t="str">
        <f t="shared" si="1"/>
        <v/>
      </c>
      <c r="W29" s="1106" t="str">
        <f>IF($U29="","",S_26!$B$13)</f>
        <v/>
      </c>
      <c r="Y29" s="1106" t="str">
        <f>IF($U29="","",Grünland!B30)</f>
        <v/>
      </c>
      <c r="Z29" s="1608" t="str">
        <f>IF($U29="","",S_26!C13)</f>
        <v/>
      </c>
      <c r="AA29" s="747" t="str">
        <f t="shared" si="2"/>
        <v/>
      </c>
      <c r="AB29" s="1608" t="str">
        <f>IF($U29="","",S_26!CM13)</f>
        <v/>
      </c>
      <c r="AC29" s="747" t="str">
        <f t="shared" si="3"/>
        <v/>
      </c>
      <c r="AD29" s="747" t="str">
        <f>IF($U29="","",S_26!E13)</f>
        <v/>
      </c>
      <c r="AE29" s="747" t="str">
        <f>IF($U29="","",S_26!F13)</f>
        <v/>
      </c>
      <c r="AF29" s="747" t="str">
        <f>IF($U29="","",S_26!G13)</f>
        <v/>
      </c>
      <c r="AG29" s="747" t="str">
        <f>IF($U29="","",S_26!H13)</f>
        <v/>
      </c>
      <c r="AH29" s="747" t="str">
        <f>IF($U29="","",S_26!I13)</f>
        <v/>
      </c>
      <c r="AI29" s="747" t="str">
        <f>IF($U29="","",S_26!J13)</f>
        <v/>
      </c>
      <c r="AJ29" s="747" t="str">
        <f>IF($U29="","",S_26!K13)</f>
        <v/>
      </c>
      <c r="AK29" s="747" t="str">
        <f>IF($U29="","",S_26!L13)</f>
        <v/>
      </c>
      <c r="AL29" s="747" t="str">
        <f>IF($U29="","",S_26!M13)</f>
        <v/>
      </c>
      <c r="AM29" s="747" t="str">
        <f>IF($U29="","",S_26!N13)</f>
        <v/>
      </c>
      <c r="AN29" s="747" t="str">
        <f>IF($U29="","",S_26!O13)</f>
        <v/>
      </c>
      <c r="AO29" s="747" t="str">
        <f>IF($U29="","",S_26!P13)</f>
        <v/>
      </c>
      <c r="AQ29" s="1608">
        <f>IF(S_26!$DF$13&gt;0,1,0)</f>
        <v>0</v>
      </c>
      <c r="AR29" s="1608">
        <f>IF(S_26!$DG$13&gt;0,1,0)</f>
        <v>0</v>
      </c>
      <c r="AS29" s="1608">
        <f>IF(S_26!$DH$13&gt;0,1,0)</f>
        <v>0</v>
      </c>
      <c r="AT29" s="1608">
        <f>IF(S_26!$DI$13&gt;0,1,0)</f>
        <v>0</v>
      </c>
      <c r="AU29" s="1608">
        <f>IF(S_26!$DJ$13&gt;0,1,0)</f>
        <v>0</v>
      </c>
      <c r="AV29" s="1608">
        <f>IF(S_26!$DK$13&gt;0,1,0)</f>
        <v>0</v>
      </c>
      <c r="AW29" s="1608">
        <f t="shared" si="4"/>
        <v>0</v>
      </c>
      <c r="AX29" s="1608" t="str">
        <f t="shared" si="5"/>
        <v/>
      </c>
      <c r="AY29" s="1106" t="str">
        <f t="shared" si="0"/>
        <v/>
      </c>
      <c r="AZ29" s="1106" t="str">
        <f t="shared" si="6"/>
        <v/>
      </c>
      <c r="BA29" s="2259" t="str">
        <f t="shared" si="7"/>
        <v/>
      </c>
      <c r="BB29" s="2259" t="str">
        <f t="shared" si="8"/>
        <v/>
      </c>
      <c r="BC29" s="1608">
        <f>IF(S_26!$DN$13&gt;0,1,0)</f>
        <v>0</v>
      </c>
      <c r="BD29" s="1608">
        <f>IF(S_26!$DO$13&gt;0,1,0)</f>
        <v>0</v>
      </c>
      <c r="BE29" s="1608">
        <f>IF(S_26!$DP$13&gt;0,1,0)</f>
        <v>0</v>
      </c>
      <c r="BF29" s="1608">
        <f>IF(S_26!$DQ$13&gt;0,1,0)</f>
        <v>0</v>
      </c>
      <c r="BG29" s="1608">
        <f>IF(S_26!$DR$13&gt;0,1,0)</f>
        <v>0</v>
      </c>
      <c r="BH29" s="1608">
        <f>IF(S_26!$DS$13&gt;0,1,0)</f>
        <v>0</v>
      </c>
      <c r="BI29" s="1608">
        <f t="shared" si="9"/>
        <v>0</v>
      </c>
      <c r="BJ29" s="1106" t="str">
        <f t="shared" si="10"/>
        <v/>
      </c>
      <c r="BK29" s="2259" t="str">
        <f t="shared" si="11"/>
        <v/>
      </c>
      <c r="BL29" s="2259" t="str">
        <f t="shared" si="12"/>
        <v/>
      </c>
      <c r="BN29" s="747">
        <f>S_26!$DE$13</f>
        <v>0</v>
      </c>
      <c r="BO29" s="747">
        <f>S_26!$DM$13</f>
        <v>0</v>
      </c>
      <c r="BP29" s="747">
        <f>S_26!$CP$13</f>
        <v>0</v>
      </c>
      <c r="BQ29" s="747">
        <f>S_26!$CQ$13</f>
        <v>0</v>
      </c>
      <c r="BR29" s="1610" t="e">
        <f>BP29/Betrieb!$E$23</f>
        <v>#DIV/0!</v>
      </c>
      <c r="BS29" s="1610" t="e">
        <f>BQ29/Betrieb!$E$24</f>
        <v>#DIV/0!</v>
      </c>
      <c r="BT29" s="1615" t="str">
        <f t="shared" si="13"/>
        <v/>
      </c>
      <c r="BU29" s="1615" t="str">
        <f t="shared" si="14"/>
        <v/>
      </c>
      <c r="BV29" s="747">
        <f>IF(AND(S_26!$G$8="JA",S_26!$K$8="NEIN"),S_26!$U$13,0)</f>
        <v>0</v>
      </c>
      <c r="BW29" s="1769">
        <f>IF(AND(S_26!$G$8="JA",S_26!$K$8="NEIN"),S_26!$V$13,0)</f>
        <v>0</v>
      </c>
      <c r="BX29" s="1087" t="str">
        <f t="shared" si="15"/>
        <v/>
      </c>
      <c r="BY29" s="1087" t="str">
        <f t="shared" si="16"/>
        <v/>
      </c>
    </row>
    <row r="30" spans="1:77" ht="20.25" hidden="1" customHeight="1">
      <c r="A30" s="1775"/>
      <c r="C30" s="1796" t="str">
        <f t="array" ref="C30">IFERROR(IF(ROW($C$1)&gt;COUNTA($Y$4:$Y$33),"",INDEX($Y:$Y,SMALL(IF(Y$4:Y$33&lt;&gt;"",ROW($4:$33)),ROW(C27)))),"")</f>
        <v/>
      </c>
      <c r="D30" s="747" t="str">
        <f t="array" ref="D30">IFERROR(IF(ROW($D$1)&gt;COUNTA($V$4:$V$33),"",INDEX($V:$V,SMALL(IF(V$4:V$33&lt;&gt;"",ROW($4:$33)),ROW(B27)))),"")</f>
        <v/>
      </c>
      <c r="E30" s="1616" t="str">
        <f t="array" ref="E30">IFERROR(IF(ROW($E$1)&gt;COUNTA($W$4:$W$33),"",INDEX($W:$W,SMALL(IF(W$4:W$33&lt;&gt;"",ROW($4:$33)),ROW(C27)))),"")</f>
        <v/>
      </c>
      <c r="F30" s="1796" t="str">
        <f t="array" ref="F30">IFERROR(IF(ROW($F$1)&gt;COUNTA($AA$4:$AA$33),"",INDEX($AA:$AA,SMALL(IF(AA$4:AA$33&lt;&gt;"",ROW($4:$33)),ROW(D27)))),"")</f>
        <v/>
      </c>
      <c r="G30" s="16" t="str">
        <f t="array" ref="G30">IFERROR(IF(ROW($G$1)&gt;COUNTA($AC$4:$AC$33),"",INDEX($AC:$AC,SMALL(IF(AC$4:AC$33&lt;&gt;"",ROW($4:$33)),ROW(E27)))),"")</f>
        <v/>
      </c>
      <c r="H30" s="1797" t="str">
        <f t="array" ref="H30">IFERROR(IF(ROW($H$1)&gt;COUNTA($BT$4:$BT$33),"",INDEX($BT:$BT,SMALL(IF(BT$4:BT$33&lt;&gt;"",ROW($4:$33)),ROW(F27)))),"")</f>
        <v/>
      </c>
      <c r="I30" s="1613" t="str">
        <f t="array" ref="I30">IFERROR(IF(ROW($I$1)&gt;COUNTA($AZ$4:$AZ$33),"",INDEX($AZ:$AZ,SMALL(IF(AZ$4:AZ$33&lt;&gt;"",ROW($4:$33)),ROW(G27)))),"")</f>
        <v/>
      </c>
      <c r="J30" s="1797" t="str">
        <f t="array" ref="J30">IFERROR(IF(ROW($J$1)&gt;COUNTA($BA$4:$BA$33),"",INDEX($BA:$BA,SMALL(IF(BA$4:BA$33&lt;&gt;"",ROW($4:$33)),ROW(H27)))),"")</f>
        <v/>
      </c>
      <c r="K30" s="1614" t="str">
        <f t="array" ref="K30">IFERROR(IF(ROW($K$1)&gt;COUNTA($BB$4:$BB$33),"",INDEX($BB:$BB,SMALL(IF(BB$4:BB$33&lt;&gt;"",ROW($4:$33)),ROW(I27)))),"")</f>
        <v/>
      </c>
      <c r="M30" s="1797" t="str">
        <f t="array" ref="M30">IFERROR(IF(ROW($M$1)&gt;COUNTA($BU$4:$BU$33),"",INDEX($BU:$BU,SMALL(IF(BU$4:BU$33&lt;&gt;"",ROW($4:$33)),ROW(K27)))),"")</f>
        <v/>
      </c>
      <c r="N30" s="1613" t="str">
        <f t="array" ref="N30">IFERROR(IF(ROW($N$1)&gt;COUNTA($BJ$4:$BJ$33),"",INDEX($BJ:$BJ,SMALL(IF(BJ$4:BJ$33&lt;&gt;"",ROW($4:$33)),ROW(L27)))),"")</f>
        <v/>
      </c>
      <c r="O30" s="1797" t="str">
        <f t="array" ref="O30">IFERROR(IF(ROW($O$1)&gt;COUNTA($BK$4:$BK$33),"",INDEX($BK:$BK,SMALL(IF(BK$4:BK$33&lt;&gt;"",ROW($4:$33)),ROW(M27)))),"")</f>
        <v/>
      </c>
      <c r="P30" s="1614" t="str">
        <f t="array" ref="P30">IFERROR(IF(ROW($P$1)&gt;COUNTA($BL$4:$BL$33),"",INDEX($BL:$BL,SMALL(IF(BL$4:BL$33&lt;&gt;"",ROW($4:$33)),ROW(N27)))),"")</f>
        <v/>
      </c>
      <c r="Q30" s="1775"/>
      <c r="R30" s="1775"/>
      <c r="S30" s="1775"/>
      <c r="T30" s="1775"/>
      <c r="U30" s="1608" t="str">
        <f>IF(AND(S_27!$G$8="ja",S_27!$K$8="nein"),S_27!$C$2,"")</f>
        <v/>
      </c>
      <c r="V30" s="747" t="str">
        <f t="shared" si="1"/>
        <v/>
      </c>
      <c r="W30" s="1106" t="str">
        <f>IF($U30="","",S_27!$B$13)</f>
        <v/>
      </c>
      <c r="Y30" s="1106" t="str">
        <f>IF($U30="","",Grünland!B31)</f>
        <v/>
      </c>
      <c r="Z30" s="1608" t="str">
        <f>IF($U30="","",S_27!C13)</f>
        <v/>
      </c>
      <c r="AA30" s="747" t="str">
        <f t="shared" si="2"/>
        <v/>
      </c>
      <c r="AB30" s="1608" t="str">
        <f>IF($U30="","",S_27!CM13)</f>
        <v/>
      </c>
      <c r="AC30" s="747" t="str">
        <f t="shared" si="3"/>
        <v/>
      </c>
      <c r="AD30" s="747" t="str">
        <f>IF($U30="","",S_27!E13)</f>
        <v/>
      </c>
      <c r="AE30" s="747" t="str">
        <f>IF($U30="","",S_27!F13)</f>
        <v/>
      </c>
      <c r="AF30" s="747" t="str">
        <f>IF($U30="","",S_27!G13)</f>
        <v/>
      </c>
      <c r="AG30" s="747" t="str">
        <f>IF($U30="","",S_27!H13)</f>
        <v/>
      </c>
      <c r="AH30" s="747" t="str">
        <f>IF($U30="","",S_27!I13)</f>
        <v/>
      </c>
      <c r="AI30" s="747" t="str">
        <f>IF($U30="","",S_27!J13)</f>
        <v/>
      </c>
      <c r="AJ30" s="747" t="str">
        <f>IF($U30="","",S_27!K13)</f>
        <v/>
      </c>
      <c r="AK30" s="747" t="str">
        <f>IF($U30="","",S_27!L13)</f>
        <v/>
      </c>
      <c r="AL30" s="747" t="str">
        <f>IF($U30="","",S_27!M13)</f>
        <v/>
      </c>
      <c r="AM30" s="747" t="str">
        <f>IF($U30="","",S_27!N13)</f>
        <v/>
      </c>
      <c r="AN30" s="747" t="str">
        <f>IF($U30="","",S_27!O13)</f>
        <v/>
      </c>
      <c r="AO30" s="747" t="str">
        <f>IF($U30="","",S_27!P13)</f>
        <v/>
      </c>
      <c r="AQ30" s="1608">
        <f>IF(S_27!$DF$13&gt;0,1,0)</f>
        <v>0</v>
      </c>
      <c r="AR30" s="1608">
        <f>IF(S_27!$DG$13&gt;0,1,0)</f>
        <v>0</v>
      </c>
      <c r="AS30" s="1608">
        <f>IF(S_27!$DH$13&gt;0,1,0)</f>
        <v>0</v>
      </c>
      <c r="AT30" s="1608">
        <f>IF(S_27!$DI$13&gt;0,1,0)</f>
        <v>0</v>
      </c>
      <c r="AU30" s="1608">
        <f>IF(S_27!$DJ$13&gt;0,1,0)</f>
        <v>0</v>
      </c>
      <c r="AV30" s="1608">
        <f>IF(S_27!$DK$13&gt;0,1,0)</f>
        <v>0</v>
      </c>
      <c r="AW30" s="1608">
        <f t="shared" si="4"/>
        <v>0</v>
      </c>
      <c r="AX30" s="1608" t="str">
        <f t="shared" si="5"/>
        <v/>
      </c>
      <c r="AY30" s="1106" t="str">
        <f t="shared" si="0"/>
        <v/>
      </c>
      <c r="AZ30" s="1106" t="str">
        <f t="shared" si="6"/>
        <v/>
      </c>
      <c r="BA30" s="2259" t="str">
        <f t="shared" si="7"/>
        <v/>
      </c>
      <c r="BB30" s="2259" t="str">
        <f t="shared" si="8"/>
        <v/>
      </c>
      <c r="BC30" s="1608">
        <f>IF(S_27!$DN$13&gt;0,1,0)</f>
        <v>0</v>
      </c>
      <c r="BD30" s="1608">
        <f>IF(S_27!$DO$13&gt;0,1,0)</f>
        <v>0</v>
      </c>
      <c r="BE30" s="1608">
        <f>IF(S_27!$DP$13&gt;0,1,0)</f>
        <v>0</v>
      </c>
      <c r="BF30" s="1608">
        <f>IF(S_27!$DQ$13&gt;0,1,0)</f>
        <v>0</v>
      </c>
      <c r="BG30" s="1608">
        <f>IF(S_27!$DR$13&gt;0,1,0)</f>
        <v>0</v>
      </c>
      <c r="BH30" s="1608">
        <f>IF(S_27!$DS$13&gt;0,1,0)</f>
        <v>0</v>
      </c>
      <c r="BI30" s="1608">
        <f t="shared" si="9"/>
        <v>0</v>
      </c>
      <c r="BJ30" s="1106" t="str">
        <f t="shared" si="10"/>
        <v/>
      </c>
      <c r="BK30" s="2259" t="str">
        <f t="shared" si="11"/>
        <v/>
      </c>
      <c r="BL30" s="2259" t="str">
        <f t="shared" si="12"/>
        <v/>
      </c>
      <c r="BN30" s="747">
        <f>S_27!$DE$13</f>
        <v>0</v>
      </c>
      <c r="BO30" s="747">
        <f>S_27!$DM$13</f>
        <v>0</v>
      </c>
      <c r="BP30" s="747">
        <f>S_27!$CP$13</f>
        <v>0</v>
      </c>
      <c r="BQ30" s="747">
        <f>S_27!$CQ$13</f>
        <v>0</v>
      </c>
      <c r="BR30" s="1610" t="e">
        <f>BP30/Betrieb!$E$23</f>
        <v>#DIV/0!</v>
      </c>
      <c r="BS30" s="1610" t="e">
        <f>BQ30/Betrieb!$E$24</f>
        <v>#DIV/0!</v>
      </c>
      <c r="BT30" s="1615" t="str">
        <f t="shared" si="13"/>
        <v/>
      </c>
      <c r="BU30" s="1615" t="str">
        <f t="shared" si="14"/>
        <v/>
      </c>
      <c r="BV30" s="747">
        <f>IF(AND(S_27!$G$8="JA",S_27!$K$8="NEIN"),S_27!$U$13,0)</f>
        <v>0</v>
      </c>
      <c r="BW30" s="1769">
        <f>IF(AND(S_27!$G$8="JA",S_27!$K$8="NEIN"),S_27!$V$13,0)</f>
        <v>0</v>
      </c>
      <c r="BX30" s="1087" t="str">
        <f t="shared" si="15"/>
        <v/>
      </c>
      <c r="BY30" s="1087" t="str">
        <f t="shared" si="16"/>
        <v/>
      </c>
    </row>
    <row r="31" spans="1:77" ht="20.25" hidden="1" customHeight="1">
      <c r="A31" s="1775"/>
      <c r="C31" s="1796" t="str">
        <f t="array" ref="C31">IFERROR(IF(ROW($C$1)&gt;COUNTA($Y$4:$Y$33),"",INDEX($Y:$Y,SMALL(IF(Y$4:Y$33&lt;&gt;"",ROW($4:$33)),ROW(C28)))),"")</f>
        <v/>
      </c>
      <c r="D31" s="747" t="str">
        <f t="array" ref="D31">IFERROR(IF(ROW($D$1)&gt;COUNTA($V$4:$V$33),"",INDEX($V:$V,SMALL(IF(V$4:V$33&lt;&gt;"",ROW($4:$33)),ROW(B28)))),"")</f>
        <v/>
      </c>
      <c r="E31" s="1616" t="str">
        <f t="array" ref="E31">IFERROR(IF(ROW($E$1)&gt;COUNTA($W$4:$W$33),"",INDEX($W:$W,SMALL(IF(W$4:W$33&lt;&gt;"",ROW($4:$33)),ROW(C28)))),"")</f>
        <v/>
      </c>
      <c r="F31" s="1796" t="str">
        <f t="array" ref="F31">IFERROR(IF(ROW($F$1)&gt;COUNTA($AA$4:$AA$33),"",INDEX($AA:$AA,SMALL(IF(AA$4:AA$33&lt;&gt;"",ROW($4:$33)),ROW(D28)))),"")</f>
        <v/>
      </c>
      <c r="G31" s="16" t="str">
        <f t="array" ref="G31">IFERROR(IF(ROW($G$1)&gt;COUNTA($AC$4:$AC$33),"",INDEX($AC:$AC,SMALL(IF(AC$4:AC$33&lt;&gt;"",ROW($4:$33)),ROW(E28)))),"")</f>
        <v/>
      </c>
      <c r="H31" s="1797" t="str">
        <f t="array" ref="H31">IFERROR(IF(ROW($H$1)&gt;COUNTA($BT$4:$BT$33),"",INDEX($BT:$BT,SMALL(IF(BT$4:BT$33&lt;&gt;"",ROW($4:$33)),ROW(F28)))),"")</f>
        <v/>
      </c>
      <c r="I31" s="1613" t="str">
        <f t="array" ref="I31">IFERROR(IF(ROW($I$1)&gt;COUNTA($AZ$4:$AZ$33),"",INDEX($AZ:$AZ,SMALL(IF(AZ$4:AZ$33&lt;&gt;"",ROW($4:$33)),ROW(G28)))),"")</f>
        <v/>
      </c>
      <c r="J31" s="1797" t="str">
        <f t="array" ref="J31">IFERROR(IF(ROW($J$1)&gt;COUNTA($BA$4:$BA$33),"",INDEX($BA:$BA,SMALL(IF(BA$4:BA$33&lt;&gt;"",ROW($4:$33)),ROW(H28)))),"")</f>
        <v/>
      </c>
      <c r="K31" s="1614" t="str">
        <f t="array" ref="K31">IFERROR(IF(ROW($K$1)&gt;COUNTA($BB$4:$BB$33),"",INDEX($BB:$BB,SMALL(IF(BB$4:BB$33&lt;&gt;"",ROW($4:$33)),ROW(I28)))),"")</f>
        <v/>
      </c>
      <c r="M31" s="1797" t="str">
        <f t="array" ref="M31">IFERROR(IF(ROW($M$1)&gt;COUNTA($BU$4:$BU$33),"",INDEX($BU:$BU,SMALL(IF(BU$4:BU$33&lt;&gt;"",ROW($4:$33)),ROW(K28)))),"")</f>
        <v/>
      </c>
      <c r="N31" s="1613" t="str">
        <f t="array" ref="N31">IFERROR(IF(ROW($N$1)&gt;COUNTA($BJ$4:$BJ$33),"",INDEX($BJ:$BJ,SMALL(IF(BJ$4:BJ$33&lt;&gt;"",ROW($4:$33)),ROW(L28)))),"")</f>
        <v/>
      </c>
      <c r="O31" s="1797" t="str">
        <f t="array" ref="O31">IFERROR(IF(ROW($O$1)&gt;COUNTA($BK$4:$BK$33),"",INDEX($BK:$BK,SMALL(IF(BK$4:BK$33&lt;&gt;"",ROW($4:$33)),ROW(M28)))),"")</f>
        <v/>
      </c>
      <c r="P31" s="1614" t="str">
        <f t="array" ref="P31">IFERROR(IF(ROW($P$1)&gt;COUNTA($BL$4:$BL$33),"",INDEX($BL:$BL,SMALL(IF(BL$4:BL$33&lt;&gt;"",ROW($4:$33)),ROW(N28)))),"")</f>
        <v/>
      </c>
      <c r="Q31" s="1775"/>
      <c r="R31" s="1775"/>
      <c r="S31" s="1775"/>
      <c r="T31" s="1775"/>
      <c r="U31" s="1608" t="str">
        <f>IF(AND(S_28!$G$8="ja",S_28!$K$8="nein"),S_28!$C$2,"")</f>
        <v/>
      </c>
      <c r="V31" s="747" t="str">
        <f t="shared" si="1"/>
        <v/>
      </c>
      <c r="W31" s="1106" t="str">
        <f>IF($U31="","",S_28!$B$13)</f>
        <v/>
      </c>
      <c r="Y31" s="1106" t="str">
        <f>IF($U31="","",Grünland!B32)</f>
        <v/>
      </c>
      <c r="Z31" s="1608" t="str">
        <f>IF($U31="","",S_28!C13)</f>
        <v/>
      </c>
      <c r="AA31" s="747" t="str">
        <f t="shared" si="2"/>
        <v/>
      </c>
      <c r="AB31" s="1608" t="str">
        <f>IF($U31="","",S_28!CM13)</f>
        <v/>
      </c>
      <c r="AC31" s="747" t="str">
        <f t="shared" si="3"/>
        <v/>
      </c>
      <c r="AD31" s="747" t="str">
        <f>IF($U31="","",S_28!E13)</f>
        <v/>
      </c>
      <c r="AE31" s="747" t="str">
        <f>IF($U31="","",S_28!F13)</f>
        <v/>
      </c>
      <c r="AF31" s="747" t="str">
        <f>IF($U31="","",S_28!G13)</f>
        <v/>
      </c>
      <c r="AG31" s="747" t="str">
        <f>IF($U31="","",S_28!H13)</f>
        <v/>
      </c>
      <c r="AH31" s="747" t="str">
        <f>IF($U31="","",S_28!I13)</f>
        <v/>
      </c>
      <c r="AI31" s="747" t="str">
        <f>IF($U31="","",S_28!J13)</f>
        <v/>
      </c>
      <c r="AJ31" s="747" t="str">
        <f>IF($U31="","",S_28!K13)</f>
        <v/>
      </c>
      <c r="AK31" s="747" t="str">
        <f>IF($U31="","",S_28!L13)</f>
        <v/>
      </c>
      <c r="AL31" s="747" t="str">
        <f>IF($U31="","",S_28!M13)</f>
        <v/>
      </c>
      <c r="AM31" s="747" t="str">
        <f>IF($U31="","",S_28!N13)</f>
        <v/>
      </c>
      <c r="AN31" s="747" t="str">
        <f>IF($U31="","",S_28!O13)</f>
        <v/>
      </c>
      <c r="AO31" s="747" t="str">
        <f>IF($U31="","",S_28!P13)</f>
        <v/>
      </c>
      <c r="AQ31" s="1608">
        <f>IF(S_28!$DF$13&gt;0,1,0)</f>
        <v>0</v>
      </c>
      <c r="AR31" s="1608">
        <f>IF(S_28!$DG$13&gt;0,1,0)</f>
        <v>0</v>
      </c>
      <c r="AS31" s="1608">
        <f>IF(S_28!$DH$13&gt;0,1,0)</f>
        <v>0</v>
      </c>
      <c r="AT31" s="1608">
        <f>IF(S_28!$DI$13&gt;0,1,0)</f>
        <v>0</v>
      </c>
      <c r="AU31" s="1608">
        <f>IF(S_28!$DJ$13&gt;0,1,0)</f>
        <v>0</v>
      </c>
      <c r="AV31" s="1608">
        <f>IF(S_28!$DK$13&gt;0,1,0)</f>
        <v>0</v>
      </c>
      <c r="AW31" s="1608">
        <f t="shared" si="4"/>
        <v>0</v>
      </c>
      <c r="AX31" s="1608" t="str">
        <f t="shared" si="5"/>
        <v/>
      </c>
      <c r="AY31" s="1106" t="str">
        <f t="shared" si="0"/>
        <v/>
      </c>
      <c r="AZ31" s="1106" t="str">
        <f t="shared" si="6"/>
        <v/>
      </c>
      <c r="BA31" s="2259" t="str">
        <f t="shared" si="7"/>
        <v/>
      </c>
      <c r="BB31" s="2259" t="str">
        <f t="shared" si="8"/>
        <v/>
      </c>
      <c r="BC31" s="1608">
        <f>IF(S_28!$DN$13&gt;0,1,0)</f>
        <v>0</v>
      </c>
      <c r="BD31" s="1608">
        <f>IF(S_28!$DO$13&gt;0,1,0)</f>
        <v>0</v>
      </c>
      <c r="BE31" s="1608">
        <f>IF(S_28!$DP$13&gt;0,1,0)</f>
        <v>0</v>
      </c>
      <c r="BF31" s="1608">
        <f>IF(S_28!$DQ$13&gt;0,1,0)</f>
        <v>0</v>
      </c>
      <c r="BG31" s="1608">
        <f>IF(S_28!$DR$13&gt;0,1,0)</f>
        <v>0</v>
      </c>
      <c r="BH31" s="1608">
        <f>IF(S_28!$DS$13&gt;0,1,0)</f>
        <v>0</v>
      </c>
      <c r="BI31" s="1608">
        <f t="shared" si="9"/>
        <v>0</v>
      </c>
      <c r="BJ31" s="1106" t="str">
        <f t="shared" si="10"/>
        <v/>
      </c>
      <c r="BK31" s="2259" t="str">
        <f t="shared" si="11"/>
        <v/>
      </c>
      <c r="BL31" s="2259" t="str">
        <f t="shared" si="12"/>
        <v/>
      </c>
      <c r="BN31" s="747">
        <f>S_28!$DE$13</f>
        <v>0</v>
      </c>
      <c r="BO31" s="747">
        <f>S_28!$DM$13</f>
        <v>0</v>
      </c>
      <c r="BP31" s="747">
        <f>S_28!$CP$13</f>
        <v>0</v>
      </c>
      <c r="BQ31" s="747">
        <f>S_28!$CQ$13</f>
        <v>0</v>
      </c>
      <c r="BR31" s="1610" t="e">
        <f>BP31/Betrieb!$E$23</f>
        <v>#DIV/0!</v>
      </c>
      <c r="BS31" s="1610" t="e">
        <f>BQ31/Betrieb!$E$24</f>
        <v>#DIV/0!</v>
      </c>
      <c r="BT31" s="1615" t="str">
        <f t="shared" si="13"/>
        <v/>
      </c>
      <c r="BU31" s="1615" t="str">
        <f t="shared" si="14"/>
        <v/>
      </c>
      <c r="BV31" s="747">
        <f>IF(AND(S_28!$G$8="JA",S_28!$K$8="NEIN"),S_28!$U$13,0)</f>
        <v>0</v>
      </c>
      <c r="BW31" s="1769">
        <f>IF(AND(S_28!$G$8="JA",S_28!$K$8="NEIN"),S_28!$V$13,0)</f>
        <v>0</v>
      </c>
      <c r="BX31" s="1087" t="str">
        <f t="shared" si="15"/>
        <v/>
      </c>
      <c r="BY31" s="1087" t="str">
        <f t="shared" si="16"/>
        <v/>
      </c>
    </row>
    <row r="32" spans="1:77" ht="20.25" hidden="1" customHeight="1">
      <c r="A32" s="1775"/>
      <c r="C32" s="1796" t="str">
        <f t="array" ref="C32">IFERROR(IF(ROW($C$1)&gt;COUNTA($Y$4:$Y$33),"",INDEX($Y:$Y,SMALL(IF(Y$4:Y$33&lt;&gt;"",ROW($4:$33)),ROW(C29)))),"")</f>
        <v/>
      </c>
      <c r="D32" s="747" t="str">
        <f t="array" ref="D32">IFERROR(IF(ROW($D$1)&gt;COUNTA($V$4:$V$33),"",INDEX($V:$V,SMALL(IF(V$4:V$33&lt;&gt;"",ROW($4:$33)),ROW(B29)))),"")</f>
        <v/>
      </c>
      <c r="E32" s="1616" t="str">
        <f t="array" ref="E32">IFERROR(IF(ROW($E$1)&gt;COUNTA($W$4:$W$33),"",INDEX($W:$W,SMALL(IF(W$4:W$33&lt;&gt;"",ROW($4:$33)),ROW(C29)))),"")</f>
        <v/>
      </c>
      <c r="F32" s="1796" t="str">
        <f t="array" ref="F32">IFERROR(IF(ROW($F$1)&gt;COUNTA($AA$4:$AA$33),"",INDEX($AA:$AA,SMALL(IF(AA$4:AA$33&lt;&gt;"",ROW($4:$33)),ROW(D29)))),"")</f>
        <v/>
      </c>
      <c r="G32" s="16" t="str">
        <f t="array" ref="G32">IFERROR(IF(ROW($G$1)&gt;COUNTA($AC$4:$AC$33),"",INDEX($AC:$AC,SMALL(IF(AC$4:AC$33&lt;&gt;"",ROW($4:$33)),ROW(E29)))),"")</f>
        <v/>
      </c>
      <c r="H32" s="1797" t="str">
        <f t="array" ref="H32">IFERROR(IF(ROW($H$1)&gt;COUNTA($BT$4:$BT$33),"",INDEX($BT:$BT,SMALL(IF(BT$4:BT$33&lt;&gt;"",ROW($4:$33)),ROW(F29)))),"")</f>
        <v/>
      </c>
      <c r="I32" s="1613" t="str">
        <f t="array" ref="I32">IFERROR(IF(ROW($I$1)&gt;COUNTA($AZ$4:$AZ$33),"",INDEX($AZ:$AZ,SMALL(IF(AZ$4:AZ$33&lt;&gt;"",ROW($4:$33)),ROW(G29)))),"")</f>
        <v/>
      </c>
      <c r="J32" s="1797" t="str">
        <f t="array" ref="J32">IFERROR(IF(ROW($J$1)&gt;COUNTA($BA$4:$BA$33),"",INDEX($BA:$BA,SMALL(IF(BA$4:BA$33&lt;&gt;"",ROW($4:$33)),ROW(H29)))),"")</f>
        <v/>
      </c>
      <c r="K32" s="1614" t="str">
        <f t="array" ref="K32">IFERROR(IF(ROW($K$1)&gt;COUNTA($BB$4:$BB$33),"",INDEX($BB:$BB,SMALL(IF(BB$4:BB$33&lt;&gt;"",ROW($4:$33)),ROW(I29)))),"")</f>
        <v/>
      </c>
      <c r="M32" s="1797" t="str">
        <f t="array" ref="M32">IFERROR(IF(ROW($M$1)&gt;COUNTA($BU$4:$BU$33),"",INDEX($BU:$BU,SMALL(IF(BU$4:BU$33&lt;&gt;"",ROW($4:$33)),ROW(K29)))),"")</f>
        <v/>
      </c>
      <c r="N32" s="1613" t="str">
        <f t="array" ref="N32">IFERROR(IF(ROW($N$1)&gt;COUNTA($BJ$4:$BJ$33),"",INDEX($BJ:$BJ,SMALL(IF(BJ$4:BJ$33&lt;&gt;"",ROW($4:$33)),ROW(L29)))),"")</f>
        <v/>
      </c>
      <c r="O32" s="1797" t="str">
        <f t="array" ref="O32">IFERROR(IF(ROW($O$1)&gt;COUNTA($BK$4:$BK$33),"",INDEX($BK:$BK,SMALL(IF(BK$4:BK$33&lt;&gt;"",ROW($4:$33)),ROW(M29)))),"")</f>
        <v/>
      </c>
      <c r="P32" s="1614" t="str">
        <f t="array" ref="P32">IFERROR(IF(ROW($P$1)&gt;COUNTA($BL$4:$BL$33),"",INDEX($BL:$BL,SMALL(IF(BL$4:BL$33&lt;&gt;"",ROW($4:$33)),ROW(N29)))),"")</f>
        <v/>
      </c>
      <c r="Q32" s="1775"/>
      <c r="R32" s="1775"/>
      <c r="S32" s="1775"/>
      <c r="T32" s="1775"/>
      <c r="U32" s="1608" t="str">
        <f>IF(AND(S_29!$G$8="ja",S_29!$K$8="nein"),S_29!$C$2,"")</f>
        <v/>
      </c>
      <c r="V32" s="747" t="str">
        <f t="shared" si="1"/>
        <v/>
      </c>
      <c r="W32" s="1106" t="str">
        <f>IF($U32="","",S_29!$B$13)</f>
        <v/>
      </c>
      <c r="Y32" s="1106" t="str">
        <f>IF($U32="","",Grünland!B33)</f>
        <v/>
      </c>
      <c r="Z32" s="1608" t="str">
        <f>IF($U32="","",S_29!C13)</f>
        <v/>
      </c>
      <c r="AA32" s="747" t="str">
        <f t="shared" si="2"/>
        <v/>
      </c>
      <c r="AB32" s="1608" t="str">
        <f>IF($U32="","",S_29!CM13)</f>
        <v/>
      </c>
      <c r="AC32" s="747" t="str">
        <f t="shared" si="3"/>
        <v/>
      </c>
      <c r="AD32" s="747" t="str">
        <f>IF($U32="","",S_29!E13)</f>
        <v/>
      </c>
      <c r="AE32" s="747" t="str">
        <f>IF($U32="","",S_29!F13)</f>
        <v/>
      </c>
      <c r="AF32" s="747" t="str">
        <f>IF($U32="","",S_29!G13)</f>
        <v/>
      </c>
      <c r="AG32" s="747" t="str">
        <f>IF($U32="","",S_29!H13)</f>
        <v/>
      </c>
      <c r="AH32" s="747" t="str">
        <f>IF($U32="","",S_29!I13)</f>
        <v/>
      </c>
      <c r="AI32" s="747" t="str">
        <f>IF($U32="","",S_29!J13)</f>
        <v/>
      </c>
      <c r="AJ32" s="747" t="str">
        <f>IF($U32="","",S_29!K13)</f>
        <v/>
      </c>
      <c r="AK32" s="747" t="str">
        <f>IF($U32="","",S_29!L13)</f>
        <v/>
      </c>
      <c r="AL32" s="747" t="str">
        <f>IF($U32="","",S_29!M13)</f>
        <v/>
      </c>
      <c r="AM32" s="747" t="str">
        <f>IF($U32="","",S_29!N13)</f>
        <v/>
      </c>
      <c r="AN32" s="747" t="str">
        <f>IF($U32="","",S_29!O13)</f>
        <v/>
      </c>
      <c r="AO32" s="747" t="str">
        <f>IF($U32="","",S_29!P13)</f>
        <v/>
      </c>
      <c r="AQ32" s="1608">
        <f>IF(S_29!$DF$13&gt;0,1,0)</f>
        <v>0</v>
      </c>
      <c r="AR32" s="1608">
        <f>IF(S_29!$DG$13&gt;0,1,0)</f>
        <v>0</v>
      </c>
      <c r="AS32" s="1608">
        <f>IF(S_29!$DH$13&gt;0,1,0)</f>
        <v>0</v>
      </c>
      <c r="AT32" s="1608">
        <f>IF(S_29!$DI$13&gt;0,1,0)</f>
        <v>0</v>
      </c>
      <c r="AU32" s="1608">
        <f>IF(S_29!$DJ$13&gt;0,1,0)</f>
        <v>0</v>
      </c>
      <c r="AV32" s="1608">
        <f>IF(S_29!$DK$13&gt;0,1,0)</f>
        <v>0</v>
      </c>
      <c r="AW32" s="1608">
        <f t="shared" si="4"/>
        <v>0</v>
      </c>
      <c r="AX32" s="1608" t="str">
        <f t="shared" si="5"/>
        <v/>
      </c>
      <c r="AY32" s="1106" t="str">
        <f t="shared" si="0"/>
        <v/>
      </c>
      <c r="AZ32" s="1106" t="str">
        <f t="shared" si="6"/>
        <v/>
      </c>
      <c r="BA32" s="2259" t="str">
        <f t="shared" si="7"/>
        <v/>
      </c>
      <c r="BB32" s="2259" t="str">
        <f t="shared" si="8"/>
        <v/>
      </c>
      <c r="BC32" s="1608">
        <f>IF(S_29!$DN$13&gt;0,1,0)</f>
        <v>0</v>
      </c>
      <c r="BD32" s="1608">
        <f>IF(S_29!$DO$13&gt;0,1,0)</f>
        <v>0</v>
      </c>
      <c r="BE32" s="1608">
        <f>IF(S_29!$DP$13&gt;0,1,0)</f>
        <v>0</v>
      </c>
      <c r="BF32" s="1608">
        <f>IF(S_29!$DQ$13&gt;0,1,0)</f>
        <v>0</v>
      </c>
      <c r="BG32" s="1608">
        <f>IF(S_29!$DR$13&gt;0,1,0)</f>
        <v>0</v>
      </c>
      <c r="BH32" s="1608">
        <f>IF(S_29!$DS$13&gt;0,1,0)</f>
        <v>0</v>
      </c>
      <c r="BI32" s="1608">
        <f t="shared" si="9"/>
        <v>0</v>
      </c>
      <c r="BJ32" s="1106" t="str">
        <f t="shared" si="10"/>
        <v/>
      </c>
      <c r="BK32" s="2259" t="str">
        <f t="shared" si="11"/>
        <v/>
      </c>
      <c r="BL32" s="2259" t="str">
        <f t="shared" si="12"/>
        <v/>
      </c>
      <c r="BN32" s="747">
        <f>S_29!$DE$13</f>
        <v>0</v>
      </c>
      <c r="BO32" s="747">
        <f>S_29!$DM$13</f>
        <v>0</v>
      </c>
      <c r="BP32" s="747">
        <f>S_29!$CP$13</f>
        <v>0</v>
      </c>
      <c r="BQ32" s="747">
        <f>S_29!$CQ$13</f>
        <v>0</v>
      </c>
      <c r="BR32" s="1610" t="e">
        <f>BP32/Betrieb!$E$23</f>
        <v>#DIV/0!</v>
      </c>
      <c r="BS32" s="1610" t="e">
        <f>BQ32/Betrieb!$E$24</f>
        <v>#DIV/0!</v>
      </c>
      <c r="BT32" s="1615" t="str">
        <f t="shared" si="13"/>
        <v/>
      </c>
      <c r="BU32" s="1615" t="str">
        <f t="shared" si="14"/>
        <v/>
      </c>
      <c r="BV32" s="747">
        <f>IF(AND(S_29!$G$8="JA",S_29!$K$8="NEIN"),S_29!$U$13,0)</f>
        <v>0</v>
      </c>
      <c r="BW32" s="1769">
        <f>IF(AND(S_29!$G$8="JA",S_29!$K$8="NEIN"),S_29!$V$13,0)</f>
        <v>0</v>
      </c>
      <c r="BX32" s="1087" t="str">
        <f t="shared" si="15"/>
        <v/>
      </c>
      <c r="BY32" s="1087" t="str">
        <f t="shared" si="16"/>
        <v/>
      </c>
    </row>
    <row r="33" spans="1:77" ht="20.25" hidden="1" customHeight="1" thickBot="1">
      <c r="A33" s="1775"/>
      <c r="C33" s="1776" t="str">
        <f t="array" ref="C33">IFERROR(IF(ROW($C$1)&gt;COUNTA($Y$4:$Y$33),"",INDEX($Y:$Y,SMALL(IF(Y$4:Y$33&lt;&gt;"",ROW($4:$33)),ROW(C30)))),"")</f>
        <v/>
      </c>
      <c r="D33" s="1775" t="str">
        <f t="array" ref="D33">IFERROR(IF(ROW($D$1)&gt;COUNTA($V$4:$V$33),"",INDEX($V:$V,SMALL(IF(V$4:V$33&lt;&gt;"",ROW($4:$33)),ROW(B30)))),"")</f>
        <v/>
      </c>
      <c r="E33" s="1781" t="str">
        <f t="array" ref="E33">IFERROR(IF(ROW($E$1)&gt;COUNTA($W$4:$W$33),"",INDEX($W:$W,SMALL(IF(W$4:W$33&lt;&gt;"",ROW($4:$33)),ROW(C30)))),"")</f>
        <v/>
      </c>
      <c r="F33" s="1776" t="str">
        <f t="array" ref="F33">IFERROR(IF(ROW($F$1)&gt;COUNTA($AA$4:$AA$33),"",INDEX($AA:$AA,SMALL(IF(AA$4:AA$33&lt;&gt;"",ROW($4:$33)),ROW(D30)))),"")</f>
        <v/>
      </c>
      <c r="G33" s="1777" t="str">
        <f t="array" ref="G33">IFERROR(IF(ROW($G$1)&gt;COUNTA($AC$4:$AC$33),"",INDEX($AC:$AC,SMALL(IF(AC$4:AC$33&lt;&gt;"",ROW($4:$33)),ROW(E30)))),"")</f>
        <v/>
      </c>
      <c r="H33" s="1782" t="str">
        <f t="array" ref="H33">IFERROR(IF(ROW($H$1)&gt;COUNTA($BT$4:$BT$33),"",INDEX($BT:$BT,SMALL(IF(BT$4:BT$33&lt;&gt;"",ROW($4:$33)),ROW(F30)))),"")</f>
        <v/>
      </c>
      <c r="I33" s="1783" t="str">
        <f t="array" ref="I33">IFERROR(IF(ROW($I$1)&gt;COUNTA($AZ$4:$AZ$33),"",INDEX($AZ:$AZ,SMALL(IF(AZ$4:AZ$33&lt;&gt;"",ROW($4:$33)),ROW(G30)))),"")</f>
        <v/>
      </c>
      <c r="J33" s="1782" t="str">
        <f t="array" ref="J33">IFERROR(IF(ROW($J$1)&gt;COUNTA($BA$4:$BA$33),"",INDEX($BA:$BA,SMALL(IF(BA$4:BA$33&lt;&gt;"",ROW($4:$33)),ROW(H30)))),"")</f>
        <v/>
      </c>
      <c r="K33" s="1784" t="str">
        <f t="array" ref="K33">IFERROR(IF(ROW($K$1)&gt;COUNTA($BB$4:$BB$33),"",INDEX($BB:$BB,SMALL(IF(BB$4:BB$33&lt;&gt;"",ROW($4:$33)),ROW(I30)))),"")</f>
        <v/>
      </c>
      <c r="L33" s="1779"/>
      <c r="M33" s="1782" t="str">
        <f t="array" ref="M33">IFERROR(IF(ROW($M$1)&gt;COUNTA($BU$4:$BU$33),"",INDEX($BU:$BU,SMALL(IF(BU$4:BU$33&lt;&gt;"",ROW($4:$33)),ROW(K30)))),"")</f>
        <v/>
      </c>
      <c r="N33" s="1783" t="str">
        <f t="array" ref="N33">IFERROR(IF(ROW($N$1)&gt;COUNTA($BJ$4:$BJ$33),"",INDEX($BJ:$BJ,SMALL(IF(BJ$4:BJ$33&lt;&gt;"",ROW($4:$33)),ROW(L30)))),"")</f>
        <v/>
      </c>
      <c r="O33" s="1782" t="str">
        <f t="array" ref="O33">IFERROR(IF(ROW($O$1)&gt;COUNTA($BK$4:$BK$33),"",INDEX($BK:$BK,SMALL(IF(BK$4:BK$33&lt;&gt;"",ROW($4:$33)),ROW(M30)))),"")</f>
        <v/>
      </c>
      <c r="P33" s="1784" t="str">
        <f t="array" ref="P33">IFERROR(IF(ROW($P$1)&gt;COUNTA($BL$4:$BL$33),"",INDEX($BL:$BL,SMALL(IF(BL$4:BL$33&lt;&gt;"",ROW($4:$33)),ROW(N30)))),"")</f>
        <v/>
      </c>
      <c r="Q33" s="1775"/>
      <c r="R33" s="1775"/>
      <c r="S33" s="1775"/>
      <c r="T33" s="1775"/>
      <c r="U33" s="1608" t="str">
        <f>IF(AND(S_30!$G$8="ja",S_30!$K$8="nein"),S_30!$C$2,"")</f>
        <v/>
      </c>
      <c r="V33" s="747" t="str">
        <f t="shared" si="1"/>
        <v/>
      </c>
      <c r="W33" s="1106" t="str">
        <f>IF($U33="","",S_30!$B$13)</f>
        <v/>
      </c>
      <c r="Y33" s="1106" t="str">
        <f>IF($U33="","",Grünland!B34)</f>
        <v/>
      </c>
      <c r="Z33" s="1608" t="str">
        <f>IF($U33="","",S_30!C13)</f>
        <v/>
      </c>
      <c r="AA33" s="747" t="str">
        <f t="shared" si="2"/>
        <v/>
      </c>
      <c r="AB33" s="1608" t="str">
        <f>IF($U33="","",S_30!CM13)</f>
        <v/>
      </c>
      <c r="AC33" s="747" t="str">
        <f t="shared" si="3"/>
        <v/>
      </c>
      <c r="AD33" s="747" t="str">
        <f>IF($U33="","",S_30!E13)</f>
        <v/>
      </c>
      <c r="AE33" s="747" t="str">
        <f>IF($U33="","",S_30!F13)</f>
        <v/>
      </c>
      <c r="AF33" s="747" t="str">
        <f>IF($U33="","",S_30!G13)</f>
        <v/>
      </c>
      <c r="AG33" s="747" t="str">
        <f>IF($U33="","",S_30!H13)</f>
        <v/>
      </c>
      <c r="AH33" s="747" t="str">
        <f>IF($U33="","",S_30!I13)</f>
        <v/>
      </c>
      <c r="AI33" s="747" t="str">
        <f>IF($U33="","",S_30!J13)</f>
        <v/>
      </c>
      <c r="AJ33" s="747" t="str">
        <f>IF($U33="","",S_30!K13)</f>
        <v/>
      </c>
      <c r="AK33" s="747" t="str">
        <f>IF($U33="","",S_30!L13)</f>
        <v/>
      </c>
      <c r="AL33" s="747" t="str">
        <f>IF($U33="","",S_30!M13)</f>
        <v/>
      </c>
      <c r="AM33" s="747" t="str">
        <f>IF($U33="","",S_30!N13)</f>
        <v/>
      </c>
      <c r="AN33" s="747" t="str">
        <f>IF($U33="","",S_30!O13)</f>
        <v/>
      </c>
      <c r="AO33" s="747" t="str">
        <f>IF($U33="","",S_30!P13)</f>
        <v/>
      </c>
      <c r="AQ33" s="1608">
        <f>IF(S_30!$DF$13&gt;0,1,0)</f>
        <v>0</v>
      </c>
      <c r="AR33" s="1608">
        <f>IF(S_30!$DG$13&gt;0,1,0)</f>
        <v>0</v>
      </c>
      <c r="AS33" s="1608">
        <f>IF(S_30!$DH$13&gt;0,1,0)</f>
        <v>0</v>
      </c>
      <c r="AT33" s="1608">
        <f>IF(S_30!$DI$13&gt;0,1,0)</f>
        <v>0</v>
      </c>
      <c r="AU33" s="1608">
        <f>IF(S_30!$DJ$13&gt;0,1,0)</f>
        <v>0</v>
      </c>
      <c r="AV33" s="1608">
        <f>IF(S_30!$DK$13&gt;0,1,0)</f>
        <v>0</v>
      </c>
      <c r="AW33" s="1608">
        <f t="shared" si="4"/>
        <v>0</v>
      </c>
      <c r="AX33" s="1608" t="str">
        <f t="shared" si="5"/>
        <v/>
      </c>
      <c r="AY33" s="1106" t="str">
        <f t="shared" si="0"/>
        <v/>
      </c>
      <c r="AZ33" s="1106" t="str">
        <f t="shared" si="6"/>
        <v/>
      </c>
      <c r="BA33" s="2259" t="str">
        <f t="shared" si="7"/>
        <v/>
      </c>
      <c r="BB33" s="2259" t="str">
        <f t="shared" si="8"/>
        <v/>
      </c>
      <c r="BC33" s="1608">
        <f>IF(S_30!$DN$13&gt;0,1,0)</f>
        <v>0</v>
      </c>
      <c r="BD33" s="1608">
        <f>IF(S_30!$DO$13&gt;0,1,0)</f>
        <v>0</v>
      </c>
      <c r="BE33" s="1608">
        <f>IF(S_30!$DP$13&gt;0,1,0)</f>
        <v>0</v>
      </c>
      <c r="BF33" s="1608">
        <f>IF(S_30!$DQ$13&gt;0,1,0)</f>
        <v>0</v>
      </c>
      <c r="BG33" s="1608">
        <f>IF(S_30!$DR$13&gt;0,1,0)</f>
        <v>0</v>
      </c>
      <c r="BH33" s="1608">
        <f>IF(S_30!$DS$13&gt;0,1,0)</f>
        <v>0</v>
      </c>
      <c r="BI33" s="1608">
        <f t="shared" si="9"/>
        <v>0</v>
      </c>
      <c r="BJ33" s="1106" t="str">
        <f t="shared" si="10"/>
        <v/>
      </c>
      <c r="BK33" s="2259" t="str">
        <f t="shared" si="11"/>
        <v/>
      </c>
      <c r="BL33" s="2259" t="str">
        <f t="shared" si="12"/>
        <v/>
      </c>
      <c r="BN33" s="747">
        <f>S_30!$DE$13</f>
        <v>0</v>
      </c>
      <c r="BO33" s="747">
        <f>S_30!$DM$13</f>
        <v>0</v>
      </c>
      <c r="BP33" s="747">
        <f>S_30!$CP$13</f>
        <v>0</v>
      </c>
      <c r="BQ33" s="747">
        <f>S_30!$CQ$13</f>
        <v>0</v>
      </c>
      <c r="BR33" s="1610" t="e">
        <f>BP33/Betrieb!$E$23</f>
        <v>#DIV/0!</v>
      </c>
      <c r="BS33" s="1610" t="e">
        <f>BQ33/Betrieb!$E$24</f>
        <v>#DIV/0!</v>
      </c>
      <c r="BT33" s="1615" t="str">
        <f t="shared" si="13"/>
        <v/>
      </c>
      <c r="BU33" s="1615" t="str">
        <f t="shared" si="14"/>
        <v/>
      </c>
      <c r="BV33" s="1604">
        <f>IF(AND(S_30!$G$8="JA",S_30!$K$8="NEIN"),S_30!$U$13,0)</f>
        <v>0</v>
      </c>
      <c r="BW33" s="1770">
        <f>IF(AND(S_30!$G$8="JA",S_30!$K$8="NEIN"),S_30!$V$13,0)</f>
        <v>0</v>
      </c>
      <c r="BX33" s="1771" t="str">
        <f t="shared" si="15"/>
        <v/>
      </c>
      <c r="BY33" s="1771" t="str">
        <f t="shared" si="16"/>
        <v/>
      </c>
    </row>
    <row r="34" spans="1:77" ht="20.25" customHeight="1" thickBot="1">
      <c r="A34" s="1775"/>
      <c r="C34" s="1776"/>
      <c r="D34" s="1775"/>
      <c r="E34" s="1776"/>
      <c r="F34" s="1776"/>
      <c r="G34" s="1777"/>
      <c r="H34" s="1775"/>
      <c r="I34" s="1778"/>
      <c r="J34" s="1775"/>
      <c r="K34" s="1779"/>
      <c r="L34" s="1779"/>
      <c r="M34" s="1776"/>
      <c r="N34" s="1778"/>
      <c r="O34" s="1776"/>
      <c r="P34" s="1779"/>
      <c r="Q34" s="1775"/>
      <c r="R34" s="1775"/>
      <c r="S34" s="1775"/>
      <c r="T34" s="1775"/>
      <c r="AX34" s="1608"/>
      <c r="AY34" s="1106"/>
      <c r="AZ34" s="1106"/>
      <c r="BA34" s="2259"/>
      <c r="BB34" s="2259"/>
      <c r="BJ34" s="1106"/>
      <c r="BK34" s="2259"/>
      <c r="BL34" s="2259"/>
      <c r="BT34" s="1615"/>
      <c r="BU34" s="1615"/>
      <c r="BV34" s="1772"/>
      <c r="BW34" s="1773"/>
      <c r="BX34" s="2572">
        <f>SUM(BX4:BX33)+SUM(BY4:BY33)</f>
        <v>0</v>
      </c>
      <c r="BY34" s="2573"/>
    </row>
    <row r="35" spans="1:77" ht="21.75" customHeight="1" thickBot="1">
      <c r="A35" s="2582" t="s">
        <v>1426</v>
      </c>
      <c r="B35" s="2583"/>
      <c r="C35" s="2583"/>
      <c r="D35" s="2583"/>
      <c r="E35" s="2583"/>
      <c r="F35" s="2583"/>
      <c r="G35" s="2583"/>
      <c r="H35" s="2583"/>
      <c r="I35" s="2583"/>
      <c r="J35" s="2583"/>
      <c r="K35" s="2583"/>
      <c r="L35" s="2583"/>
      <c r="M35" s="2583"/>
      <c r="N35" s="2583"/>
      <c r="O35" s="2583"/>
      <c r="P35" s="2584"/>
      <c r="Q35" s="1775"/>
      <c r="R35" s="2607" t="s">
        <v>1429</v>
      </c>
      <c r="S35" s="1775"/>
      <c r="T35" s="1775"/>
      <c r="AX35" s="1608"/>
      <c r="AY35" s="1106"/>
      <c r="AZ35" s="1106"/>
      <c r="BA35" s="2259"/>
      <c r="BB35" s="2259"/>
      <c r="BJ35" s="1106"/>
      <c r="BK35" s="2259"/>
      <c r="BL35" s="2259"/>
      <c r="BT35" s="1615"/>
      <c r="BU35" s="1615"/>
      <c r="BW35" s="1087"/>
    </row>
    <row r="36" spans="1:77" ht="20.25" customHeight="1" thickBot="1">
      <c r="A36" s="2580" t="s">
        <v>1424</v>
      </c>
      <c r="B36" s="2581"/>
      <c r="C36" s="2581"/>
      <c r="D36" s="2581"/>
      <c r="E36" s="1795" t="s">
        <v>10</v>
      </c>
      <c r="F36" s="1758" t="s">
        <v>1422</v>
      </c>
      <c r="G36" s="1794" t="s">
        <v>1423</v>
      </c>
      <c r="H36" s="2598" t="s">
        <v>1421</v>
      </c>
      <c r="I36" s="2599"/>
      <c r="J36" s="2599"/>
      <c r="K36" s="2599"/>
      <c r="L36" s="1679"/>
      <c r="M36" s="2598" t="s">
        <v>1420</v>
      </c>
      <c r="N36" s="2599"/>
      <c r="O36" s="2599"/>
      <c r="P36" s="2600"/>
      <c r="Q36" s="1775"/>
      <c r="R36" s="2608"/>
      <c r="S36" s="1775"/>
      <c r="T36" s="1775"/>
      <c r="AX36" s="1608"/>
      <c r="AY36" s="1106"/>
      <c r="AZ36" s="1106"/>
      <c r="BA36" s="2259"/>
      <c r="BB36" s="2259"/>
      <c r="BJ36" s="1106"/>
      <c r="BK36" s="2259"/>
      <c r="BL36" s="2259"/>
      <c r="BT36" s="1615"/>
      <c r="BU36" s="1615"/>
      <c r="BW36" s="1087"/>
    </row>
    <row r="37" spans="1:77" ht="20.25" customHeight="1">
      <c r="A37" s="2595" t="str">
        <f t="array" ref="A37">IFERROR(IF(ROW($C$1)&gt;COUNTA($X$37:$X$96),"",INDEX($X:$X,SMALL(IF(X$37:X$96&lt;&gt;"",ROW($37:$96)),ROW(C1)))),"")</f>
        <v/>
      </c>
      <c r="B37" s="2596"/>
      <c r="C37" s="2596"/>
      <c r="D37" s="1740" t="str">
        <f t="array" ref="D37">IFERROR(IF(ROW($D$1)&gt;COUNTA($V$37:$V$96),"",INDEX($V:$V,SMALL(IF(V$37:V$96&lt;&gt;"",ROW($37:$96)),ROW(D1)))),"")</f>
        <v/>
      </c>
      <c r="E37" s="1741" t="str">
        <f t="array" ref="E37">IFERROR(IF(ROW($E$1)&gt;COUNTA($W$37:$W$96),"",INDEX($W:$W,SMALL(IF(W$37:W$96&lt;&gt;"",ROW($37:$96)),ROW(E1)))),"")</f>
        <v/>
      </c>
      <c r="F37" s="1759" t="str">
        <f t="array" ref="F37">IFERROR(IF(ROW($F$1)&gt;COUNTA($AA$37:$AA$96),"",INDEX($AA:$AA,SMALL(IF(AA$37:AA$96&lt;&gt;"",ROW($37:$96)),ROW(F1)))),"")</f>
        <v/>
      </c>
      <c r="G37" s="1657" t="str">
        <f t="array" ref="G37">IFERROR(IF(ROW($G$1)&gt;COUNTA($AC$37:$AC$96),"",INDEX($AC:$AC,SMALL(IF(AC$37:AC$96&lt;&gt;"",ROW($37:$96)),ROW(G1)))),"")</f>
        <v/>
      </c>
      <c r="H37" s="1661" t="str">
        <f t="array" ref="H37">IFERROR(IF(ROW($H$1)&gt;COUNTA($BT$37:$BT$96),"",INDEX($BT:$BT,SMALL(IF(BT$37:BT$96&lt;&gt;"",ROW($37:$96)),ROW(H1)))),"")</f>
        <v/>
      </c>
      <c r="I37" s="1662" t="str">
        <f t="array" ref="I37">IFERROR(IF(ROW($I$1)&gt;COUNTA($AZ$37:$AZ$96),"",INDEX($AZ:$AZ,SMALL(IF(AZ$37:AZ$96&lt;&gt;"",ROW($37:$96)),ROW(I1)))),"")</f>
        <v/>
      </c>
      <c r="J37" s="1663" t="str">
        <f t="array" ref="J37">IFERROR(IF(ROW($J$1)&gt;COUNTA($BA$37:$BA$96),"",INDEX($BA:$BA,SMALL(IF(BA$37:BA$96&lt;&gt;"",ROW($37:$96)),ROW(J1)))),"")</f>
        <v/>
      </c>
      <c r="K37" s="1684" t="str">
        <f t="array" ref="K37">IFERROR(IF(ROW($K$1)&gt;COUNTA($BB$37:$BB$96),"",INDEX($BB:$BB,SMALL(IF(BB$37:BB$96&lt;&gt;"",ROW($37:$96)),ROW(K1)))),"")</f>
        <v/>
      </c>
      <c r="L37" s="1683"/>
      <c r="M37" s="1661" t="str">
        <f t="array" ref="M37">IFERROR(IF(ROW($M$1)&gt;COUNTA($BU$37:$BU$96),"",INDEX($BU:$BU,SMALL(IF(BU$37:BU$96&lt;&gt;"",ROW($37:$96)),ROW(M1)))),"")</f>
        <v/>
      </c>
      <c r="N37" s="1662" t="str">
        <f t="array" ref="N37">IFERROR(IF(ROW($N$1)&gt;COUNTA($BJ$37:$BJ$96),"",INDEX($BJ:$BJ,SMALL(IF(BJ$37:BJ$96&lt;&gt;"",ROW($37:$96)),ROW(N1)))),"")</f>
        <v/>
      </c>
      <c r="O37" s="1663" t="str">
        <f t="array" ref="O37">IFERROR(IF(ROW($O$1)&gt;COUNTA($BK$37:$BK$96),"",INDEX($BK:$BK,SMALL(IF(BK$37:BK$96&lt;&gt;"",ROW($37:$96)),ROW(O1)))),"")</f>
        <v/>
      </c>
      <c r="P37" s="1700" t="str">
        <f t="array" ref="P37">IFERROR(IF(ROW($P$1)&gt;COUNTA($BL$37:$BL$96),"",INDEX($BL:$BL,SMALL(IF(BL$37:BL$96&lt;&gt;"",ROW($37:$96)),ROW(P1)))),"")</f>
        <v/>
      </c>
      <c r="Q37" s="1775"/>
      <c r="R37" s="2608"/>
      <c r="S37" s="1775"/>
      <c r="T37" s="1775"/>
      <c r="U37" s="1608" t="str">
        <f>IF(AND(S_1!$G$8="ja",S_1!$K$8="ja"),S_1!$C$2,"")</f>
        <v/>
      </c>
      <c r="V37" s="747" t="str">
        <f>IF(U37="-","",U37)</f>
        <v/>
      </c>
      <c r="W37" s="1106" t="str">
        <f>IF($U37="","",S_1!$B$14)</f>
        <v/>
      </c>
      <c r="X37" s="1608" t="str">
        <f>IF($U37="","",S_1!$A$14)</f>
        <v/>
      </c>
      <c r="Y37" s="2604" t="str">
        <f>IF($U37="","",Grünland!B5)</f>
        <v/>
      </c>
      <c r="Z37" s="1608" t="str">
        <f>IF($U37="","",S_1!$C$14)</f>
        <v/>
      </c>
      <c r="AA37" s="747" t="str">
        <f>IF(Z37=0,"-",Z37)</f>
        <v/>
      </c>
      <c r="AB37" s="1608" t="str">
        <f>IF($U37="","",S_1!$CM$14)</f>
        <v/>
      </c>
      <c r="AC37" s="747" t="str">
        <f>IF(AB37=0,"",AB37)</f>
        <v/>
      </c>
      <c r="AQ37" s="1608">
        <f>IF(S_1!$DF$14&gt;0,1,0)</f>
        <v>0</v>
      </c>
      <c r="AR37" s="1608">
        <f>IF(S_1!$DG$14&gt;0,1,0)</f>
        <v>0</v>
      </c>
      <c r="AS37" s="1608">
        <f>IF(S_1!$DH$14&gt;0,1,0)</f>
        <v>0</v>
      </c>
      <c r="AT37" s="1608">
        <f>IF(S_1!$DI$14&gt;0,1,0)</f>
        <v>0</v>
      </c>
      <c r="AU37" s="1608">
        <f>IF(S_1!$DJ$14&gt;0,1,0)</f>
        <v>0</v>
      </c>
      <c r="AV37" s="1608">
        <f>IF(S_1!$DK$14&gt;0,1,0)</f>
        <v>0</v>
      </c>
      <c r="AW37" s="1608">
        <f>AQ37+AR37+AS37+AT37+AU37+AV37</f>
        <v>0</v>
      </c>
      <c r="AX37" s="1608" t="str">
        <f t="shared" si="5"/>
        <v/>
      </c>
      <c r="AY37" s="1106" t="str">
        <f t="shared" si="0"/>
        <v/>
      </c>
      <c r="AZ37" s="1106" t="str">
        <f t="shared" si="6"/>
        <v/>
      </c>
      <c r="BA37" s="2259" t="str">
        <f t="shared" si="7"/>
        <v/>
      </c>
      <c r="BB37" s="2259" t="str">
        <f t="shared" si="8"/>
        <v/>
      </c>
      <c r="BC37" s="1608">
        <f>IF(S_1!$DN$14&gt;0,1,0)</f>
        <v>0</v>
      </c>
      <c r="BD37" s="1608">
        <f>IF(S_1!$DO$14&gt;0,1,0)</f>
        <v>0</v>
      </c>
      <c r="BE37" s="1608">
        <f>IF(S_1!$DP$14&gt;0,1,0)</f>
        <v>0</v>
      </c>
      <c r="BF37" s="1608">
        <f>IF(S_1!$DQ$14&gt;0,1,0)</f>
        <v>0</v>
      </c>
      <c r="BG37" s="1608">
        <f>IF(S_1!$DR$14&gt;0,1,0)</f>
        <v>0</v>
      </c>
      <c r="BH37" s="1608">
        <f>IF(S_1!$DS$14&gt;0,1,0)</f>
        <v>0</v>
      </c>
      <c r="BI37" s="1608">
        <f>BC37+BD37+BE37+BF37+BG37+BH37</f>
        <v>0</v>
      </c>
      <c r="BJ37" s="1106" t="str">
        <f t="shared" si="10"/>
        <v/>
      </c>
      <c r="BK37" s="2259" t="str">
        <f t="shared" si="11"/>
        <v/>
      </c>
      <c r="BL37" s="2259" t="str">
        <f t="shared" si="12"/>
        <v/>
      </c>
      <c r="BN37" s="747">
        <f>S_1!$DE$14</f>
        <v>0</v>
      </c>
      <c r="BO37" s="747">
        <f>S_1!$DM$14</f>
        <v>0</v>
      </c>
      <c r="BP37" s="747">
        <f>S_1!$CP$14</f>
        <v>0</v>
      </c>
      <c r="BQ37" s="747">
        <f>S_1!$CQ$14</f>
        <v>0</v>
      </c>
      <c r="BR37" s="1610" t="e">
        <f>BP37/Betrieb!$E$23</f>
        <v>#DIV/0!</v>
      </c>
      <c r="BS37" s="1610" t="e">
        <f>BQ37/Betrieb!$E$24</f>
        <v>#DIV/0!</v>
      </c>
      <c r="BT37" s="1615" t="str">
        <f t="shared" si="13"/>
        <v/>
      </c>
      <c r="BU37" s="1615" t="str">
        <f t="shared" si="14"/>
        <v/>
      </c>
      <c r="BV37" s="2569">
        <f>IF(AND(S_1!$G$8="JA",S_1!$K$8="JA"),S_1!$U$14,0)</f>
        <v>0</v>
      </c>
      <c r="BW37" s="2570">
        <f>IF(AND(S_1!$G$8="JA",S_1!$K$8="JA"),S_1!$V$14,0)</f>
        <v>0</v>
      </c>
      <c r="BX37" s="2566" t="str">
        <f>IF(BV37="-",0-BW37,"")</f>
        <v/>
      </c>
      <c r="BY37" s="2566" t="str">
        <f>IF(BV37="+",0+BW37,"")</f>
        <v/>
      </c>
    </row>
    <row r="38" spans="1:77" ht="20.25" customHeight="1">
      <c r="A38" s="2595" t="str">
        <f t="array" ref="A38">IFERROR(IF(ROW($C$1)&gt;COUNTA($X$37:$X$96),"",INDEX($X:$X,SMALL(IF(X$37:X$96&lt;&gt;"",ROW($37:$96)),ROW(C2)))),"")</f>
        <v/>
      </c>
      <c r="B38" s="2596"/>
      <c r="C38" s="2596"/>
      <c r="D38" s="1740" t="str">
        <f t="array" ref="D38">IFERROR(IF(ROW($D$1)&gt;COUNTA($V$37:$V$96),"",INDEX($V:$V,SMALL(IF(V$37:V$96&lt;&gt;"",ROW($37:$96)),ROW(D2)))),"")</f>
        <v/>
      </c>
      <c r="E38" s="1741" t="str">
        <f t="array" ref="E38">IFERROR(IF(ROW($E$1)&gt;COUNTA($W$37:$W$96),"",INDEX($W:$W,SMALL(IF(W$37:W$96&lt;&gt;"",ROW($37:$96)),ROW(E2)))),"")</f>
        <v/>
      </c>
      <c r="F38" s="1759" t="str">
        <f t="array" ref="F38">IFERROR(IF(ROW($F$1)&gt;COUNTA($AA$37:$AA$96),"",INDEX($AA:$AA,SMALL(IF(AA$37:AA$96&lt;&gt;"",ROW($37:$96)),ROW(F2)))),"")</f>
        <v/>
      </c>
      <c r="G38" s="1657" t="str">
        <f t="array" ref="G38">IFERROR(IF(ROW($G$1)&gt;COUNTA($AC$37:$AC$96),"",INDEX($AC:$AC,SMALL(IF(AC$37:AC$96&lt;&gt;"",ROW($37:$96)),ROW(G2)))),"")</f>
        <v/>
      </c>
      <c r="H38" s="1661" t="str">
        <f t="array" ref="H38">IFERROR(IF(ROW($H$1)&gt;COUNTA($BT$37:$BT$96),"",INDEX($BT:$BT,SMALL(IF(BT$37:BT$96&lt;&gt;"",ROW($37:$96)),ROW(H2)))),"")</f>
        <v/>
      </c>
      <c r="I38" s="1662" t="str">
        <f t="array" ref="I38">IFERROR(IF(ROW($I$1)&gt;COUNTA($AZ$37:$AZ$96),"",INDEX($AZ:$AZ,SMALL(IF(AZ$37:AZ$96&lt;&gt;"",ROW($37:$96)),ROW(I2)))),"")</f>
        <v/>
      </c>
      <c r="J38" s="1663" t="str">
        <f t="array" ref="J38">IFERROR(IF(ROW($J$1)&gt;COUNTA($BA$37:$BA$96),"",INDEX($BA:$BA,SMALL(IF(BA$37:BA$96&lt;&gt;"",ROW($37:$96)),ROW(J2)))),"")</f>
        <v/>
      </c>
      <c r="K38" s="1684" t="str">
        <f t="array" ref="K38">IFERROR(IF(ROW($K$1)&gt;COUNTA($BB$37:$BB$96),"",INDEX($BB:$BB,SMALL(IF(BB$37:BB$96&lt;&gt;"",ROW($37:$96)),ROW(K2)))),"")</f>
        <v/>
      </c>
      <c r="L38" s="1683"/>
      <c r="M38" s="1661" t="str">
        <f t="array" ref="M38">IFERROR(IF(ROW($M$1)&gt;COUNTA($BU$37:$BU$96),"",INDEX($BU:$BU,SMALL(IF(BU$37:BU$96&lt;&gt;"",ROW($37:$96)),ROW(M2)))),"")</f>
        <v/>
      </c>
      <c r="N38" s="1662" t="str">
        <f t="array" ref="N38">IFERROR(IF(ROW($N$1)&gt;COUNTA($BJ$37:$BJ$96),"",INDEX($BJ:$BJ,SMALL(IF(BJ$37:BJ$96&lt;&gt;"",ROW($37:$96)),ROW(N2)))),"")</f>
        <v/>
      </c>
      <c r="O38" s="1663" t="str">
        <f t="array" ref="O38">IFERROR(IF(ROW($O$1)&gt;COUNTA($BK$37:$BK$96),"",INDEX($BK:$BK,SMALL(IF(BK$37:BK$96&lt;&gt;"",ROW($37:$96)),ROW(O2)))),"")</f>
        <v/>
      </c>
      <c r="P38" s="1700" t="str">
        <f t="array" ref="P38">IFERROR(IF(ROW($P$1)&gt;COUNTA($BL$37:$BL$96),"",INDEX($BL:$BL,SMALL(IF(BL$37:BL$96&lt;&gt;"",ROW($37:$96)),ROW(P2)))),"")</f>
        <v/>
      </c>
      <c r="Q38" s="1775"/>
      <c r="R38" s="2608"/>
      <c r="S38" s="1775"/>
      <c r="T38" s="1775"/>
      <c r="U38" s="1608" t="str">
        <f>IF(AND(S_1!$G$8="ja",S_1!$K$8="ja"),S_1!$C$2,"")</f>
        <v/>
      </c>
      <c r="V38" s="747" t="str">
        <f t="shared" ref="V38:V97" si="17">IF(U38="-","",U38)</f>
        <v/>
      </c>
      <c r="W38" s="1106" t="str">
        <f>IF($U38="","",S_1!$B$15)</f>
        <v/>
      </c>
      <c r="X38" s="1608" t="str">
        <f>IF($U38="","",S_1!$A$15)</f>
        <v/>
      </c>
      <c r="Y38" s="2604"/>
      <c r="Z38" s="1608" t="str">
        <f>IF($U38="","",S_1!$C$15)</f>
        <v/>
      </c>
      <c r="AA38" s="747" t="str">
        <f t="shared" ref="AA38:AA96" si="18">IF(Z38=0,"-",Z38)</f>
        <v/>
      </c>
      <c r="AB38" s="1608" t="str">
        <f>IF($U38="","",S_1!$CM$15)</f>
        <v/>
      </c>
      <c r="AC38" s="747" t="str">
        <f t="shared" ref="AC38:AC96" si="19">IF(AB38=0,"",AB38)</f>
        <v/>
      </c>
      <c r="AQ38" s="1608">
        <f>IF(S_1!$DF$15&gt;0,1,0)</f>
        <v>0</v>
      </c>
      <c r="AR38" s="1608">
        <f>IF(S_1!$DG$15&gt;0,1,0)</f>
        <v>0</v>
      </c>
      <c r="AS38" s="1608">
        <f>IF(S_1!$DH$15&gt;0,1,0)</f>
        <v>0</v>
      </c>
      <c r="AT38" s="1608">
        <f>IF(S_1!$DI$15&gt;0,1,0)</f>
        <v>0</v>
      </c>
      <c r="AU38" s="1608">
        <f>IF(S_1!$DJ$15&gt;0,1,0)</f>
        <v>0</v>
      </c>
      <c r="AV38" s="1608">
        <f>IF(S_1!$DK$15&gt;0,1,0)</f>
        <v>0</v>
      </c>
      <c r="AW38" s="1608">
        <f>AQ38+AR38+AS38+AT38+AU38+AV38</f>
        <v>0</v>
      </c>
      <c r="AX38" s="1608" t="str">
        <f t="shared" si="5"/>
        <v/>
      </c>
      <c r="AY38" s="1106" t="str">
        <f t="shared" si="0"/>
        <v/>
      </c>
      <c r="AZ38" s="1106" t="str">
        <f t="shared" si="6"/>
        <v/>
      </c>
      <c r="BA38" s="2259" t="str">
        <f t="shared" si="7"/>
        <v/>
      </c>
      <c r="BB38" s="2259" t="str">
        <f t="shared" si="8"/>
        <v/>
      </c>
      <c r="BC38" s="1608">
        <f>IF(S_1!$DN$15&gt;0,1,0)</f>
        <v>0</v>
      </c>
      <c r="BD38" s="1608">
        <f>IF(S_1!$DO$15&gt;0,1,0)</f>
        <v>0</v>
      </c>
      <c r="BE38" s="1608">
        <f>IF(S_1!$DP$15&gt;0,1,0)</f>
        <v>0</v>
      </c>
      <c r="BF38" s="1608">
        <f>IF(S_1!$DQ$15&gt;0,1,0)</f>
        <v>0</v>
      </c>
      <c r="BG38" s="1608">
        <f>IF(S_1!$DR$15&gt;0,1,0)</f>
        <v>0</v>
      </c>
      <c r="BH38" s="1608">
        <f>IF(S_1!$DS$15&gt;0,1,0)</f>
        <v>0</v>
      </c>
      <c r="BI38" s="1608">
        <f>BC38+BD38+BE38+BF38+BG38+BH38</f>
        <v>0</v>
      </c>
      <c r="BJ38" s="1106" t="str">
        <f t="shared" si="10"/>
        <v/>
      </c>
      <c r="BK38" s="2259" t="str">
        <f t="shared" si="11"/>
        <v/>
      </c>
      <c r="BL38" s="2259" t="str">
        <f t="shared" si="12"/>
        <v/>
      </c>
      <c r="BN38" s="747">
        <f>S_1!$DE$15</f>
        <v>0</v>
      </c>
      <c r="BO38" s="747">
        <f>S_1!$DM$15</f>
        <v>0</v>
      </c>
      <c r="BP38" s="747">
        <f>S_1!$CP$15</f>
        <v>0</v>
      </c>
      <c r="BQ38" s="747">
        <f>S_1!$CQ$15</f>
        <v>0</v>
      </c>
      <c r="BR38" s="1610" t="e">
        <f>BP38/Betrieb!$E$23</f>
        <v>#DIV/0!</v>
      </c>
      <c r="BS38" s="1610" t="e">
        <f>BQ38/Betrieb!$E$24</f>
        <v>#DIV/0!</v>
      </c>
      <c r="BT38" s="1615" t="str">
        <f t="shared" si="13"/>
        <v/>
      </c>
      <c r="BU38" s="1615" t="str">
        <f t="shared" si="14"/>
        <v/>
      </c>
      <c r="BV38" s="2569"/>
      <c r="BW38" s="2570"/>
      <c r="BX38" s="2566"/>
      <c r="BY38" s="2566"/>
    </row>
    <row r="39" spans="1:77" ht="20.25" customHeight="1">
      <c r="A39" s="2591" t="str">
        <f t="array" ref="A39">IFERROR(IF(ROW($C$1)&gt;COUNTA($X$37:$X$96),"",INDEX($X:$X,SMALL(IF(X$37:X$96&lt;&gt;"",ROW($37:$96)),ROW(C3)))),"")</f>
        <v/>
      </c>
      <c r="B39" s="2592"/>
      <c r="C39" s="2592"/>
      <c r="D39" s="1750" t="str">
        <f t="array" ref="D39">IFERROR(IF(ROW($D$1)&gt;COUNTA($V$37:$V$96),"",INDEX($V:$V,SMALL(IF(V$37:V$96&lt;&gt;"",ROW($37:$96)),ROW(D3)))),"")</f>
        <v/>
      </c>
      <c r="E39" s="1751" t="str">
        <f t="array" ref="E39">IFERROR(IF(ROW($E$1)&gt;COUNTA($W$37:$W$96),"",INDEX($W:$W,SMALL(IF(W$37:W$96&lt;&gt;"",ROW($37:$96)),ROW(E3)))),"")</f>
        <v/>
      </c>
      <c r="F39" s="1760" t="str">
        <f t="array" ref="F39">IFERROR(IF(ROW($F$1)&gt;COUNTA($AA$37:$AA$96),"",INDEX($AA:$AA,SMALL(IF(AA$37:AA$96&lt;&gt;"",ROW($37:$96)),ROW(F3)))),"")</f>
        <v/>
      </c>
      <c r="G39" s="1674" t="str">
        <f t="array" ref="G39">IFERROR(IF(ROW($G$1)&gt;COUNTA($AC$37:$AC$96),"",INDEX($AC:$AC,SMALL(IF(AC$37:AC$96&lt;&gt;"",ROW($37:$96)),ROW(G3)))),"")</f>
        <v/>
      </c>
      <c r="H39" s="1675" t="str">
        <f t="array" ref="H39">IFERROR(IF(ROW($H$1)&gt;COUNTA($BT$37:$BT$96),"",INDEX($BT:$BT,SMALL(IF(BT$37:BT$96&lt;&gt;"",ROW($37:$96)),ROW(H3)))),"")</f>
        <v/>
      </c>
      <c r="I39" s="1676" t="str">
        <f t="array" ref="I39">IFERROR(IF(ROW($I$1)&gt;COUNTA($AZ$37:$AZ$96),"",INDEX($AZ:$AZ,SMALL(IF(AZ$37:AZ$96&lt;&gt;"",ROW($37:$96)),ROW(I3)))),"")</f>
        <v/>
      </c>
      <c r="J39" s="1673" t="str">
        <f t="array" ref="J39">IFERROR(IF(ROW($J$1)&gt;COUNTA($BA$37:$BA$96),"",INDEX($BA:$BA,SMALL(IF(BA$37:BA$96&lt;&gt;"",ROW($37:$96)),ROW(J3)))),"")</f>
        <v/>
      </c>
      <c r="K39" s="1685" t="str">
        <f t="array" ref="K39">IFERROR(IF(ROW($K$1)&gt;COUNTA($BB$37:$BB$96),"",INDEX($BB:$BB,SMALL(IF(BB$37:BB$96&lt;&gt;"",ROW($37:$96)),ROW(K3)))),"")</f>
        <v/>
      </c>
      <c r="L39" s="1677"/>
      <c r="M39" s="1675" t="str">
        <f t="array" ref="M39">IFERROR(IF(ROW($M$1)&gt;COUNTA($BU$37:$BU$96),"",INDEX($BU:$BU,SMALL(IF(BU$37:BU$96&lt;&gt;"",ROW($37:$96)),ROW(M3)))),"")</f>
        <v/>
      </c>
      <c r="N39" s="1676" t="str">
        <f t="array" ref="N39">IFERROR(IF(ROW($N$1)&gt;COUNTA($BJ$37:$BJ$96),"",INDEX($BJ:$BJ,SMALL(IF(BJ$37:BJ$96&lt;&gt;"",ROW($37:$96)),ROW(N3)))),"")</f>
        <v/>
      </c>
      <c r="O39" s="1673" t="str">
        <f t="array" ref="O39">IFERROR(IF(ROW($O$1)&gt;COUNTA($BK$37:$BK$96),"",INDEX($BK:$BK,SMALL(IF(BK$37:BK$96&lt;&gt;"",ROW($37:$96)),ROW(O3)))),"")</f>
        <v/>
      </c>
      <c r="P39" s="1701" t="str">
        <f t="array" ref="P39">IFERROR(IF(ROW($P$1)&gt;COUNTA($BL$37:$BL$96),"",INDEX($BL:$BL,SMALL(IF(BL$37:BL$96&lt;&gt;"",ROW($37:$96)),ROW(P3)))),"")</f>
        <v/>
      </c>
      <c r="Q39" s="1775"/>
      <c r="R39" s="2605">
        <f>BX34+BX97</f>
        <v>0</v>
      </c>
      <c r="S39" s="1775"/>
      <c r="T39" s="1775"/>
      <c r="U39" s="1608" t="str">
        <f>IF(AND(S_2!$G$8="ja",S_2!$K$8="ja"),S_2!$C$2,"")</f>
        <v/>
      </c>
      <c r="V39" s="747" t="str">
        <f t="shared" si="17"/>
        <v/>
      </c>
      <c r="W39" s="1106" t="str">
        <f>IF($U39="","",S_2!$B$14)</f>
        <v/>
      </c>
      <c r="X39" s="1608" t="str">
        <f>IF($U39="","",S_2!$A$14)</f>
        <v/>
      </c>
      <c r="Y39" s="2604" t="str">
        <f>IF($U39="","",Grünland!B6)</f>
        <v/>
      </c>
      <c r="Z39" s="1608" t="str">
        <f>IF($U39="","",S_2!$C$14)</f>
        <v/>
      </c>
      <c r="AA39" s="747" t="str">
        <f t="shared" si="18"/>
        <v/>
      </c>
      <c r="AB39" s="1608" t="str">
        <f>IF($U39="","",S_2!$CM$14)</f>
        <v/>
      </c>
      <c r="AC39" s="747" t="str">
        <f t="shared" si="19"/>
        <v/>
      </c>
      <c r="AQ39" s="1608">
        <f>IF(S_2!$DF$14&gt;0,1,0)</f>
        <v>0</v>
      </c>
      <c r="AR39" s="1608">
        <f>IF(S_2!$DG$14&gt;0,1,0)</f>
        <v>0</v>
      </c>
      <c r="AS39" s="1608">
        <f>IF(S_2!$DH$14&gt;0,1,0)</f>
        <v>0</v>
      </c>
      <c r="AT39" s="1608">
        <f>IF(S_2!$DI$14&gt;0,1,0)</f>
        <v>0</v>
      </c>
      <c r="AU39" s="1608">
        <f>IF(S_2!$DJ$14&gt;0,1,0)</f>
        <v>0</v>
      </c>
      <c r="AV39" s="1608">
        <f>IF(S_2!$DK$14&gt;0,1,0)</f>
        <v>0</v>
      </c>
      <c r="AW39" s="1608">
        <f>AQ39+AR39+AS39+AT39+AU39+AV39</f>
        <v>0</v>
      </c>
      <c r="AX39" s="1608" t="str">
        <f t="shared" si="5"/>
        <v/>
      </c>
      <c r="AY39" s="1106" t="str">
        <f t="shared" si="0"/>
        <v/>
      </c>
      <c r="AZ39" s="1106" t="str">
        <f t="shared" si="6"/>
        <v/>
      </c>
      <c r="BA39" s="2259" t="str">
        <f t="shared" si="7"/>
        <v/>
      </c>
      <c r="BB39" s="2259" t="str">
        <f t="shared" si="8"/>
        <v/>
      </c>
      <c r="BC39" s="1608">
        <f>IF(S_2!$DN$14&gt;0,1,0)</f>
        <v>0</v>
      </c>
      <c r="BD39" s="1608">
        <f>IF(S_2!$DO$14&gt;0,1,0)</f>
        <v>0</v>
      </c>
      <c r="BE39" s="1608">
        <f>IF(S_2!$DP$14&gt;0,1,0)</f>
        <v>0</v>
      </c>
      <c r="BF39" s="1608">
        <f>IF(S_2!$DQ$14&gt;0,1,0)</f>
        <v>0</v>
      </c>
      <c r="BG39" s="1608">
        <f>IF(S_2!$DR$14&gt;0,1,0)</f>
        <v>0</v>
      </c>
      <c r="BH39" s="1608">
        <f>IF(S_2!$DS$14&gt;0,1,0)</f>
        <v>0</v>
      </c>
      <c r="BI39" s="1608">
        <f>BC39+BD39+BE39+BF39+BG39+BH39</f>
        <v>0</v>
      </c>
      <c r="BJ39" s="1106" t="str">
        <f t="shared" si="10"/>
        <v/>
      </c>
      <c r="BK39" s="2259" t="str">
        <f t="shared" si="11"/>
        <v/>
      </c>
      <c r="BL39" s="2259" t="str">
        <f t="shared" si="12"/>
        <v/>
      </c>
      <c r="BN39" s="747">
        <f>S_2!$DE$14</f>
        <v>0</v>
      </c>
      <c r="BO39" s="747">
        <f>S_2!$DM$14</f>
        <v>0</v>
      </c>
      <c r="BP39" s="747">
        <f>S_2!$CP$14</f>
        <v>0</v>
      </c>
      <c r="BQ39" s="747">
        <f>S_2!$CQ$14</f>
        <v>0</v>
      </c>
      <c r="BR39" s="1610" t="e">
        <f>BP39/Betrieb!$E$23</f>
        <v>#DIV/0!</v>
      </c>
      <c r="BS39" s="1610" t="e">
        <f>BQ39/Betrieb!$E$24</f>
        <v>#DIV/0!</v>
      </c>
      <c r="BT39" s="1615" t="str">
        <f t="shared" si="13"/>
        <v/>
      </c>
      <c r="BU39" s="1615" t="str">
        <f t="shared" si="14"/>
        <v/>
      </c>
      <c r="BV39" s="2569">
        <f>IF(AND(S_2!$G$8="JA",S_2!$K$8="JA"),S_2!$U$14,0)</f>
        <v>0</v>
      </c>
      <c r="BW39" s="2570">
        <f>IF(AND(S_2!$G$8="JA",S_2!$K$8="JA"),S_2!$V$14,0)</f>
        <v>0</v>
      </c>
      <c r="BX39" s="2566" t="str">
        <f t="shared" ref="BX39" si="20">IF(BV39="-",0-BW39,"")</f>
        <v/>
      </c>
      <c r="BY39" s="2566" t="str">
        <f t="shared" ref="BY39" si="21">IF(BV39="+",0+BW39,"")</f>
        <v/>
      </c>
    </row>
    <row r="40" spans="1:77" ht="20.25" customHeight="1" thickBot="1">
      <c r="A40" s="2589" t="str">
        <f t="array" ref="A40">IFERROR(IF(ROW($C$1)&gt;COUNTA($X$37:$X$96),"",INDEX($X:$X,SMALL(IF(X$37:X$96&lt;&gt;"",ROW($37:$96)),ROW(C4)))),"")</f>
        <v/>
      </c>
      <c r="B40" s="2590"/>
      <c r="C40" s="2590"/>
      <c r="D40" s="1752" t="str">
        <f t="array" ref="D40">IFERROR(IF(ROW($D$1)&gt;COUNTA($V$37:$V$96),"",INDEX($V:$V,SMALL(IF(V$37:V$96&lt;&gt;"",ROW($37:$96)),ROW(D4)))),"")</f>
        <v/>
      </c>
      <c r="E40" s="1753" t="str">
        <f t="array" ref="E40">IFERROR(IF(ROW($E$1)&gt;COUNTA($W$37:$W$96),"",INDEX($W:$W,SMALL(IF(W$37:W$96&lt;&gt;"",ROW($37:$96)),ROW(E4)))),"")</f>
        <v/>
      </c>
      <c r="F40" s="1761" t="str">
        <f t="array" ref="F40">IFERROR(IF(ROW($F$1)&gt;COUNTA($AA$37:$AA$96),"",INDEX($AA:$AA,SMALL(IF(AA$37:AA$96&lt;&gt;"",ROW($37:$96)),ROW(F4)))),"")</f>
        <v/>
      </c>
      <c r="G40" s="1658" t="str">
        <f t="array" ref="G40">IFERROR(IF(ROW($G$1)&gt;COUNTA($AC$37:$AC$96),"",INDEX($AC:$AC,SMALL(IF(AC$37:AC$96&lt;&gt;"",ROW($37:$96)),ROW(G4)))),"")</f>
        <v/>
      </c>
      <c r="H40" s="1664" t="str">
        <f t="array" ref="H40">IFERROR(IF(ROW($H$1)&gt;COUNTA($BT$37:$BT$96),"",INDEX($BT:$BT,SMALL(IF(BT$37:BT$96&lt;&gt;"",ROW($37:$96)),ROW(H4)))),"")</f>
        <v/>
      </c>
      <c r="I40" s="1665" t="str">
        <f t="array" ref="I40">IFERROR(IF(ROW($I$1)&gt;COUNTA($AZ$37:$AZ$96),"",INDEX($AZ:$AZ,SMALL(IF(AZ$37:AZ$96&lt;&gt;"",ROW($37:$96)),ROW(I4)))),"")</f>
        <v/>
      </c>
      <c r="J40" s="1666" t="str">
        <f t="array" ref="J40">IFERROR(IF(ROW($J$1)&gt;COUNTA($BA$37:$BA$96),"",INDEX($BA:$BA,SMALL(IF(BA$37:BA$96&lt;&gt;"",ROW($37:$96)),ROW(J4)))),"")</f>
        <v/>
      </c>
      <c r="K40" s="1686" t="str">
        <f t="array" ref="K40">IFERROR(IF(ROW($K$1)&gt;COUNTA($BB$37:$BB$96),"",INDEX($BB:$BB,SMALL(IF(BB$37:BB$96&lt;&gt;"",ROW($37:$96)),ROW(K4)))),"")</f>
        <v/>
      </c>
      <c r="L40" s="1678"/>
      <c r="M40" s="1664" t="str">
        <f t="array" ref="M40">IFERROR(IF(ROW($M$1)&gt;COUNTA($BU$37:$BU$96),"",INDEX($BU:$BU,SMALL(IF(BU$37:BU$96&lt;&gt;"",ROW($37:$96)),ROW(M4)))),"")</f>
        <v/>
      </c>
      <c r="N40" s="1665" t="str">
        <f t="array" ref="N40">IFERROR(IF(ROW($N$1)&gt;COUNTA($BJ$37:$BJ$96),"",INDEX($BJ:$BJ,SMALL(IF(BJ$37:BJ$96&lt;&gt;"",ROW($37:$96)),ROW(N4)))),"")</f>
        <v/>
      </c>
      <c r="O40" s="1666" t="str">
        <f t="array" ref="O40">IFERROR(IF(ROW($O$1)&gt;COUNTA($BK$37:$BK$96),"",INDEX($BK:$BK,SMALL(IF(BK$37:BK$96&lt;&gt;"",ROW($37:$96)),ROW(O4)))),"")</f>
        <v/>
      </c>
      <c r="P40" s="1702" t="str">
        <f t="array" ref="P40">IFERROR(IF(ROW($P$1)&gt;COUNTA($BL$37:$BL$96),"",INDEX($BL:$BL,SMALL(IF(BL$37:BL$96&lt;&gt;"",ROW($37:$96)),ROW(P4)))),"")</f>
        <v/>
      </c>
      <c r="Q40" s="1775"/>
      <c r="R40" s="2606"/>
      <c r="S40" s="1775"/>
      <c r="T40" s="1775"/>
      <c r="U40" s="1608" t="str">
        <f>IF(AND(S_2!$G$8="ja",S_2!$K$8="ja"),S_2!$C$2,"")</f>
        <v/>
      </c>
      <c r="V40" s="747" t="str">
        <f t="shared" si="17"/>
        <v/>
      </c>
      <c r="W40" s="1106" t="str">
        <f>IF($U40="","",S_2!$B$15)</f>
        <v/>
      </c>
      <c r="X40" s="1608" t="str">
        <f>IF($U40="","",S_2!$A$15)</f>
        <v/>
      </c>
      <c r="Y40" s="2604"/>
      <c r="Z40" s="1608" t="str">
        <f>IF($U40="","",S_2!$C$15)</f>
        <v/>
      </c>
      <c r="AA40" s="747" t="str">
        <f t="shared" si="18"/>
        <v/>
      </c>
      <c r="AB40" s="1608" t="str">
        <f>IF($U40="","",S_2!$CM$15)</f>
        <v/>
      </c>
      <c r="AC40" s="747" t="str">
        <f t="shared" si="19"/>
        <v/>
      </c>
      <c r="AQ40" s="1608">
        <f>IF(S_2!$DF$15&gt;0,1,0)</f>
        <v>0</v>
      </c>
      <c r="AR40" s="1608">
        <f>IF(S_2!$DG$15&gt;0,1,0)</f>
        <v>0</v>
      </c>
      <c r="AS40" s="1608">
        <f>IF(S_2!$DH$15&gt;0,1,0)</f>
        <v>0</v>
      </c>
      <c r="AT40" s="1608">
        <f>IF(S_2!$DI$15&gt;0,1,0)</f>
        <v>0</v>
      </c>
      <c r="AU40" s="1608">
        <f>IF(S_2!$DJ$15&gt;0,1,0)</f>
        <v>0</v>
      </c>
      <c r="AV40" s="1608">
        <f>IF(S_2!$DK$15&gt;0,1,0)</f>
        <v>0</v>
      </c>
      <c r="AW40" s="1608">
        <f>AQ40+AR40+AS40+AT40+AU40+AV40</f>
        <v>0</v>
      </c>
      <c r="AX40" s="1608" t="str">
        <f t="shared" si="5"/>
        <v/>
      </c>
      <c r="AY40" s="1106" t="str">
        <f t="shared" si="0"/>
        <v/>
      </c>
      <c r="AZ40" s="1106" t="str">
        <f t="shared" si="6"/>
        <v/>
      </c>
      <c r="BA40" s="2259" t="str">
        <f t="shared" si="7"/>
        <v/>
      </c>
      <c r="BB40" s="2259" t="str">
        <f t="shared" si="8"/>
        <v/>
      </c>
      <c r="BC40" s="1608">
        <f>IF(S_2!$DN$15&gt;0,1,0)</f>
        <v>0</v>
      </c>
      <c r="BD40" s="1608">
        <f>IF(S_2!$DO$15&gt;0,1,0)</f>
        <v>0</v>
      </c>
      <c r="BE40" s="1608">
        <f>IF(S_2!$DP$15&gt;0,1,0)</f>
        <v>0</v>
      </c>
      <c r="BF40" s="1608">
        <f>IF(S_2!$DQ$15&gt;0,1,0)</f>
        <v>0</v>
      </c>
      <c r="BG40" s="1608">
        <f>IF(S_2!$DR$15&gt;0,1,0)</f>
        <v>0</v>
      </c>
      <c r="BH40" s="1608">
        <f>IF(S_2!$DS$15&gt;0,1,0)</f>
        <v>0</v>
      </c>
      <c r="BI40" s="1608">
        <f>BC40+BD40+BE40+BF40+BG40+BH40</f>
        <v>0</v>
      </c>
      <c r="BJ40" s="1106" t="str">
        <f t="shared" si="10"/>
        <v/>
      </c>
      <c r="BK40" s="2259" t="str">
        <f t="shared" si="11"/>
        <v/>
      </c>
      <c r="BL40" s="2259" t="str">
        <f t="shared" si="12"/>
        <v/>
      </c>
      <c r="BN40" s="747">
        <f>S_2!$DE$15</f>
        <v>0</v>
      </c>
      <c r="BO40" s="747">
        <f>S_2!$DM$15</f>
        <v>0</v>
      </c>
      <c r="BP40" s="747">
        <f>S_2!$CP$15</f>
        <v>0</v>
      </c>
      <c r="BQ40" s="747">
        <f>S_2!$CQ$15</f>
        <v>0</v>
      </c>
      <c r="BR40" s="1610" t="e">
        <f>BP40/Betrieb!$E$23</f>
        <v>#DIV/0!</v>
      </c>
      <c r="BS40" s="1610" t="e">
        <f>BQ40/Betrieb!$E$24</f>
        <v>#DIV/0!</v>
      </c>
      <c r="BT40" s="1615" t="str">
        <f t="shared" si="13"/>
        <v/>
      </c>
      <c r="BU40" s="1615" t="str">
        <f t="shared" si="14"/>
        <v/>
      </c>
      <c r="BV40" s="2569"/>
      <c r="BW40" s="2570"/>
      <c r="BX40" s="2566"/>
      <c r="BY40" s="2566"/>
    </row>
    <row r="41" spans="1:77" ht="20.25" customHeight="1">
      <c r="A41" s="2593" t="str">
        <f t="array" ref="A41">IFERROR(IF(ROW($C$1)&gt;COUNTA($X$37:$X$96),"",INDEX($X:$X,SMALL(IF(X$37:X$96&lt;&gt;"",ROW($37:$96)),ROW(C5)))),"")</f>
        <v/>
      </c>
      <c r="B41" s="2594"/>
      <c r="C41" s="2594"/>
      <c r="D41" s="1742" t="str">
        <f t="array" ref="D41">IFERROR(IF(ROW($D$1)&gt;COUNTA($V$37:$V$96),"",INDEX($V:$V,SMALL(IF(V$37:V$96&lt;&gt;"",ROW($37:$96)),ROW(D5)))),"")</f>
        <v/>
      </c>
      <c r="E41" s="1743" t="str">
        <f t="array" ref="E41">IFERROR(IF(ROW($E$1)&gt;COUNTA($W$37:$W$96),"",INDEX($W:$W,SMALL(IF(W$37:W$96&lt;&gt;"",ROW($37:$96)),ROW(E5)))),"")</f>
        <v/>
      </c>
      <c r="F41" s="1762" t="str">
        <f t="array" ref="F41">IFERROR(IF(ROW($F$1)&gt;COUNTA($AA$37:$AA$96),"",INDEX($AA:$AA,SMALL(IF(AA$37:AA$96&lt;&gt;"",ROW($37:$96)),ROW(F5)))),"")</f>
        <v/>
      </c>
      <c r="G41" s="1703" t="str">
        <f t="array" ref="G41">IFERROR(IF(ROW($G$1)&gt;COUNTA($AC$37:$AC$96),"",INDEX($AC:$AC,SMALL(IF(AC$37:AC$96&lt;&gt;"",ROW($37:$96)),ROW(G5)))),"")</f>
        <v/>
      </c>
      <c r="H41" s="1704" t="str">
        <f t="array" ref="H41">IFERROR(IF(ROW($H$1)&gt;COUNTA($BT$37:$BT$96),"",INDEX($BT:$BT,SMALL(IF(BT$37:BT$96&lt;&gt;"",ROW($37:$96)),ROW(H5)))),"")</f>
        <v/>
      </c>
      <c r="I41" s="1680" t="str">
        <f t="array" ref="I41">IFERROR(IF(ROW($I$1)&gt;COUNTA($AZ$37:$AZ$96),"",INDEX($AZ:$AZ,SMALL(IF(AZ$37:AZ$96&lt;&gt;"",ROW($37:$96)),ROW(I5)))),"")</f>
        <v/>
      </c>
      <c r="J41" s="1681" t="str">
        <f t="array" ref="J41">IFERROR(IF(ROW($J$1)&gt;COUNTA($BA$37:$BA$96),"",INDEX($BA:$BA,SMALL(IF(BA$37:BA$96&lt;&gt;"",ROW($37:$96)),ROW(J5)))),"")</f>
        <v/>
      </c>
      <c r="K41" s="1687" t="str">
        <f t="array" ref="K41">IFERROR(IF(ROW($K$1)&gt;COUNTA($BB$37:$BB$96),"",INDEX($BB:$BB,SMALL(IF(BB$37:BB$96&lt;&gt;"",ROW($37:$96)),ROW(K5)))),"")</f>
        <v/>
      </c>
      <c r="L41" s="1682"/>
      <c r="M41" s="1704" t="str">
        <f t="array" ref="M41">IFERROR(IF(ROW($M$1)&gt;COUNTA($BU$37:$BU$96),"",INDEX($BU:$BU,SMALL(IF(BU$37:BU$96&lt;&gt;"",ROW($37:$96)),ROW(M5)))),"")</f>
        <v/>
      </c>
      <c r="N41" s="1680" t="str">
        <f t="array" ref="N41">IFERROR(IF(ROW($N$1)&gt;COUNTA($BJ$37:$BJ$96),"",INDEX($BJ:$BJ,SMALL(IF(BJ$37:BJ$96&lt;&gt;"",ROW($37:$96)),ROW(N5)))),"")</f>
        <v/>
      </c>
      <c r="O41" s="1681" t="str">
        <f t="array" ref="O41">IFERROR(IF(ROW($O$1)&gt;COUNTA($BK$37:$BK$96),"",INDEX($BK:$BK,SMALL(IF(BK$37:BK$96&lt;&gt;"",ROW($37:$96)),ROW(O5)))),"")</f>
        <v/>
      </c>
      <c r="P41" s="1705" t="str">
        <f t="array" ref="P41">IFERROR(IF(ROW($P$1)&gt;COUNTA($BL$37:$BL$96),"",INDEX($BL:$BL,SMALL(IF(BL$37:BL$96&lt;&gt;"",ROW($37:$96)),ROW(P5)))),"")</f>
        <v/>
      </c>
      <c r="Q41" s="1775"/>
      <c r="R41" s="1775"/>
      <c r="S41" s="1775"/>
      <c r="T41" s="1775"/>
      <c r="U41" s="1608" t="str">
        <f>IF(AND(S_3!$G$8="ja",S_3!$K$8="ja"),S_3!$C$2,"")</f>
        <v/>
      </c>
      <c r="V41" s="747" t="str">
        <f t="shared" si="17"/>
        <v/>
      </c>
      <c r="W41" s="1106" t="str">
        <f>IF($U41="","",S_3!$B$14)</f>
        <v/>
      </c>
      <c r="X41" s="1608" t="str">
        <f>IF($U41="","",S_3!$A$14)</f>
        <v/>
      </c>
      <c r="Y41" s="2604" t="str">
        <f>IF($U41="","",Grünland!B7)</f>
        <v/>
      </c>
      <c r="Z41" s="1608" t="str">
        <f>IF($U41="","",S_3!$C$14)</f>
        <v/>
      </c>
      <c r="AA41" s="747" t="str">
        <f t="shared" si="18"/>
        <v/>
      </c>
      <c r="AB41" s="1608" t="str">
        <f>IF($U41="","",S_3!$CM$14)</f>
        <v/>
      </c>
      <c r="AC41" s="747" t="str">
        <f t="shared" si="19"/>
        <v/>
      </c>
      <c r="AQ41" s="1608">
        <f>IF(S_3!$DF$14&gt;0,1,0)</f>
        <v>0</v>
      </c>
      <c r="AR41" s="1608">
        <f>IF(S_3!$DG$14&gt;0,1,0)</f>
        <v>0</v>
      </c>
      <c r="AS41" s="1608">
        <f>IF(S_3!$DH$14&gt;0,1,0)</f>
        <v>0</v>
      </c>
      <c r="AT41" s="1608">
        <f>IF(S_3!$DI$14&gt;0,1,0)</f>
        <v>0</v>
      </c>
      <c r="AU41" s="1608">
        <f>IF(S_3!$DJ$14&gt;0,1,0)</f>
        <v>0</v>
      </c>
      <c r="AV41" s="1608">
        <f>IF(S_3!$DK$14&gt;0,1,0)</f>
        <v>0</v>
      </c>
      <c r="AW41" s="1608">
        <f t="shared" ref="AW41:AW96" si="22">AQ41+AR41+AS41+AT41+AU41+AV41</f>
        <v>0</v>
      </c>
      <c r="AX41" s="1608" t="str">
        <f t="shared" si="5"/>
        <v/>
      </c>
      <c r="AY41" s="1106" t="str">
        <f t="shared" si="0"/>
        <v/>
      </c>
      <c r="AZ41" s="1106" t="str">
        <f t="shared" si="6"/>
        <v/>
      </c>
      <c r="BA41" s="2259" t="str">
        <f t="shared" si="7"/>
        <v/>
      </c>
      <c r="BB41" s="2259" t="str">
        <f t="shared" si="8"/>
        <v/>
      </c>
      <c r="BC41" s="1608">
        <f>IF(S_3!$DN$14&gt;0,1,0)</f>
        <v>0</v>
      </c>
      <c r="BD41" s="1608">
        <f>IF(S_3!$DO$14&gt;0,1,0)</f>
        <v>0</v>
      </c>
      <c r="BE41" s="1608">
        <f>IF(S_3!$DP$14&gt;0,1,0)</f>
        <v>0</v>
      </c>
      <c r="BF41" s="1608">
        <f>IF(S_3!$DQ$14&gt;0,1,0)</f>
        <v>0</v>
      </c>
      <c r="BG41" s="1608">
        <f>IF(S_3!$DR$14&gt;0,1,0)</f>
        <v>0</v>
      </c>
      <c r="BH41" s="1608">
        <f>IF(S_3!$DS$14&gt;0,1,0)</f>
        <v>0</v>
      </c>
      <c r="BI41" s="1608">
        <f t="shared" ref="BI41:BI96" si="23">BC41+BD41+BE41+BF41+BG41+BH41</f>
        <v>0</v>
      </c>
      <c r="BJ41" s="1106" t="str">
        <f t="shared" si="10"/>
        <v/>
      </c>
      <c r="BK41" s="2259" t="str">
        <f t="shared" si="11"/>
        <v/>
      </c>
      <c r="BL41" s="2259" t="str">
        <f t="shared" si="12"/>
        <v/>
      </c>
      <c r="BN41" s="747">
        <f>S_3!$DE$14</f>
        <v>0</v>
      </c>
      <c r="BO41" s="747">
        <f>S_3!$DM$14</f>
        <v>0</v>
      </c>
      <c r="BP41" s="747">
        <f>S_3!$CP$14</f>
        <v>0</v>
      </c>
      <c r="BQ41" s="747">
        <f>S_3!$CQ$14</f>
        <v>0</v>
      </c>
      <c r="BR41" s="1610" t="e">
        <f>BP41/Betrieb!$E$23</f>
        <v>#DIV/0!</v>
      </c>
      <c r="BS41" s="1610" t="e">
        <f>BQ41/Betrieb!$E$24</f>
        <v>#DIV/0!</v>
      </c>
      <c r="BT41" s="1615" t="str">
        <f t="shared" si="13"/>
        <v/>
      </c>
      <c r="BU41" s="1615" t="str">
        <f t="shared" si="14"/>
        <v/>
      </c>
      <c r="BV41" s="2569">
        <f>IF(AND(S_3!$G$8="JA",S_3!$K$8="JA"),S_3!$U$14,0)</f>
        <v>0</v>
      </c>
      <c r="BW41" s="2570">
        <f>IF(AND(S_3!$G$8="JA",S_3!$K$8="JA"),S_3!$V$14,0)</f>
        <v>0</v>
      </c>
      <c r="BX41" s="2566" t="str">
        <f t="shared" ref="BX41" si="24">IF(BV41="-",0-BW41,"")</f>
        <v/>
      </c>
      <c r="BY41" s="2566" t="str">
        <f t="shared" ref="BY41" si="25">IF(BV41="+",0+BW41,"")</f>
        <v/>
      </c>
    </row>
    <row r="42" spans="1:77" ht="20.25" customHeight="1">
      <c r="A42" s="2595" t="str">
        <f t="array" ref="A42">IFERROR(IF(ROW($C$1)&gt;COUNTA($X$37:$X$96),"",INDEX($X:$X,SMALL(IF(X$37:X$96&lt;&gt;"",ROW($37:$96)),ROW(C6)))),"")</f>
        <v/>
      </c>
      <c r="B42" s="2596"/>
      <c r="C42" s="2596"/>
      <c r="D42" s="1740" t="str">
        <f t="array" ref="D42">IFERROR(IF(ROW($D$1)&gt;COUNTA($V$37:$V$96),"",INDEX($V:$V,SMALL(IF(V$37:V$96&lt;&gt;"",ROW($37:$96)),ROW(D6)))),"")</f>
        <v/>
      </c>
      <c r="E42" s="1741" t="str">
        <f t="array" ref="E42">IFERROR(IF(ROW($E$1)&gt;COUNTA($W$37:$W$96),"",INDEX($W:$W,SMALL(IF(W$37:W$96&lt;&gt;"",ROW($37:$96)),ROW(E6)))),"")</f>
        <v/>
      </c>
      <c r="F42" s="1759" t="str">
        <f t="array" ref="F42">IFERROR(IF(ROW($F$1)&gt;COUNTA($AA$37:$AA$96),"",INDEX($AA:$AA,SMALL(IF(AA$37:AA$96&lt;&gt;"",ROW($37:$96)),ROW(F6)))),"")</f>
        <v/>
      </c>
      <c r="G42" s="1657" t="str">
        <f t="array" ref="G42">IFERROR(IF(ROW($G$1)&gt;COUNTA($AC$37:$AC$96),"",INDEX($AC:$AC,SMALL(IF(AC$37:AC$96&lt;&gt;"",ROW($37:$96)),ROW(G6)))),"")</f>
        <v/>
      </c>
      <c r="H42" s="1661" t="str">
        <f t="array" ref="H42">IFERROR(IF(ROW($H$1)&gt;COUNTA($BT$37:$BT$96),"",INDEX($BT:$BT,SMALL(IF(BT$37:BT$96&lt;&gt;"",ROW($37:$96)),ROW(H6)))),"")</f>
        <v/>
      </c>
      <c r="I42" s="1662" t="str">
        <f t="array" ref="I42">IFERROR(IF(ROW($I$1)&gt;COUNTA($AZ$37:$AZ$96),"",INDEX($AZ:$AZ,SMALL(IF(AZ$37:AZ$96&lt;&gt;"",ROW($37:$96)),ROW(I6)))),"")</f>
        <v/>
      </c>
      <c r="J42" s="1663" t="str">
        <f t="array" ref="J42">IFERROR(IF(ROW($J$1)&gt;COUNTA($BA$37:$BA$96),"",INDEX($BA:$BA,SMALL(IF(BA$37:BA$96&lt;&gt;"",ROW($37:$96)),ROW(J6)))),"")</f>
        <v/>
      </c>
      <c r="K42" s="1684" t="str">
        <f t="array" ref="K42">IFERROR(IF(ROW($K$1)&gt;COUNTA($BB$37:$BB$96),"",INDEX($BB:$BB,SMALL(IF(BB$37:BB$96&lt;&gt;"",ROW($37:$96)),ROW(K6)))),"")</f>
        <v/>
      </c>
      <c r="L42" s="1683"/>
      <c r="M42" s="1661" t="str">
        <f t="array" ref="M42">IFERROR(IF(ROW($M$1)&gt;COUNTA($BU$37:$BU$96),"",INDEX($BU:$BU,SMALL(IF(BU$37:BU$96&lt;&gt;"",ROW($37:$96)),ROW(M6)))),"")</f>
        <v/>
      </c>
      <c r="N42" s="1662" t="str">
        <f t="array" ref="N42">IFERROR(IF(ROW($N$1)&gt;COUNTA($BJ$37:$BJ$96),"",INDEX($BJ:$BJ,SMALL(IF(BJ$37:BJ$96&lt;&gt;"",ROW($37:$96)),ROW(N6)))),"")</f>
        <v/>
      </c>
      <c r="O42" s="1663" t="str">
        <f t="array" ref="O42">IFERROR(IF(ROW($O$1)&gt;COUNTA($BK$37:$BK$96),"",INDEX($BK:$BK,SMALL(IF(BK$37:BK$96&lt;&gt;"",ROW($37:$96)),ROW(O6)))),"")</f>
        <v/>
      </c>
      <c r="P42" s="1700" t="str">
        <f t="array" ref="P42">IFERROR(IF(ROW($P$1)&gt;COUNTA($BL$37:$BL$96),"",INDEX($BL:$BL,SMALL(IF(BL$37:BL$96&lt;&gt;"",ROW($37:$96)),ROW(P6)))),"")</f>
        <v/>
      </c>
      <c r="Q42" s="1775"/>
      <c r="R42" s="1775"/>
      <c r="S42" s="1775"/>
      <c r="T42" s="1775"/>
      <c r="U42" s="1608" t="str">
        <f>IF(AND(S_3!$G$8="ja",S_3!$K$8="ja"),S_3!$C$2,"")</f>
        <v/>
      </c>
      <c r="V42" s="747" t="str">
        <f t="shared" si="17"/>
        <v/>
      </c>
      <c r="W42" s="1106" t="str">
        <f>IF($U42="","",S_3!$B$15)</f>
        <v/>
      </c>
      <c r="X42" s="1608" t="str">
        <f>IF($U42="","",S_3!$A$15)</f>
        <v/>
      </c>
      <c r="Y42" s="2604"/>
      <c r="Z42" s="1608" t="str">
        <f>IF($U42="","",S_3!$C$15)</f>
        <v/>
      </c>
      <c r="AA42" s="747" t="str">
        <f t="shared" si="18"/>
        <v/>
      </c>
      <c r="AB42" s="1608" t="str">
        <f>IF($U42="","",S_3!$CM$15)</f>
        <v/>
      </c>
      <c r="AC42" s="747" t="str">
        <f t="shared" si="19"/>
        <v/>
      </c>
      <c r="AQ42" s="1608">
        <f>IF(S_3!$DF$15&gt;0,1,0)</f>
        <v>0</v>
      </c>
      <c r="AR42" s="1608">
        <f>IF(S_3!$DG$15&gt;0,1,0)</f>
        <v>0</v>
      </c>
      <c r="AS42" s="1608">
        <f>IF(S_3!$DH$15&gt;0,1,0)</f>
        <v>0</v>
      </c>
      <c r="AT42" s="1608">
        <f>IF(S_3!$DI$15&gt;0,1,0)</f>
        <v>0</v>
      </c>
      <c r="AU42" s="1608">
        <f>IF(S_3!$DJ$15&gt;0,1,0)</f>
        <v>0</v>
      </c>
      <c r="AV42" s="1608">
        <f>IF(S_3!$DK$15&gt;0,1,0)</f>
        <v>0</v>
      </c>
      <c r="AW42" s="1608">
        <f t="shared" si="22"/>
        <v>0</v>
      </c>
      <c r="AX42" s="1608" t="str">
        <f t="shared" si="5"/>
        <v/>
      </c>
      <c r="AY42" s="1106" t="str">
        <f t="shared" si="0"/>
        <v/>
      </c>
      <c r="AZ42" s="1106" t="str">
        <f t="shared" si="6"/>
        <v/>
      </c>
      <c r="BA42" s="2259" t="str">
        <f t="shared" si="7"/>
        <v/>
      </c>
      <c r="BB42" s="2259" t="str">
        <f t="shared" si="8"/>
        <v/>
      </c>
      <c r="BC42" s="1608">
        <f>IF(S_3!$DN$15&gt;0,1,0)</f>
        <v>0</v>
      </c>
      <c r="BD42" s="1608">
        <f>IF(S_3!$DO$15&gt;0,1,0)</f>
        <v>0</v>
      </c>
      <c r="BE42" s="1608">
        <f>IF(S_3!$DP$15&gt;0,1,0)</f>
        <v>0</v>
      </c>
      <c r="BF42" s="1608">
        <f>IF(S_3!$DQ$15&gt;0,1,0)</f>
        <v>0</v>
      </c>
      <c r="BG42" s="1608">
        <f>IF(S_3!$DR$15&gt;0,1,0)</f>
        <v>0</v>
      </c>
      <c r="BH42" s="1608">
        <f>IF(S_3!$DS$15&gt;0,1,0)</f>
        <v>0</v>
      </c>
      <c r="BI42" s="1608">
        <f t="shared" si="23"/>
        <v>0</v>
      </c>
      <c r="BJ42" s="1106" t="str">
        <f t="shared" si="10"/>
        <v/>
      </c>
      <c r="BK42" s="2259" t="str">
        <f t="shared" si="11"/>
        <v/>
      </c>
      <c r="BL42" s="2259" t="str">
        <f t="shared" si="12"/>
        <v/>
      </c>
      <c r="BN42" s="747">
        <f>S_3!$DE$15</f>
        <v>0</v>
      </c>
      <c r="BO42" s="747">
        <f>S_3!$DM$15</f>
        <v>0</v>
      </c>
      <c r="BP42" s="747">
        <f>S_3!$CP$15</f>
        <v>0</v>
      </c>
      <c r="BQ42" s="747">
        <f>S_3!$CQ$15</f>
        <v>0</v>
      </c>
      <c r="BR42" s="1610" t="e">
        <f>BP42/Betrieb!$E$23</f>
        <v>#DIV/0!</v>
      </c>
      <c r="BS42" s="1610" t="e">
        <f>BQ42/Betrieb!$E$24</f>
        <v>#DIV/0!</v>
      </c>
      <c r="BT42" s="1615" t="str">
        <f t="shared" si="13"/>
        <v/>
      </c>
      <c r="BU42" s="1615" t="str">
        <f t="shared" si="14"/>
        <v/>
      </c>
      <c r="BV42" s="2569"/>
      <c r="BW42" s="2570"/>
      <c r="BX42" s="2566"/>
      <c r="BY42" s="2566"/>
    </row>
    <row r="43" spans="1:77" ht="20.25" customHeight="1">
      <c r="A43" s="2597" t="str">
        <f t="array" ref="A43">IFERROR(IF(ROW($C$1)&gt;COUNTA($X$37:$X$96),"",INDEX($X:$X,SMALL(IF(X$37:X$96&lt;&gt;"",ROW($37:$96)),ROW(C7)))),"")</f>
        <v/>
      </c>
      <c r="B43" s="2592"/>
      <c r="C43" s="2592"/>
      <c r="D43" s="1750" t="str">
        <f t="array" ref="D43">IFERROR(IF(ROW($D$1)&gt;COUNTA($V$37:$V$96),"",INDEX($V:$V,SMALL(IF(V$37:V$96&lt;&gt;"",ROW($37:$96)),ROW(D7)))),"")</f>
        <v/>
      </c>
      <c r="E43" s="1751" t="str">
        <f t="array" ref="E43">IFERROR(IF(ROW($E$1)&gt;COUNTA($W$37:$W$96),"",INDEX($W:$W,SMALL(IF(W$37:W$96&lt;&gt;"",ROW($37:$96)),ROW(E7)))),"")</f>
        <v/>
      </c>
      <c r="F43" s="1760" t="str">
        <f t="array" ref="F43">IFERROR(IF(ROW($F$1)&gt;COUNTA($AA$37:$AA$96),"",INDEX($AA:$AA,SMALL(IF(AA$37:AA$96&lt;&gt;"",ROW($37:$96)),ROW(F7)))),"")</f>
        <v/>
      </c>
      <c r="G43" s="1674" t="str">
        <f t="array" ref="G43">IFERROR(IF(ROW($G$1)&gt;COUNTA($AC$37:$AC$96),"",INDEX($AC:$AC,SMALL(IF(AC$37:AC$96&lt;&gt;"",ROW($37:$96)),ROW(G7)))),"")</f>
        <v/>
      </c>
      <c r="H43" s="1675" t="str">
        <f t="array" ref="H43">IFERROR(IF(ROW($H$1)&gt;COUNTA($BT$37:$BT$96),"",INDEX($BT:$BT,SMALL(IF(BT$37:BT$96&lt;&gt;"",ROW($37:$96)),ROW(H7)))),"")</f>
        <v/>
      </c>
      <c r="I43" s="1676" t="str">
        <f t="array" ref="I43">IFERROR(IF(ROW($I$1)&gt;COUNTA($AZ$37:$AZ$96),"",INDEX($AZ:$AZ,SMALL(IF(AZ$37:AZ$96&lt;&gt;"",ROW($37:$96)),ROW(I7)))),"")</f>
        <v/>
      </c>
      <c r="J43" s="1673" t="str">
        <f t="array" ref="J43">IFERROR(IF(ROW($J$1)&gt;COUNTA($BA$37:$BA$96),"",INDEX($BA:$BA,SMALL(IF(BA$37:BA$96&lt;&gt;"",ROW($37:$96)),ROW(J7)))),"")</f>
        <v/>
      </c>
      <c r="K43" s="1685" t="str">
        <f t="array" ref="K43">IFERROR(IF(ROW($K$1)&gt;COUNTA($BB$37:$BB$96),"",INDEX($BB:$BB,SMALL(IF(BB$37:BB$96&lt;&gt;"",ROW($37:$96)),ROW(K7)))),"")</f>
        <v/>
      </c>
      <c r="L43" s="1677"/>
      <c r="M43" s="1675" t="str">
        <f t="array" ref="M43">IFERROR(IF(ROW($M$1)&gt;COUNTA($BU$37:$BU$96),"",INDEX($BU:$BU,SMALL(IF(BU$37:BU$96&lt;&gt;"",ROW($37:$96)),ROW(M7)))),"")</f>
        <v/>
      </c>
      <c r="N43" s="1676" t="str">
        <f t="array" ref="N43">IFERROR(IF(ROW($N$1)&gt;COUNTA($BJ$37:$BJ$96),"",INDEX($BJ:$BJ,SMALL(IF(BJ$37:BJ$96&lt;&gt;"",ROW($37:$96)),ROW(N7)))),"")</f>
        <v/>
      </c>
      <c r="O43" s="1673" t="str">
        <f t="array" ref="O43">IFERROR(IF(ROW($O$1)&gt;COUNTA($BK$37:$BK$96),"",INDEX($BK:$BK,SMALL(IF(BK$37:BK$96&lt;&gt;"",ROW($37:$96)),ROW(O7)))),"")</f>
        <v/>
      </c>
      <c r="P43" s="1701" t="str">
        <f t="array" ref="P43">IFERROR(IF(ROW($P$1)&gt;COUNTA($BL$37:$BL$96),"",INDEX($BL:$BL,SMALL(IF(BL$37:BL$96&lt;&gt;"",ROW($37:$96)),ROW(P7)))),"")</f>
        <v/>
      </c>
      <c r="Q43" s="1775"/>
      <c r="R43" s="1775"/>
      <c r="S43" s="1775"/>
      <c r="T43" s="1775"/>
      <c r="U43" s="1608" t="str">
        <f>IF(AND(S_4!$G$8="ja",S_4!$K$8="ja"),S_4!$C$2,"")</f>
        <v/>
      </c>
      <c r="V43" s="747" t="str">
        <f t="shared" si="17"/>
        <v/>
      </c>
      <c r="W43" s="1106" t="str">
        <f>IF($U43="","",S_4!$B$14)</f>
        <v/>
      </c>
      <c r="X43" s="1608" t="str">
        <f>IF($U43="","",S_4!$A$14)</f>
        <v/>
      </c>
      <c r="Y43" s="2604" t="str">
        <f>IF($U43="","",Grünland!B8)</f>
        <v/>
      </c>
      <c r="Z43" s="1608" t="str">
        <f>IF($U43="","",S_4!$C$14)</f>
        <v/>
      </c>
      <c r="AA43" s="747" t="str">
        <f t="shared" si="18"/>
        <v/>
      </c>
      <c r="AB43" s="1608" t="str">
        <f>IF($U43="","",S_4!$CM$14)</f>
        <v/>
      </c>
      <c r="AC43" s="747" t="str">
        <f t="shared" si="19"/>
        <v/>
      </c>
      <c r="AQ43" s="1608">
        <f>IF(S_4!$DF$14&gt;0,1,0)</f>
        <v>0</v>
      </c>
      <c r="AR43" s="1608">
        <f>IF(S_4!$DG$14&gt;0,1,0)</f>
        <v>0</v>
      </c>
      <c r="AS43" s="1608">
        <f>IF(S_4!$DH$14&gt;0,1,0)</f>
        <v>0</v>
      </c>
      <c r="AT43" s="1608">
        <f>IF(S_4!$DI$14&gt;0,1,0)</f>
        <v>0</v>
      </c>
      <c r="AU43" s="1608">
        <f>IF(S_4!$DJ$14&gt;0,1,0)</f>
        <v>0</v>
      </c>
      <c r="AV43" s="1608">
        <f>IF(S_4!$DK$14&gt;0,1,0)</f>
        <v>0</v>
      </c>
      <c r="AW43" s="1608">
        <f t="shared" si="22"/>
        <v>0</v>
      </c>
      <c r="AX43" s="1608" t="str">
        <f t="shared" si="5"/>
        <v/>
      </c>
      <c r="AY43" s="1106" t="str">
        <f t="shared" si="0"/>
        <v/>
      </c>
      <c r="AZ43" s="1106" t="str">
        <f t="shared" si="6"/>
        <v/>
      </c>
      <c r="BA43" s="2259" t="str">
        <f t="shared" si="7"/>
        <v/>
      </c>
      <c r="BB43" s="2259" t="str">
        <f t="shared" si="8"/>
        <v/>
      </c>
      <c r="BC43" s="1608">
        <f>IF(S_4!$DN$14&gt;0,1,0)</f>
        <v>0</v>
      </c>
      <c r="BD43" s="1608">
        <f>IF(S_4!$DO$14&gt;0,1,0)</f>
        <v>0</v>
      </c>
      <c r="BE43" s="1608">
        <f>IF(S_4!$DP$14&gt;0,1,0)</f>
        <v>0</v>
      </c>
      <c r="BF43" s="1608">
        <f>IF(S_4!$DQ$14&gt;0,1,0)</f>
        <v>0</v>
      </c>
      <c r="BG43" s="1608">
        <f>IF(S_4!$DR$14&gt;0,1,0)</f>
        <v>0</v>
      </c>
      <c r="BH43" s="1608">
        <f>IF(S_4!$DS$14&gt;0,1,0)</f>
        <v>0</v>
      </c>
      <c r="BI43" s="1608">
        <f t="shared" si="23"/>
        <v>0</v>
      </c>
      <c r="BJ43" s="1106" t="str">
        <f t="shared" si="10"/>
        <v/>
      </c>
      <c r="BK43" s="2259" t="str">
        <f t="shared" si="11"/>
        <v/>
      </c>
      <c r="BL43" s="2259" t="str">
        <f t="shared" si="12"/>
        <v/>
      </c>
      <c r="BN43" s="747">
        <f>S_4!$DE$14</f>
        <v>0</v>
      </c>
      <c r="BO43" s="747">
        <f>S_4!$DM$14</f>
        <v>0</v>
      </c>
      <c r="BP43" s="747">
        <f>S_4!$CP$14</f>
        <v>0</v>
      </c>
      <c r="BQ43" s="747">
        <f>S_4!$CQ$14</f>
        <v>0</v>
      </c>
      <c r="BR43" s="1610" t="e">
        <f>BP43/Betrieb!$E$23</f>
        <v>#DIV/0!</v>
      </c>
      <c r="BS43" s="1610" t="e">
        <f>BQ43/Betrieb!$E$24</f>
        <v>#DIV/0!</v>
      </c>
      <c r="BT43" s="1615" t="str">
        <f t="shared" si="13"/>
        <v/>
      </c>
      <c r="BU43" s="1615" t="str">
        <f t="shared" si="14"/>
        <v/>
      </c>
      <c r="BV43" s="2569">
        <f>IF(AND(S_4!$G$8="JA",S_4!$K$8="JA"),S_4!$U$14,0)</f>
        <v>0</v>
      </c>
      <c r="BW43" s="2570">
        <f>IF(AND(S_4!$G$8="JA",S_4!$K$8="JA"),S_4!$V$14,0)</f>
        <v>0</v>
      </c>
      <c r="BX43" s="2566" t="str">
        <f t="shared" ref="BX43" si="26">IF(BV43="-",0-BW43,"")</f>
        <v/>
      </c>
      <c r="BY43" s="2566" t="str">
        <f t="shared" ref="BY43" si="27">IF(BV43="+",0+BW43,"")</f>
        <v/>
      </c>
    </row>
    <row r="44" spans="1:77" ht="20.25" customHeight="1">
      <c r="A44" s="2589" t="str">
        <f t="array" ref="A44">IFERROR(IF(ROW($C$1)&gt;COUNTA($X$37:$X$96),"",INDEX($X:$X,SMALL(IF(X$37:X$96&lt;&gt;"",ROW($37:$96)),ROW(C8)))),"")</f>
        <v/>
      </c>
      <c r="B44" s="2590"/>
      <c r="C44" s="2590"/>
      <c r="D44" s="1752" t="str">
        <f t="array" ref="D44">IFERROR(IF(ROW($D$1)&gt;COUNTA($V$37:$V$96),"",INDEX($V:$V,SMALL(IF(V$37:V$96&lt;&gt;"",ROW($37:$96)),ROW(D8)))),"")</f>
        <v/>
      </c>
      <c r="E44" s="1753" t="str">
        <f t="array" ref="E44">IFERROR(IF(ROW($E$1)&gt;COUNTA($W$37:$W$96),"",INDEX($W:$W,SMALL(IF(W$37:W$96&lt;&gt;"",ROW($37:$96)),ROW(E8)))),"")</f>
        <v/>
      </c>
      <c r="F44" s="1761" t="str">
        <f t="array" ref="F44">IFERROR(IF(ROW($F$1)&gt;COUNTA($AA$37:$AA$96),"",INDEX($AA:$AA,SMALL(IF(AA$37:AA$96&lt;&gt;"",ROW($37:$96)),ROW(F8)))),"")</f>
        <v/>
      </c>
      <c r="G44" s="1658" t="str">
        <f t="array" ref="G44">IFERROR(IF(ROW($G$1)&gt;COUNTA($AC$37:$AC$96),"",INDEX($AC:$AC,SMALL(IF(AC$37:AC$96&lt;&gt;"",ROW($37:$96)),ROW(G8)))),"")</f>
        <v/>
      </c>
      <c r="H44" s="1664" t="str">
        <f t="array" ref="H44">IFERROR(IF(ROW($H$1)&gt;COUNTA($BT$37:$BT$96),"",INDEX($BT:$BT,SMALL(IF(BT$37:BT$96&lt;&gt;"",ROW($37:$96)),ROW(H8)))),"")</f>
        <v/>
      </c>
      <c r="I44" s="1665" t="str">
        <f t="array" ref="I44">IFERROR(IF(ROW($I$1)&gt;COUNTA($AZ$37:$AZ$96),"",INDEX($AZ:$AZ,SMALL(IF(AZ$37:AZ$96&lt;&gt;"",ROW($37:$96)),ROW(I8)))),"")</f>
        <v/>
      </c>
      <c r="J44" s="1666" t="str">
        <f t="array" ref="J44">IFERROR(IF(ROW($J$1)&gt;COUNTA($BA$37:$BA$96),"",INDEX($BA:$BA,SMALL(IF(BA$37:BA$96&lt;&gt;"",ROW($37:$96)),ROW(J8)))),"")</f>
        <v/>
      </c>
      <c r="K44" s="1686" t="str">
        <f t="array" ref="K44">IFERROR(IF(ROW($K$1)&gt;COUNTA($BB$37:$BB$96),"",INDEX($BB:$BB,SMALL(IF(BB$37:BB$96&lt;&gt;"",ROW($37:$96)),ROW(K8)))),"")</f>
        <v/>
      </c>
      <c r="L44" s="1678"/>
      <c r="M44" s="1664" t="str">
        <f t="array" ref="M44">IFERROR(IF(ROW($M$1)&gt;COUNTA($BU$37:$BU$96),"",INDEX($BU:$BU,SMALL(IF(BU$37:BU$96&lt;&gt;"",ROW($37:$96)),ROW(M8)))),"")</f>
        <v/>
      </c>
      <c r="N44" s="1665" t="str">
        <f t="array" ref="N44">IFERROR(IF(ROW($N$1)&gt;COUNTA($BJ$37:$BJ$96),"",INDEX($BJ:$BJ,SMALL(IF(BJ$37:BJ$96&lt;&gt;"",ROW($37:$96)),ROW(N8)))),"")</f>
        <v/>
      </c>
      <c r="O44" s="1666" t="str">
        <f t="array" ref="O44">IFERROR(IF(ROW($O$1)&gt;COUNTA($BK$37:$BK$96),"",INDEX($BK:$BK,SMALL(IF(BK$37:BK$96&lt;&gt;"",ROW($37:$96)),ROW(O8)))),"")</f>
        <v/>
      </c>
      <c r="P44" s="1702" t="str">
        <f t="array" ref="P44">IFERROR(IF(ROW($P$1)&gt;COUNTA($BL$37:$BL$96),"",INDEX($BL:$BL,SMALL(IF(BL$37:BL$96&lt;&gt;"",ROW($37:$96)),ROW(P8)))),"")</f>
        <v/>
      </c>
      <c r="Q44" s="1775"/>
      <c r="R44" s="1775"/>
      <c r="S44" s="1775"/>
      <c r="T44" s="1775"/>
      <c r="U44" s="1608" t="str">
        <f>IF(AND(S_4!$G$8="ja",S_4!$K$8="ja"),S_4!$C$2,"")</f>
        <v/>
      </c>
      <c r="V44" s="747" t="str">
        <f t="shared" si="17"/>
        <v/>
      </c>
      <c r="W44" s="1106" t="str">
        <f>IF($U44="","",S_4!$B$15)</f>
        <v/>
      </c>
      <c r="X44" s="1608" t="str">
        <f>IF($U44="","",S_4!$A$15)</f>
        <v/>
      </c>
      <c r="Y44" s="2604"/>
      <c r="Z44" s="1608" t="str">
        <f>IF($U44="","",S_4!$C$15)</f>
        <v/>
      </c>
      <c r="AA44" s="747" t="str">
        <f t="shared" si="18"/>
        <v/>
      </c>
      <c r="AB44" s="1608" t="str">
        <f>IF($U44="","",S_4!$CM$15)</f>
        <v/>
      </c>
      <c r="AC44" s="747" t="str">
        <f t="shared" si="19"/>
        <v/>
      </c>
      <c r="AQ44" s="1608">
        <f>IF(S_4!$DF$15&gt;0,1,0)</f>
        <v>0</v>
      </c>
      <c r="AR44" s="1608">
        <f>IF(S_4!$DG$15&gt;0,1,0)</f>
        <v>0</v>
      </c>
      <c r="AS44" s="1608">
        <f>IF(S_4!$DH$15&gt;0,1,0)</f>
        <v>0</v>
      </c>
      <c r="AT44" s="1608">
        <f>IF(S_4!$DI$15&gt;0,1,0)</f>
        <v>0</v>
      </c>
      <c r="AU44" s="1608">
        <f>IF(S_4!$DJ$15&gt;0,1,0)</f>
        <v>0</v>
      </c>
      <c r="AV44" s="1608">
        <f>IF(S_4!$DK$15&gt;0,1,0)</f>
        <v>0</v>
      </c>
      <c r="AW44" s="1608">
        <f t="shared" si="22"/>
        <v>0</v>
      </c>
      <c r="AX44" s="1608" t="str">
        <f t="shared" si="5"/>
        <v/>
      </c>
      <c r="AY44" s="1106" t="str">
        <f t="shared" si="0"/>
        <v/>
      </c>
      <c r="AZ44" s="1106" t="str">
        <f t="shared" si="6"/>
        <v/>
      </c>
      <c r="BA44" s="2259" t="str">
        <f t="shared" si="7"/>
        <v/>
      </c>
      <c r="BB44" s="2259" t="str">
        <f t="shared" si="8"/>
        <v/>
      </c>
      <c r="BC44" s="1608">
        <f>IF(S_4!$DN$15&gt;0,1,0)</f>
        <v>0</v>
      </c>
      <c r="BD44" s="1608">
        <f>IF(S_4!$DO$15&gt;0,1,0)</f>
        <v>0</v>
      </c>
      <c r="BE44" s="1608">
        <f>IF(S_4!$DP$15&gt;0,1,0)</f>
        <v>0</v>
      </c>
      <c r="BF44" s="1608">
        <f>IF(S_4!$DQ$15&gt;0,1,0)</f>
        <v>0</v>
      </c>
      <c r="BG44" s="1608">
        <f>IF(S_4!$DR$15&gt;0,1,0)</f>
        <v>0</v>
      </c>
      <c r="BH44" s="1608">
        <f>IF(S_4!$DS$15&gt;0,1,0)</f>
        <v>0</v>
      </c>
      <c r="BI44" s="1608">
        <f t="shared" si="23"/>
        <v>0</v>
      </c>
      <c r="BJ44" s="1106" t="str">
        <f t="shared" si="10"/>
        <v/>
      </c>
      <c r="BK44" s="2259" t="str">
        <f t="shared" si="11"/>
        <v/>
      </c>
      <c r="BL44" s="2259" t="str">
        <f t="shared" si="12"/>
        <v/>
      </c>
      <c r="BN44" s="747">
        <f>S_4!$DE$15</f>
        <v>0</v>
      </c>
      <c r="BO44" s="747">
        <f>S_4!$DM$15</f>
        <v>0</v>
      </c>
      <c r="BP44" s="747">
        <f>S_4!$CP$15</f>
        <v>0</v>
      </c>
      <c r="BQ44" s="747">
        <f>S_4!$CQ$15</f>
        <v>0</v>
      </c>
      <c r="BR44" s="1610" t="e">
        <f>BP44/Betrieb!$E$23</f>
        <v>#DIV/0!</v>
      </c>
      <c r="BS44" s="1610" t="e">
        <f>BQ44/Betrieb!$E$24</f>
        <v>#DIV/0!</v>
      </c>
      <c r="BT44" s="1615" t="str">
        <f t="shared" si="13"/>
        <v/>
      </c>
      <c r="BU44" s="1615" t="str">
        <f t="shared" si="14"/>
        <v/>
      </c>
      <c r="BV44" s="2569"/>
      <c r="BW44" s="2570"/>
      <c r="BX44" s="2566"/>
      <c r="BY44" s="2566"/>
    </row>
    <row r="45" spans="1:77" ht="20.25" customHeight="1">
      <c r="A45" s="2585" t="str">
        <f t="array" ref="A45">IFERROR(IF(ROW($C$1)&gt;COUNTA($X$37:$X$96),"",INDEX($X:$X,SMALL(IF(X$37:X$96&lt;&gt;"",ROW($37:$96)),ROW(C9)))),"")</f>
        <v/>
      </c>
      <c r="B45" s="2586"/>
      <c r="C45" s="2586"/>
      <c r="D45" s="1744" t="str">
        <f t="array" ref="D45">IFERROR(IF(ROW($D$1)&gt;COUNTA($V$37:$V$96),"",INDEX($V:$V,SMALL(IF(V$37:V$96&lt;&gt;"",ROW($37:$96)),ROW(D9)))),"")</f>
        <v/>
      </c>
      <c r="E45" s="1745" t="str">
        <f t="array" ref="E45">IFERROR(IF(ROW($E$1)&gt;COUNTA($W$37:$W$96),"",INDEX($W:$W,SMALL(IF(W$37:W$96&lt;&gt;"",ROW($37:$96)),ROW(E9)))),"")</f>
        <v/>
      </c>
      <c r="F45" s="1763" t="str">
        <f t="array" ref="F45">IFERROR(IF(ROW($F$1)&gt;COUNTA($AA$37:$AA$96),"",INDEX($AA:$AA,SMALL(IF(AA$37:AA$96&lt;&gt;"",ROW($37:$96)),ROW(F9)))),"")</f>
        <v/>
      </c>
      <c r="G45" s="1706" t="str">
        <f t="array" ref="G45">IFERROR(IF(ROW($G$1)&gt;COUNTA($AC$37:$AC$96),"",INDEX($AC:$AC,SMALL(IF(AC$37:AC$96&lt;&gt;"",ROW($37:$96)),ROW(G9)))),"")</f>
        <v/>
      </c>
      <c r="H45" s="1707" t="str">
        <f t="array" ref="H45">IFERROR(IF(ROW($H$1)&gt;COUNTA($BT$37:$BT$96),"",INDEX($BT:$BT,SMALL(IF(BT$37:BT$96&lt;&gt;"",ROW($37:$96)),ROW(H9)))),"")</f>
        <v/>
      </c>
      <c r="I45" s="1690" t="str">
        <f t="array" ref="I45">IFERROR(IF(ROW($I$1)&gt;COUNTA($AZ$37:$AZ$96),"",INDEX($AZ:$AZ,SMALL(IF(AZ$37:AZ$96&lt;&gt;"",ROW($37:$96)),ROW(I9)))),"")</f>
        <v/>
      </c>
      <c r="J45" s="1691" t="str">
        <f t="array" ref="J45">IFERROR(IF(ROW($J$1)&gt;COUNTA($BA$37:$BA$96),"",INDEX($BA:$BA,SMALL(IF(BA$37:BA$96&lt;&gt;"",ROW($37:$96)),ROW(J9)))),"")</f>
        <v/>
      </c>
      <c r="K45" s="1692" t="str">
        <f t="array" ref="K45">IFERROR(IF(ROW($K$1)&gt;COUNTA($BB$37:$BB$96),"",INDEX($BB:$BB,SMALL(IF(BB$37:BB$96&lt;&gt;"",ROW($37:$96)),ROW(K9)))),"")</f>
        <v/>
      </c>
      <c r="L45" s="1693"/>
      <c r="M45" s="1707" t="str">
        <f t="array" ref="M45">IFERROR(IF(ROW($M$1)&gt;COUNTA($BU$37:$BU$96),"",INDEX($BU:$BU,SMALL(IF(BU$37:BU$96&lt;&gt;"",ROW($37:$96)),ROW(M9)))),"")</f>
        <v/>
      </c>
      <c r="N45" s="1690" t="str">
        <f t="array" ref="N45">IFERROR(IF(ROW($N$1)&gt;COUNTA($BJ$37:$BJ$96),"",INDEX($BJ:$BJ,SMALL(IF(BJ$37:BJ$96&lt;&gt;"",ROW($37:$96)),ROW(N9)))),"")</f>
        <v/>
      </c>
      <c r="O45" s="1691" t="str">
        <f t="array" ref="O45">IFERROR(IF(ROW($O$1)&gt;COUNTA($BK$37:$BK$96),"",INDEX($BK:$BK,SMALL(IF(BK$37:BK$96&lt;&gt;"",ROW($37:$96)),ROW(O9)))),"")</f>
        <v/>
      </c>
      <c r="P45" s="1708" t="str">
        <f t="array" ref="P45">IFERROR(IF(ROW($P$1)&gt;COUNTA($BL$37:$BL$96),"",INDEX($BL:$BL,SMALL(IF(BL$37:BL$96&lt;&gt;"",ROW($37:$96)),ROW(P9)))),"")</f>
        <v/>
      </c>
      <c r="Q45" s="1775"/>
      <c r="R45" s="1775"/>
      <c r="S45" s="1775"/>
      <c r="T45" s="1775"/>
      <c r="U45" s="1608" t="str">
        <f>IF(AND(S_5!$G$8="ja",S_5!$K$8="ja"),S_5!$C$2,"")</f>
        <v/>
      </c>
      <c r="V45" s="747" t="str">
        <f t="shared" si="17"/>
        <v/>
      </c>
      <c r="W45" s="1106" t="str">
        <f>IF($U45="","",S_5!$B$14)</f>
        <v/>
      </c>
      <c r="X45" s="1608" t="str">
        <f>IF($U45="","",S_5!$A$14)</f>
        <v/>
      </c>
      <c r="Y45" s="2604" t="str">
        <f>IF($U45="","",Grünland!B9)</f>
        <v/>
      </c>
      <c r="Z45" s="1608" t="str">
        <f>IF($U45="","",S_5!$C$14)</f>
        <v/>
      </c>
      <c r="AA45" s="747" t="str">
        <f t="shared" si="18"/>
        <v/>
      </c>
      <c r="AB45" s="1608" t="str">
        <f>IF($U45="","",S_5!$CM$14)</f>
        <v/>
      </c>
      <c r="AC45" s="747" t="str">
        <f t="shared" si="19"/>
        <v/>
      </c>
      <c r="AQ45" s="1608">
        <f>IF(S_5!$DF$14&gt;0,1,0)</f>
        <v>0</v>
      </c>
      <c r="AR45" s="1608">
        <f>IF(S_5!$DG$14&gt;0,1,0)</f>
        <v>0</v>
      </c>
      <c r="AS45" s="1608">
        <f>IF(S_5!$DH$14&gt;0,1,0)</f>
        <v>0</v>
      </c>
      <c r="AT45" s="1608">
        <f>IF(S_5!$DI$14&gt;0,1,0)</f>
        <v>0</v>
      </c>
      <c r="AU45" s="1608">
        <f>IF(S_5!$DJ$14&gt;0,1,0)</f>
        <v>0</v>
      </c>
      <c r="AV45" s="1608">
        <f>IF(S_5!$DK$14&gt;0,1,0)</f>
        <v>0</v>
      </c>
      <c r="AW45" s="1608">
        <f t="shared" si="22"/>
        <v>0</v>
      </c>
      <c r="AX45" s="1608" t="str">
        <f t="shared" si="5"/>
        <v/>
      </c>
      <c r="AY45" s="1106" t="str">
        <f t="shared" si="0"/>
        <v/>
      </c>
      <c r="AZ45" s="1106" t="str">
        <f t="shared" si="6"/>
        <v/>
      </c>
      <c r="BA45" s="2259" t="str">
        <f t="shared" si="7"/>
        <v/>
      </c>
      <c r="BB45" s="2259" t="str">
        <f t="shared" si="8"/>
        <v/>
      </c>
      <c r="BC45" s="1608">
        <f>IF(S_5!$DN$14&gt;0,1,0)</f>
        <v>0</v>
      </c>
      <c r="BD45" s="1608">
        <f>IF(S_5!$DO$14&gt;0,1,0)</f>
        <v>0</v>
      </c>
      <c r="BE45" s="1608">
        <f>IF(S_5!$DP$14&gt;0,1,0)</f>
        <v>0</v>
      </c>
      <c r="BF45" s="1608">
        <f>IF(S_5!$DQ$14&gt;0,1,0)</f>
        <v>0</v>
      </c>
      <c r="BG45" s="1608">
        <f>IF(S_5!$DR$14&gt;0,1,0)</f>
        <v>0</v>
      </c>
      <c r="BH45" s="1608">
        <f>IF(S_5!$DS$14&gt;0,1,0)</f>
        <v>0</v>
      </c>
      <c r="BI45" s="1608">
        <f t="shared" si="23"/>
        <v>0</v>
      </c>
      <c r="BJ45" s="1106" t="str">
        <f t="shared" si="10"/>
        <v/>
      </c>
      <c r="BK45" s="2259" t="str">
        <f t="shared" si="11"/>
        <v/>
      </c>
      <c r="BL45" s="2259" t="str">
        <f t="shared" si="12"/>
        <v/>
      </c>
      <c r="BN45" s="747">
        <f>S_5!$DE$14</f>
        <v>0</v>
      </c>
      <c r="BO45" s="747">
        <f>S_5!$DM$14</f>
        <v>0</v>
      </c>
      <c r="BP45" s="747">
        <f>S_5!$CP$14</f>
        <v>0</v>
      </c>
      <c r="BQ45" s="747">
        <f>S_5!$CQ$14</f>
        <v>0</v>
      </c>
      <c r="BR45" s="1610" t="e">
        <f>BP45/Betrieb!$E$23</f>
        <v>#DIV/0!</v>
      </c>
      <c r="BS45" s="1610" t="e">
        <f>BQ45/Betrieb!$E$24</f>
        <v>#DIV/0!</v>
      </c>
      <c r="BT45" s="1615" t="str">
        <f t="shared" si="13"/>
        <v/>
      </c>
      <c r="BU45" s="1615" t="str">
        <f t="shared" si="14"/>
        <v/>
      </c>
      <c r="BV45" s="2569">
        <f>IF(AND(S_5!$G$8="JA",S_5!$K$8="JA"),S_5!$U$14,0)</f>
        <v>0</v>
      </c>
      <c r="BW45" s="2570">
        <f>IF(AND(S_5!$G$8="JA",S_5!$K$8="JA"),S_5!$V$14,0)</f>
        <v>0</v>
      </c>
      <c r="BX45" s="2566" t="str">
        <f t="shared" ref="BX45" si="28">IF(BV45="-",0-BW45,"")</f>
        <v/>
      </c>
      <c r="BY45" s="2566" t="str">
        <f t="shared" ref="BY45" si="29">IF(BV45="+",0+BW45,"")</f>
        <v/>
      </c>
    </row>
    <row r="46" spans="1:77" ht="20.25" customHeight="1">
      <c r="A46" s="2587" t="str">
        <f t="array" ref="A46">IFERROR(IF(ROW($C$1)&gt;COUNTA($X$37:$X$96),"",INDEX($X:$X,SMALL(IF(X$37:X$96&lt;&gt;"",ROW($37:$96)),ROW(C10)))),"")</f>
        <v/>
      </c>
      <c r="B46" s="2588"/>
      <c r="C46" s="2588"/>
      <c r="D46" s="1746" t="str">
        <f t="array" ref="D46">IFERROR(IF(ROW($D$1)&gt;COUNTA($V$37:$V$96),"",INDEX($V:$V,SMALL(IF(V$37:V$96&lt;&gt;"",ROW($37:$96)),ROW(D10)))),"")</f>
        <v/>
      </c>
      <c r="E46" s="1747" t="str">
        <f t="array" ref="E46">IFERROR(IF(ROW($E$1)&gt;COUNTA($W$37:$W$96),"",INDEX($W:$W,SMALL(IF(W$37:W$96&lt;&gt;"",ROW($37:$96)),ROW(E10)))),"")</f>
        <v/>
      </c>
      <c r="F46" s="1764" t="str">
        <f t="array" ref="F46">IFERROR(IF(ROW($F$1)&gt;COUNTA($AA$37:$AA$96),"",INDEX($AA:$AA,SMALL(IF(AA$37:AA$96&lt;&gt;"",ROW($37:$96)),ROW(F10)))),"")</f>
        <v/>
      </c>
      <c r="G46" s="1659" t="str">
        <f t="array" ref="G46">IFERROR(IF(ROW($G$1)&gt;COUNTA($AC$37:$AC$96),"",INDEX($AC:$AC,SMALL(IF(AC$37:AC$96&lt;&gt;"",ROW($37:$96)),ROW(G10)))),"")</f>
        <v/>
      </c>
      <c r="H46" s="1667" t="str">
        <f t="array" ref="H46">IFERROR(IF(ROW($H$1)&gt;COUNTA($BT$37:$BT$96),"",INDEX($BT:$BT,SMALL(IF(BT$37:BT$96&lt;&gt;"",ROW($37:$96)),ROW(H10)))),"")</f>
        <v/>
      </c>
      <c r="I46" s="1668" t="str">
        <f t="array" ref="I46">IFERROR(IF(ROW($I$1)&gt;COUNTA($AZ$37:$AZ$96),"",INDEX($AZ:$AZ,SMALL(IF(AZ$37:AZ$96&lt;&gt;"",ROW($37:$96)),ROW(I10)))),"")</f>
        <v/>
      </c>
      <c r="J46" s="1669" t="str">
        <f t="array" ref="J46">IFERROR(IF(ROW($J$1)&gt;COUNTA($BA$37:$BA$96),"",INDEX($BA:$BA,SMALL(IF(BA$37:BA$96&lt;&gt;"",ROW($37:$96)),ROW(J10)))),"")</f>
        <v/>
      </c>
      <c r="K46" s="1688" t="str">
        <f t="array" ref="K46">IFERROR(IF(ROW($K$1)&gt;COUNTA($BB$37:$BB$96),"",INDEX($BB:$BB,SMALL(IF(BB$37:BB$96&lt;&gt;"",ROW($37:$96)),ROW(K10)))),"")</f>
        <v/>
      </c>
      <c r="L46" s="1694"/>
      <c r="M46" s="1667" t="str">
        <f t="array" ref="M46">IFERROR(IF(ROW($M$1)&gt;COUNTA($BU$37:$BU$96),"",INDEX($BU:$BU,SMALL(IF(BU$37:BU$96&lt;&gt;"",ROW($37:$96)),ROW(M10)))),"")</f>
        <v/>
      </c>
      <c r="N46" s="1668" t="str">
        <f t="array" ref="N46">IFERROR(IF(ROW($N$1)&gt;COUNTA($BJ$37:$BJ$96),"",INDEX($BJ:$BJ,SMALL(IF(BJ$37:BJ$96&lt;&gt;"",ROW($37:$96)),ROW(N10)))),"")</f>
        <v/>
      </c>
      <c r="O46" s="1669" t="str">
        <f t="array" ref="O46">IFERROR(IF(ROW($O$1)&gt;COUNTA($BK$37:$BK$96),"",INDEX($BK:$BK,SMALL(IF(BK$37:BK$96&lt;&gt;"",ROW($37:$96)),ROW(O10)))),"")</f>
        <v/>
      </c>
      <c r="P46" s="1709" t="str">
        <f t="array" ref="P46">IFERROR(IF(ROW($P$1)&gt;COUNTA($BL$37:$BL$96),"",INDEX($BL:$BL,SMALL(IF(BL$37:BL$96&lt;&gt;"",ROW($37:$96)),ROW(P10)))),"")</f>
        <v/>
      </c>
      <c r="Q46" s="1775"/>
      <c r="R46" s="1775"/>
      <c r="S46" s="1775"/>
      <c r="T46" s="1775"/>
      <c r="U46" s="1608" t="str">
        <f>IF(AND(S_5!$G$8="ja",S_5!$K$8="ja"),S_5!$C$2,"")</f>
        <v/>
      </c>
      <c r="V46" s="747" t="str">
        <f t="shared" si="17"/>
        <v/>
      </c>
      <c r="W46" s="1106" t="str">
        <f>IF($U46="","",S_5!$B$15)</f>
        <v/>
      </c>
      <c r="X46" s="1608" t="str">
        <f>IF($U46="","",S_5!$A$15)</f>
        <v/>
      </c>
      <c r="Y46" s="2604"/>
      <c r="Z46" s="1608" t="str">
        <f>IF($U46="","",S_5!$C$15)</f>
        <v/>
      </c>
      <c r="AA46" s="747" t="str">
        <f t="shared" si="18"/>
        <v/>
      </c>
      <c r="AB46" s="1608" t="str">
        <f>IF($U46="","",S_5!$CM$15)</f>
        <v/>
      </c>
      <c r="AC46" s="747" t="str">
        <f t="shared" si="19"/>
        <v/>
      </c>
      <c r="AQ46" s="1608">
        <f>IF(S_5!$DF$15&gt;0,1,0)</f>
        <v>0</v>
      </c>
      <c r="AR46" s="1608">
        <f>IF(S_5!$DG$15&gt;0,1,0)</f>
        <v>0</v>
      </c>
      <c r="AS46" s="1608">
        <f>IF(S_5!$DH$15&gt;0,1,0)</f>
        <v>0</v>
      </c>
      <c r="AT46" s="1608">
        <f>IF(S_5!$DI$15&gt;0,1,0)</f>
        <v>0</v>
      </c>
      <c r="AU46" s="1608">
        <f>IF(S_5!$DJ$15&gt;0,1,0)</f>
        <v>0</v>
      </c>
      <c r="AV46" s="1608">
        <f>IF(S_5!$DK$15&gt;0,1,0)</f>
        <v>0</v>
      </c>
      <c r="AW46" s="1608">
        <f t="shared" si="22"/>
        <v>0</v>
      </c>
      <c r="AX46" s="1608" t="str">
        <f t="shared" si="5"/>
        <v/>
      </c>
      <c r="AY46" s="1106" t="str">
        <f t="shared" si="0"/>
        <v/>
      </c>
      <c r="AZ46" s="1106" t="str">
        <f t="shared" si="6"/>
        <v/>
      </c>
      <c r="BA46" s="2259" t="str">
        <f t="shared" si="7"/>
        <v/>
      </c>
      <c r="BB46" s="2259" t="str">
        <f t="shared" si="8"/>
        <v/>
      </c>
      <c r="BC46" s="1608">
        <f>IF(S_5!$DN$15&gt;0,1,0)</f>
        <v>0</v>
      </c>
      <c r="BD46" s="1608">
        <f>IF(S_5!$DO$15&gt;0,1,0)</f>
        <v>0</v>
      </c>
      <c r="BE46" s="1608">
        <f>IF(S_5!$DP$15&gt;0,1,0)</f>
        <v>0</v>
      </c>
      <c r="BF46" s="1608">
        <f>IF(S_5!$DQ$15&gt;0,1,0)</f>
        <v>0</v>
      </c>
      <c r="BG46" s="1608">
        <f>IF(S_5!$DR$15&gt;0,1,0)</f>
        <v>0</v>
      </c>
      <c r="BH46" s="1608">
        <f>IF(S_5!$DS$15&gt;0,1,0)</f>
        <v>0</v>
      </c>
      <c r="BI46" s="1608">
        <f t="shared" si="23"/>
        <v>0</v>
      </c>
      <c r="BJ46" s="1106" t="str">
        <f t="shared" si="10"/>
        <v/>
      </c>
      <c r="BK46" s="2259" t="str">
        <f t="shared" si="11"/>
        <v/>
      </c>
      <c r="BL46" s="2259" t="str">
        <f t="shared" si="12"/>
        <v/>
      </c>
      <c r="BN46" s="747">
        <f>S_5!$DE$15</f>
        <v>0</v>
      </c>
      <c r="BO46" s="747">
        <f>S_5!$DM$15</f>
        <v>0</v>
      </c>
      <c r="BP46" s="747">
        <f>S_5!$CP$15</f>
        <v>0</v>
      </c>
      <c r="BQ46" s="747">
        <f>S_5!$CQ$15</f>
        <v>0</v>
      </c>
      <c r="BR46" s="1610" t="e">
        <f>BP46/Betrieb!$E$23</f>
        <v>#DIV/0!</v>
      </c>
      <c r="BS46" s="1610" t="e">
        <f>BQ46/Betrieb!$E$24</f>
        <v>#DIV/0!</v>
      </c>
      <c r="BT46" s="1615" t="str">
        <f t="shared" si="13"/>
        <v/>
      </c>
      <c r="BU46" s="1615" t="str">
        <f t="shared" si="14"/>
        <v/>
      </c>
      <c r="BV46" s="2569"/>
      <c r="BW46" s="2570"/>
      <c r="BX46" s="2566"/>
      <c r="BY46" s="2566"/>
    </row>
    <row r="47" spans="1:77" ht="20.25" customHeight="1">
      <c r="A47" s="2576" t="str">
        <f t="array" ref="A47">IFERROR(IF(ROW($C$1)&gt;COUNTA($X$37:$X$96),"",INDEX($X:$X,SMALL(IF(X$37:X$96&lt;&gt;"",ROW($37:$96)),ROW(C11)))),"")</f>
        <v/>
      </c>
      <c r="B47" s="2577"/>
      <c r="C47" s="2577"/>
      <c r="D47" s="1754" t="str">
        <f t="array" ref="D47">IFERROR(IF(ROW($D$1)&gt;COUNTA($V$37:$V$96),"",INDEX($V:$V,SMALL(IF(V$37:V$96&lt;&gt;"",ROW($37:$96)),ROW(D11)))),"")</f>
        <v/>
      </c>
      <c r="E47" s="1755" t="str">
        <f t="array" ref="E47">IFERROR(IF(ROW($E$1)&gt;COUNTA($W$37:$W$96),"",INDEX($W:$W,SMALL(IF(W$37:W$96&lt;&gt;"",ROW($37:$96)),ROW(E11)))),"")</f>
        <v/>
      </c>
      <c r="F47" s="1765" t="str">
        <f t="array" ref="F47">IFERROR(IF(ROW($F$1)&gt;COUNTA($AA$37:$AA$96),"",INDEX($AA:$AA,SMALL(IF(AA$37:AA$96&lt;&gt;"",ROW($37:$96)),ROW(F11)))),"")</f>
        <v/>
      </c>
      <c r="G47" s="1710" t="str">
        <f t="array" ref="G47">IFERROR(IF(ROW($G$1)&gt;COUNTA($AC$37:$AC$96),"",INDEX($AC:$AC,SMALL(IF(AC$37:AC$96&lt;&gt;"",ROW($37:$96)),ROW(G11)))),"")</f>
        <v/>
      </c>
      <c r="H47" s="1711" t="str">
        <f t="array" ref="H47">IFERROR(IF(ROW($H$1)&gt;COUNTA($BT$37:$BT$96),"",INDEX($BT:$BT,SMALL(IF(BT$37:BT$96&lt;&gt;"",ROW($37:$96)),ROW(H11)))),"")</f>
        <v/>
      </c>
      <c r="I47" s="1695" t="str">
        <f t="array" ref="I47">IFERROR(IF(ROW($I$1)&gt;COUNTA($AZ$37:$AZ$96),"",INDEX($AZ:$AZ,SMALL(IF(AZ$37:AZ$96&lt;&gt;"",ROW($37:$96)),ROW(I11)))),"")</f>
        <v/>
      </c>
      <c r="J47" s="1696" t="str">
        <f t="array" ref="J47">IFERROR(IF(ROW($J$1)&gt;COUNTA($BA$37:$BA$96),"",INDEX($BA:$BA,SMALL(IF(BA$37:BA$96&lt;&gt;"",ROW($37:$96)),ROW(J11)))),"")</f>
        <v/>
      </c>
      <c r="K47" s="1697" t="str">
        <f t="array" ref="K47">IFERROR(IF(ROW($K$1)&gt;COUNTA($BB$37:$BB$96),"",INDEX($BB:$BB,SMALL(IF(BB$37:BB$96&lt;&gt;"",ROW($37:$96)),ROW(K11)))),"")</f>
        <v/>
      </c>
      <c r="L47" s="1698"/>
      <c r="M47" s="1711" t="str">
        <f t="array" ref="M47">IFERROR(IF(ROW($M$1)&gt;COUNTA($BU$37:$BU$96),"",INDEX($BU:$BU,SMALL(IF(BU$37:BU$96&lt;&gt;"",ROW($37:$96)),ROW(M11)))),"")</f>
        <v/>
      </c>
      <c r="N47" s="1695" t="str">
        <f t="array" ref="N47">IFERROR(IF(ROW($N$1)&gt;COUNTA($BJ$37:$BJ$96),"",INDEX($BJ:$BJ,SMALL(IF(BJ$37:BJ$96&lt;&gt;"",ROW($37:$96)),ROW(N11)))),"")</f>
        <v/>
      </c>
      <c r="O47" s="1696" t="str">
        <f t="array" ref="O47">IFERROR(IF(ROW($O$1)&gt;COUNTA($BK$37:$BK$96),"",INDEX($BK:$BK,SMALL(IF(BK$37:BK$96&lt;&gt;"",ROW($37:$96)),ROW(O11)))),"")</f>
        <v/>
      </c>
      <c r="P47" s="1712" t="str">
        <f t="array" ref="P47">IFERROR(IF(ROW($P$1)&gt;COUNTA($BL$37:$BL$96),"",INDEX($BL:$BL,SMALL(IF(BL$37:BL$96&lt;&gt;"",ROW($37:$96)),ROW(P11)))),"")</f>
        <v/>
      </c>
      <c r="Q47" s="1775"/>
      <c r="R47" s="1775"/>
      <c r="S47" s="1775"/>
      <c r="T47" s="1775"/>
      <c r="U47" s="1608" t="str">
        <f>IF(AND(S_6!$G$8="ja",S_6!$K$8="ja"),S_6!$C$2,"")</f>
        <v/>
      </c>
      <c r="V47" s="747" t="str">
        <f t="shared" si="17"/>
        <v/>
      </c>
      <c r="W47" s="1106" t="str">
        <f>IF($U47="","",S_6!$B$14)</f>
        <v/>
      </c>
      <c r="X47" s="1608" t="str">
        <f>IF($U47="","",S_6!$A$14)</f>
        <v/>
      </c>
      <c r="Y47" s="2604" t="str">
        <f>IF($U47="","",Grünland!B10)</f>
        <v/>
      </c>
      <c r="Z47" s="1608" t="str">
        <f>IF($U47="","",S_6!$C$14)</f>
        <v/>
      </c>
      <c r="AA47" s="747" t="str">
        <f t="shared" si="18"/>
        <v/>
      </c>
      <c r="AB47" s="1608" t="str">
        <f>IF($U47="","",S_6!$CM$14)</f>
        <v/>
      </c>
      <c r="AC47" s="747" t="str">
        <f t="shared" si="19"/>
        <v/>
      </c>
      <c r="AQ47" s="1608">
        <f>IF(S_6!$DF$14&gt;0,1,0)</f>
        <v>0</v>
      </c>
      <c r="AR47" s="1608">
        <f>IF(S_6!$DG$14&gt;0,1,0)</f>
        <v>0</v>
      </c>
      <c r="AS47" s="1608">
        <f>IF(S_6!$DH$14&gt;0,1,0)</f>
        <v>0</v>
      </c>
      <c r="AT47" s="1608">
        <f>IF(S_6!$DI$14&gt;0,1,0)</f>
        <v>0</v>
      </c>
      <c r="AU47" s="1608">
        <f>IF(S_6!$DJ$14&gt;0,1,0)</f>
        <v>0</v>
      </c>
      <c r="AV47" s="1608">
        <f>IF(S_6!$DK$14&gt;0,1,0)</f>
        <v>0</v>
      </c>
      <c r="AW47" s="1608">
        <f t="shared" si="22"/>
        <v>0</v>
      </c>
      <c r="AX47" s="1608" t="str">
        <f t="shared" si="5"/>
        <v/>
      </c>
      <c r="AY47" s="1106" t="str">
        <f t="shared" si="0"/>
        <v/>
      </c>
      <c r="AZ47" s="1106" t="str">
        <f t="shared" si="6"/>
        <v/>
      </c>
      <c r="BA47" s="2259" t="str">
        <f t="shared" si="7"/>
        <v/>
      </c>
      <c r="BB47" s="2259" t="str">
        <f t="shared" si="8"/>
        <v/>
      </c>
      <c r="BC47" s="1608">
        <f>IF(S_6!$DN$14&gt;0,1,0)</f>
        <v>0</v>
      </c>
      <c r="BD47" s="1608">
        <f>IF(S_6!$DO$14&gt;0,1,0)</f>
        <v>0</v>
      </c>
      <c r="BE47" s="1608">
        <f>IF(S_6!$DP$14&gt;0,1,0)</f>
        <v>0</v>
      </c>
      <c r="BF47" s="1608">
        <f>IF(S_6!$DQ$14&gt;0,1,0)</f>
        <v>0</v>
      </c>
      <c r="BG47" s="1608">
        <f>IF(S_6!$DR$14&gt;0,1,0)</f>
        <v>0</v>
      </c>
      <c r="BH47" s="1608">
        <f>IF(S_6!$DS$14&gt;0,1,0)</f>
        <v>0</v>
      </c>
      <c r="BI47" s="1608">
        <f t="shared" si="23"/>
        <v>0</v>
      </c>
      <c r="BJ47" s="1106" t="str">
        <f t="shared" si="10"/>
        <v/>
      </c>
      <c r="BK47" s="2259" t="str">
        <f t="shared" si="11"/>
        <v/>
      </c>
      <c r="BL47" s="2259" t="str">
        <f t="shared" si="12"/>
        <v/>
      </c>
      <c r="BN47" s="747">
        <f>S_6!$DE$14</f>
        <v>0</v>
      </c>
      <c r="BO47" s="747">
        <f>S_6!$DM$14</f>
        <v>0</v>
      </c>
      <c r="BP47" s="747">
        <f>S_6!$CP$14</f>
        <v>0</v>
      </c>
      <c r="BQ47" s="747">
        <f>S_6!$CQ$14</f>
        <v>0</v>
      </c>
      <c r="BR47" s="1610" t="e">
        <f>BP47/Betrieb!$E$23</f>
        <v>#DIV/0!</v>
      </c>
      <c r="BS47" s="1610" t="e">
        <f>BQ47/Betrieb!$E$24</f>
        <v>#DIV/0!</v>
      </c>
      <c r="BT47" s="1615" t="str">
        <f t="shared" si="13"/>
        <v/>
      </c>
      <c r="BU47" s="1615" t="str">
        <f t="shared" si="14"/>
        <v/>
      </c>
      <c r="BV47" s="2569">
        <f>IF(AND(S_6!$G$8="JA",S_6!$K$8="JA"),S_6!$U$14,0)</f>
        <v>0</v>
      </c>
      <c r="BW47" s="2570">
        <f>IF(AND(S_6!$G$8="JA",S_6!$K$8="JA"),S_6!$V$14,0)</f>
        <v>0</v>
      </c>
      <c r="BX47" s="2566" t="str">
        <f t="shared" ref="BX47" si="30">IF(BV47="-",0-BW47,"")</f>
        <v/>
      </c>
      <c r="BY47" s="2566" t="str">
        <f t="shared" ref="BY47" si="31">IF(BV47="+",0+BW47,"")</f>
        <v/>
      </c>
    </row>
    <row r="48" spans="1:77" ht="20.25" customHeight="1">
      <c r="A48" s="2578" t="str">
        <f t="array" ref="A48">IFERROR(IF(ROW($C$1)&gt;COUNTA($X$37:$X$96),"",INDEX($X:$X,SMALL(IF(X$37:X$96&lt;&gt;"",ROW($37:$96)),ROW(C12)))),"")</f>
        <v/>
      </c>
      <c r="B48" s="2579"/>
      <c r="C48" s="2579"/>
      <c r="D48" s="1756" t="str">
        <f t="array" ref="D48">IFERROR(IF(ROW($D$1)&gt;COUNTA($V$37:$V$96),"",INDEX($V:$V,SMALL(IF(V$37:V$96&lt;&gt;"",ROW($37:$96)),ROW(D12)))),"")</f>
        <v/>
      </c>
      <c r="E48" s="1757" t="str">
        <f t="array" ref="E48">IFERROR(IF(ROW($E$1)&gt;COUNTA($W$37:$W$96),"",INDEX($W:$W,SMALL(IF(W$37:W$96&lt;&gt;"",ROW($37:$96)),ROW(E12)))),"")</f>
        <v/>
      </c>
      <c r="F48" s="1766" t="str">
        <f t="array" ref="F48">IFERROR(IF(ROW($F$1)&gt;COUNTA($AA$37:$AA$96),"",INDEX($AA:$AA,SMALL(IF(AA$37:AA$96&lt;&gt;"",ROW($37:$96)),ROW(F12)))),"")</f>
        <v/>
      </c>
      <c r="G48" s="1660" t="str">
        <f t="array" ref="G48">IFERROR(IF(ROW($G$1)&gt;COUNTA($AC$37:$AC$96),"",INDEX($AC:$AC,SMALL(IF(AC$37:AC$96&lt;&gt;"",ROW($37:$96)),ROW(G12)))),"")</f>
        <v/>
      </c>
      <c r="H48" s="1670" t="str">
        <f t="array" ref="H48">IFERROR(IF(ROW($H$1)&gt;COUNTA($BT$37:$BT$96),"",INDEX($BT:$BT,SMALL(IF(BT$37:BT$96&lt;&gt;"",ROW($37:$96)),ROW(H12)))),"")</f>
        <v/>
      </c>
      <c r="I48" s="1671" t="str">
        <f t="array" ref="I48">IFERROR(IF(ROW($I$1)&gt;COUNTA($AZ$37:$AZ$96),"",INDEX($AZ:$AZ,SMALL(IF(AZ$37:AZ$96&lt;&gt;"",ROW($37:$96)),ROW(I12)))),"")</f>
        <v/>
      </c>
      <c r="J48" s="1672" t="str">
        <f t="array" ref="J48">IFERROR(IF(ROW($J$1)&gt;COUNTA($BA$37:$BA$96),"",INDEX($BA:$BA,SMALL(IF(BA$37:BA$96&lt;&gt;"",ROW($37:$96)),ROW(J12)))),"")</f>
        <v/>
      </c>
      <c r="K48" s="1689" t="str">
        <f t="array" ref="K48">IFERROR(IF(ROW($K$1)&gt;COUNTA($BB$37:$BB$96),"",INDEX($BB:$BB,SMALL(IF(BB$37:BB$96&lt;&gt;"",ROW($37:$96)),ROW(K12)))),"")</f>
        <v/>
      </c>
      <c r="L48" s="1699"/>
      <c r="M48" s="1670" t="str">
        <f t="array" ref="M48">IFERROR(IF(ROW($M$1)&gt;COUNTA($BU$37:$BU$96),"",INDEX($BU:$BU,SMALL(IF(BU$37:BU$96&lt;&gt;"",ROW($37:$96)),ROW(M12)))),"")</f>
        <v/>
      </c>
      <c r="N48" s="1671" t="str">
        <f t="array" ref="N48">IFERROR(IF(ROW($N$1)&gt;COUNTA($BJ$37:$BJ$96),"",INDEX($BJ:$BJ,SMALL(IF(BJ$37:BJ$96&lt;&gt;"",ROW($37:$96)),ROW(N12)))),"")</f>
        <v/>
      </c>
      <c r="O48" s="1672" t="str">
        <f t="array" ref="O48">IFERROR(IF(ROW($O$1)&gt;COUNTA($BK$37:$BK$96),"",INDEX($BK:$BK,SMALL(IF(BK$37:BK$96&lt;&gt;"",ROW($37:$96)),ROW(O12)))),"")</f>
        <v/>
      </c>
      <c r="P48" s="1713" t="str">
        <f t="array" ref="P48">IFERROR(IF(ROW($P$1)&gt;COUNTA($BL$37:$BL$96),"",INDEX($BL:$BL,SMALL(IF(BL$37:BL$96&lt;&gt;"",ROW($37:$96)),ROW(P12)))),"")</f>
        <v/>
      </c>
      <c r="Q48" s="1775"/>
      <c r="R48" s="1775"/>
      <c r="S48" s="1775"/>
      <c r="T48" s="1775"/>
      <c r="U48" s="1608" t="str">
        <f>IF(AND(S_6!$G$8="ja",S_6!$K$8="ja"),S_6!$C$2,"")</f>
        <v/>
      </c>
      <c r="V48" s="747" t="str">
        <f t="shared" si="17"/>
        <v/>
      </c>
      <c r="W48" s="1106" t="str">
        <f>IF($U48="","",S_6!$B$15)</f>
        <v/>
      </c>
      <c r="X48" s="1608" t="str">
        <f>IF($U48="","",S_6!$A$15)</f>
        <v/>
      </c>
      <c r="Y48" s="2604"/>
      <c r="Z48" s="1608" t="str">
        <f>IF($U48="","",S_6!$C$15)</f>
        <v/>
      </c>
      <c r="AA48" s="747" t="str">
        <f t="shared" si="18"/>
        <v/>
      </c>
      <c r="AB48" s="1608" t="str">
        <f>IF($U48="","",S_6!$CM$15)</f>
        <v/>
      </c>
      <c r="AC48" s="747" t="str">
        <f t="shared" si="19"/>
        <v/>
      </c>
      <c r="AQ48" s="1608">
        <f>IF(S_6!$DF$15&gt;0,1,0)</f>
        <v>0</v>
      </c>
      <c r="AR48" s="1608">
        <f>IF(S_6!$DG$15&gt;0,1,0)</f>
        <v>0</v>
      </c>
      <c r="AS48" s="1608">
        <f>IF(S_6!$DH$15&gt;0,1,0)</f>
        <v>0</v>
      </c>
      <c r="AT48" s="1608">
        <f>IF(S_6!$DI$15&gt;0,1,0)</f>
        <v>0</v>
      </c>
      <c r="AU48" s="1608">
        <f>IF(S_6!$DJ$15&gt;0,1,0)</f>
        <v>0</v>
      </c>
      <c r="AV48" s="1608">
        <f>IF(S_6!$DK$15&gt;0,1,0)</f>
        <v>0</v>
      </c>
      <c r="AW48" s="1608">
        <f t="shared" si="22"/>
        <v>0</v>
      </c>
      <c r="AX48" s="1608" t="str">
        <f t="shared" si="5"/>
        <v/>
      </c>
      <c r="AY48" s="1106" t="str">
        <f t="shared" si="0"/>
        <v/>
      </c>
      <c r="AZ48" s="1106" t="str">
        <f t="shared" si="6"/>
        <v/>
      </c>
      <c r="BA48" s="2259" t="str">
        <f t="shared" si="7"/>
        <v/>
      </c>
      <c r="BB48" s="2259" t="str">
        <f t="shared" si="8"/>
        <v/>
      </c>
      <c r="BC48" s="1608">
        <f>IF(S_6!$DN$15&gt;0,1,0)</f>
        <v>0</v>
      </c>
      <c r="BD48" s="1608">
        <f>IF(S_6!$DO$15&gt;0,1,0)</f>
        <v>0</v>
      </c>
      <c r="BE48" s="1608">
        <f>IF(S_6!$DP$15&gt;0,1,0)</f>
        <v>0</v>
      </c>
      <c r="BF48" s="1608">
        <f>IF(S_6!$DQ$15&gt;0,1,0)</f>
        <v>0</v>
      </c>
      <c r="BG48" s="1608">
        <f>IF(S_6!$DR$15&gt;0,1,0)</f>
        <v>0</v>
      </c>
      <c r="BH48" s="1608">
        <f>IF(S_6!$DS$15&gt;0,1,0)</f>
        <v>0</v>
      </c>
      <c r="BI48" s="1608">
        <f t="shared" si="23"/>
        <v>0</v>
      </c>
      <c r="BJ48" s="1106" t="str">
        <f t="shared" si="10"/>
        <v/>
      </c>
      <c r="BK48" s="2259" t="str">
        <f t="shared" si="11"/>
        <v/>
      </c>
      <c r="BL48" s="2259" t="str">
        <f t="shared" si="12"/>
        <v/>
      </c>
      <c r="BN48" s="747">
        <f>S_6!$DE$15</f>
        <v>0</v>
      </c>
      <c r="BO48" s="747">
        <f>S_6!$DM$15</f>
        <v>0</v>
      </c>
      <c r="BP48" s="747">
        <f>S_6!$CP$15</f>
        <v>0</v>
      </c>
      <c r="BQ48" s="747">
        <f>S_6!$CQ$15</f>
        <v>0</v>
      </c>
      <c r="BR48" s="1610" t="e">
        <f>BP48/Betrieb!$E$23</f>
        <v>#DIV/0!</v>
      </c>
      <c r="BS48" s="1610" t="e">
        <f>BQ48/Betrieb!$E$24</f>
        <v>#DIV/0!</v>
      </c>
      <c r="BT48" s="1615" t="str">
        <f t="shared" si="13"/>
        <v/>
      </c>
      <c r="BU48" s="1615" t="str">
        <f t="shared" si="14"/>
        <v/>
      </c>
      <c r="BV48" s="2569"/>
      <c r="BW48" s="2570"/>
      <c r="BX48" s="2566"/>
      <c r="BY48" s="2566"/>
    </row>
    <row r="49" spans="1:77" ht="20.25" customHeight="1">
      <c r="A49" s="2585" t="str">
        <f t="array" ref="A49">IFERROR(IF(ROW($C$1)&gt;COUNTA($X$37:$X$96),"",INDEX($X:$X,SMALL(IF(X$37:X$96&lt;&gt;"",ROW($37:$96)),ROW(C13)))),"")</f>
        <v/>
      </c>
      <c r="B49" s="2586"/>
      <c r="C49" s="2586"/>
      <c r="D49" s="1744" t="str">
        <f t="array" ref="D49">IFERROR(IF(ROW($D$1)&gt;COUNTA($V$37:$V$96),"",INDEX($V:$V,SMALL(IF(V$37:V$96&lt;&gt;"",ROW($37:$96)),ROW(D13)))),"")</f>
        <v/>
      </c>
      <c r="E49" s="1745" t="str">
        <f t="array" ref="E49">IFERROR(IF(ROW($E$1)&gt;COUNTA($W$37:$W$96),"",INDEX($W:$W,SMALL(IF(W$37:W$96&lt;&gt;"",ROW($37:$96)),ROW(E13)))),"")</f>
        <v/>
      </c>
      <c r="F49" s="1763" t="str">
        <f t="array" ref="F49">IFERROR(IF(ROW($F$1)&gt;COUNTA($AA$37:$AA$96),"",INDEX($AA:$AA,SMALL(IF(AA$37:AA$96&lt;&gt;"",ROW($37:$96)),ROW(F13)))),"")</f>
        <v/>
      </c>
      <c r="G49" s="1706" t="str">
        <f t="array" ref="G49">IFERROR(IF(ROW($G$1)&gt;COUNTA($AC$37:$AC$96),"",INDEX($AC:$AC,SMALL(IF(AC$37:AC$96&lt;&gt;"",ROW($37:$96)),ROW(G13)))),"")</f>
        <v/>
      </c>
      <c r="H49" s="1707" t="str">
        <f t="array" ref="H49">IFERROR(IF(ROW($H$1)&gt;COUNTA($BT$37:$BT$96),"",INDEX($BT:$BT,SMALL(IF(BT$37:BT$96&lt;&gt;"",ROW($37:$96)),ROW(H13)))),"")</f>
        <v/>
      </c>
      <c r="I49" s="1690" t="str">
        <f t="array" ref="I49">IFERROR(IF(ROW($I$1)&gt;COUNTA($AZ$37:$AZ$96),"",INDEX($AZ:$AZ,SMALL(IF(AZ$37:AZ$96&lt;&gt;"",ROW($37:$96)),ROW(I13)))),"")</f>
        <v/>
      </c>
      <c r="J49" s="1691" t="str">
        <f t="array" ref="J49">IFERROR(IF(ROW($J$1)&gt;COUNTA($BA$37:$BA$96),"",INDEX($BA:$BA,SMALL(IF(BA$37:BA$96&lt;&gt;"",ROW($37:$96)),ROW(J13)))),"")</f>
        <v/>
      </c>
      <c r="K49" s="1692" t="str">
        <f t="array" ref="K49">IFERROR(IF(ROW($K$1)&gt;COUNTA($BB$37:$BB$96),"",INDEX($BB:$BB,SMALL(IF(BB$37:BB$96&lt;&gt;"",ROW($37:$96)),ROW(K13)))),"")</f>
        <v/>
      </c>
      <c r="L49" s="1693"/>
      <c r="M49" s="1707" t="str">
        <f t="array" ref="M49">IFERROR(IF(ROW($M$1)&gt;COUNTA($BU$37:$BU$96),"",INDEX($BU:$BU,SMALL(IF(BU$37:BU$96&lt;&gt;"",ROW($37:$96)),ROW(M13)))),"")</f>
        <v/>
      </c>
      <c r="N49" s="1690" t="str">
        <f t="array" ref="N49">IFERROR(IF(ROW($N$1)&gt;COUNTA($BJ$37:$BJ$96),"",INDEX($BJ:$BJ,SMALL(IF(BJ$37:BJ$96&lt;&gt;"",ROW($37:$96)),ROW(N13)))),"")</f>
        <v/>
      </c>
      <c r="O49" s="1691" t="str">
        <f t="array" ref="O49">IFERROR(IF(ROW($O$1)&gt;COUNTA($BK$37:$BK$96),"",INDEX($BK:$BK,SMALL(IF(BK$37:BK$96&lt;&gt;"",ROW($37:$96)),ROW(O13)))),"")</f>
        <v/>
      </c>
      <c r="P49" s="1708" t="str">
        <f t="array" ref="P49">IFERROR(IF(ROW($P$1)&gt;COUNTA($BL$37:$BL$96),"",INDEX($BL:$BL,SMALL(IF(BL$37:BL$96&lt;&gt;"",ROW($37:$96)),ROW(P13)))),"")</f>
        <v/>
      </c>
      <c r="Q49" s="1775"/>
      <c r="R49" s="1775"/>
      <c r="S49" s="1775"/>
      <c r="T49" s="1775"/>
      <c r="U49" s="1608" t="str">
        <f>IF(AND(S_7!$G$8="ja",S_7!$K$8="ja"),S_7!$C$2,"")</f>
        <v/>
      </c>
      <c r="V49" s="747" t="str">
        <f t="shared" si="17"/>
        <v/>
      </c>
      <c r="W49" s="1106" t="str">
        <f>IF($U49="","",S_7!$B$14)</f>
        <v/>
      </c>
      <c r="X49" s="1608" t="str">
        <f>IF($U49="","",S_7!$A$14)</f>
        <v/>
      </c>
      <c r="Y49" s="2604" t="str">
        <f>IF($U49="","",Grünland!B11)</f>
        <v/>
      </c>
      <c r="Z49" s="1608" t="str">
        <f>IF($U49="","",S_7!$C$14)</f>
        <v/>
      </c>
      <c r="AA49" s="747" t="str">
        <f t="shared" si="18"/>
        <v/>
      </c>
      <c r="AB49" s="1608" t="str">
        <f>IF($U49="","",S_7!$CM$14)</f>
        <v/>
      </c>
      <c r="AC49" s="747" t="str">
        <f t="shared" si="19"/>
        <v/>
      </c>
      <c r="AQ49" s="1608">
        <f>IF(S_7!$DF$14&gt;0,1,0)</f>
        <v>0</v>
      </c>
      <c r="AR49" s="1608">
        <f>IF(S_7!$DG$14&gt;0,1,0)</f>
        <v>0</v>
      </c>
      <c r="AS49" s="1608">
        <f>IF(S_7!$DH$14&gt;0,1,0)</f>
        <v>0</v>
      </c>
      <c r="AT49" s="1608">
        <f>IF(S_7!$DI$14&gt;0,1,0)</f>
        <v>0</v>
      </c>
      <c r="AU49" s="1608">
        <f>IF(S_7!$DJ$14&gt;0,1,0)</f>
        <v>0</v>
      </c>
      <c r="AV49" s="1608">
        <f>IF(S_7!$DK$14&gt;0,1,0)</f>
        <v>0</v>
      </c>
      <c r="AW49" s="1608">
        <f t="shared" si="22"/>
        <v>0</v>
      </c>
      <c r="AX49" s="1608" t="str">
        <f t="shared" si="5"/>
        <v/>
      </c>
      <c r="AY49" s="1106" t="str">
        <f t="shared" si="0"/>
        <v/>
      </c>
      <c r="AZ49" s="1106" t="str">
        <f t="shared" si="6"/>
        <v/>
      </c>
      <c r="BA49" s="2259" t="str">
        <f t="shared" si="7"/>
        <v/>
      </c>
      <c r="BB49" s="2259" t="str">
        <f t="shared" si="8"/>
        <v/>
      </c>
      <c r="BC49" s="1608">
        <f>IF(S_7!$DN$14&gt;0,1,0)</f>
        <v>0</v>
      </c>
      <c r="BD49" s="1608">
        <f>IF(S_7!$DO$14&gt;0,1,0)</f>
        <v>0</v>
      </c>
      <c r="BE49" s="1608">
        <f>IF(S_7!$DP$14&gt;0,1,0)</f>
        <v>0</v>
      </c>
      <c r="BF49" s="1608">
        <f>IF(S_7!$DQ$14&gt;0,1,0)</f>
        <v>0</v>
      </c>
      <c r="BG49" s="1608">
        <f>IF(S_7!$DR$14&gt;0,1,0)</f>
        <v>0</v>
      </c>
      <c r="BH49" s="1608">
        <f>IF(S_7!$DS$14&gt;0,1,0)</f>
        <v>0</v>
      </c>
      <c r="BI49" s="1608">
        <f t="shared" si="23"/>
        <v>0</v>
      </c>
      <c r="BJ49" s="1106" t="str">
        <f t="shared" si="10"/>
        <v/>
      </c>
      <c r="BK49" s="2259" t="str">
        <f t="shared" si="11"/>
        <v/>
      </c>
      <c r="BL49" s="2259" t="str">
        <f t="shared" si="12"/>
        <v/>
      </c>
      <c r="BN49" s="747">
        <f>S_7!$DE$14</f>
        <v>0</v>
      </c>
      <c r="BO49" s="747">
        <f>S_7!$DM$14</f>
        <v>0</v>
      </c>
      <c r="BP49" s="747">
        <f>S_7!$CP$14</f>
        <v>0</v>
      </c>
      <c r="BQ49" s="747">
        <f>S_7!$CQ$14</f>
        <v>0</v>
      </c>
      <c r="BR49" s="1610" t="e">
        <f>BP49/Betrieb!$E$23</f>
        <v>#DIV/0!</v>
      </c>
      <c r="BS49" s="1610" t="e">
        <f>BQ49/Betrieb!$E$24</f>
        <v>#DIV/0!</v>
      </c>
      <c r="BT49" s="1615" t="str">
        <f t="shared" si="13"/>
        <v/>
      </c>
      <c r="BU49" s="1615" t="str">
        <f t="shared" si="14"/>
        <v/>
      </c>
      <c r="BV49" s="2569">
        <f>IF(AND(S_7!$G$8="JA",S_7!$K$8="JA"),S_7!$U$14,0)</f>
        <v>0</v>
      </c>
      <c r="BW49" s="2570">
        <f>IF(AND(S_7!$G$8="JA",S_7!$K$8="JA"),S_7!$V$14,0)</f>
        <v>0</v>
      </c>
      <c r="BX49" s="2566" t="str">
        <f t="shared" ref="BX49" si="32">IF(BV49="-",0-BW49,"")</f>
        <v/>
      </c>
      <c r="BY49" s="2566" t="str">
        <f t="shared" ref="BY49" si="33">IF(BV49="+",0+BW49,"")</f>
        <v/>
      </c>
    </row>
    <row r="50" spans="1:77" ht="20.25" customHeight="1">
      <c r="A50" s="2587" t="str">
        <f t="array" ref="A50">IFERROR(IF(ROW($C$1)&gt;COUNTA($X$37:$X$96),"",INDEX($X:$X,SMALL(IF(X$37:X$96&lt;&gt;"",ROW($37:$96)),ROW(C14)))),"")</f>
        <v/>
      </c>
      <c r="B50" s="2588"/>
      <c r="C50" s="2588"/>
      <c r="D50" s="1746" t="str">
        <f t="array" ref="D50">IFERROR(IF(ROW($D$1)&gt;COUNTA($V$37:$V$96),"",INDEX($V:$V,SMALL(IF(V$37:V$96&lt;&gt;"",ROW($37:$96)),ROW(D14)))),"")</f>
        <v/>
      </c>
      <c r="E50" s="1747" t="str">
        <f t="array" ref="E50">IFERROR(IF(ROW($E$1)&gt;COUNTA($W$37:$W$96),"",INDEX($W:$W,SMALL(IF(W$37:W$96&lt;&gt;"",ROW($37:$96)),ROW(E14)))),"")</f>
        <v/>
      </c>
      <c r="F50" s="1764" t="str">
        <f t="array" ref="F50">IFERROR(IF(ROW($F$1)&gt;COUNTA($AA$37:$AA$96),"",INDEX($AA:$AA,SMALL(IF(AA$37:AA$96&lt;&gt;"",ROW($37:$96)),ROW(F14)))),"")</f>
        <v/>
      </c>
      <c r="G50" s="1659" t="str">
        <f t="array" ref="G50">IFERROR(IF(ROW($G$1)&gt;COUNTA($AC$37:$AC$96),"",INDEX($AC:$AC,SMALL(IF(AC$37:AC$96&lt;&gt;"",ROW($37:$96)),ROW(G14)))),"")</f>
        <v/>
      </c>
      <c r="H50" s="1667" t="str">
        <f t="array" ref="H50">IFERROR(IF(ROW($H$1)&gt;COUNTA($BT$37:$BT$96),"",INDEX($BT:$BT,SMALL(IF(BT$37:BT$96&lt;&gt;"",ROW($37:$96)),ROW(H14)))),"")</f>
        <v/>
      </c>
      <c r="I50" s="1668" t="str">
        <f t="array" ref="I50">IFERROR(IF(ROW($I$1)&gt;COUNTA($AZ$37:$AZ$96),"",INDEX($AZ:$AZ,SMALL(IF(AZ$37:AZ$96&lt;&gt;"",ROW($37:$96)),ROW(I14)))),"")</f>
        <v/>
      </c>
      <c r="J50" s="1669" t="str">
        <f t="array" ref="J50">IFERROR(IF(ROW($J$1)&gt;COUNTA($BA$37:$BA$96),"",INDEX($BA:$BA,SMALL(IF(BA$37:BA$96&lt;&gt;"",ROW($37:$96)),ROW(J14)))),"")</f>
        <v/>
      </c>
      <c r="K50" s="1688" t="str">
        <f t="array" ref="K50">IFERROR(IF(ROW($K$1)&gt;COUNTA($BB$37:$BB$96),"",INDEX($BB:$BB,SMALL(IF(BB$37:BB$96&lt;&gt;"",ROW($37:$96)),ROW(K14)))),"")</f>
        <v/>
      </c>
      <c r="L50" s="1694"/>
      <c r="M50" s="1667" t="str">
        <f t="array" ref="M50">IFERROR(IF(ROW($M$1)&gt;COUNTA($BU$37:$BU$96),"",INDEX($BU:$BU,SMALL(IF(BU$37:BU$96&lt;&gt;"",ROW($37:$96)),ROW(M14)))),"")</f>
        <v/>
      </c>
      <c r="N50" s="1668" t="str">
        <f t="array" ref="N50">IFERROR(IF(ROW($N$1)&gt;COUNTA($BJ$37:$BJ$96),"",INDEX($BJ:$BJ,SMALL(IF(BJ$37:BJ$96&lt;&gt;"",ROW($37:$96)),ROW(N14)))),"")</f>
        <v/>
      </c>
      <c r="O50" s="1669" t="str">
        <f t="array" ref="O50">IFERROR(IF(ROW($O$1)&gt;COUNTA($BK$37:$BK$96),"",INDEX($BK:$BK,SMALL(IF(BK$37:BK$96&lt;&gt;"",ROW($37:$96)),ROW(O14)))),"")</f>
        <v/>
      </c>
      <c r="P50" s="1709" t="str">
        <f t="array" ref="P50">IFERROR(IF(ROW($P$1)&gt;COUNTA($BL$37:$BL$96),"",INDEX($BL:$BL,SMALL(IF(BL$37:BL$96&lt;&gt;"",ROW($37:$96)),ROW(P14)))),"")</f>
        <v/>
      </c>
      <c r="Q50" s="1775"/>
      <c r="R50" s="1775"/>
      <c r="S50" s="1775"/>
      <c r="T50" s="1775"/>
      <c r="U50" s="1608" t="str">
        <f>IF(AND(S_7!$G$8="ja",S_7!$K$8="ja"),S_7!$C$2,"")</f>
        <v/>
      </c>
      <c r="V50" s="747" t="str">
        <f t="shared" si="17"/>
        <v/>
      </c>
      <c r="W50" s="1106" t="str">
        <f>IF($U50="","",S_7!$B$15)</f>
        <v/>
      </c>
      <c r="X50" s="1608" t="str">
        <f>IF($U50="","",S_7!$A$15)</f>
        <v/>
      </c>
      <c r="Y50" s="2604"/>
      <c r="Z50" s="1608" t="str">
        <f>IF($U50="","",S_7!$C$15)</f>
        <v/>
      </c>
      <c r="AA50" s="747" t="str">
        <f t="shared" si="18"/>
        <v/>
      </c>
      <c r="AB50" s="1608" t="str">
        <f>IF($U50="","",S_7!$CM$15)</f>
        <v/>
      </c>
      <c r="AC50" s="747" t="str">
        <f t="shared" si="19"/>
        <v/>
      </c>
      <c r="AQ50" s="1608">
        <f>IF(S_7!$DF$15&gt;0,1,0)</f>
        <v>0</v>
      </c>
      <c r="AR50" s="1608">
        <f>IF(S_7!$DG$15&gt;0,1,0)</f>
        <v>0</v>
      </c>
      <c r="AS50" s="1608">
        <f>IF(S_7!$DH$15&gt;0,1,0)</f>
        <v>0</v>
      </c>
      <c r="AT50" s="1608">
        <f>IF(S_7!$DI$15&gt;0,1,0)</f>
        <v>0</v>
      </c>
      <c r="AU50" s="1608">
        <f>IF(S_7!$DJ$15&gt;0,1,0)</f>
        <v>0</v>
      </c>
      <c r="AV50" s="1608">
        <f>IF(S_7!$DK$15&gt;0,1,0)</f>
        <v>0</v>
      </c>
      <c r="AW50" s="1608">
        <f t="shared" si="22"/>
        <v>0</v>
      </c>
      <c r="AX50" s="1608" t="str">
        <f t="shared" si="5"/>
        <v/>
      </c>
      <c r="AY50" s="1106" t="str">
        <f t="shared" si="0"/>
        <v/>
      </c>
      <c r="AZ50" s="1106" t="str">
        <f t="shared" si="6"/>
        <v/>
      </c>
      <c r="BA50" s="2259" t="str">
        <f t="shared" si="7"/>
        <v/>
      </c>
      <c r="BB50" s="2259" t="str">
        <f t="shared" si="8"/>
        <v/>
      </c>
      <c r="BC50" s="1608">
        <f>IF(S_7!$DN$15&gt;0,1,0)</f>
        <v>0</v>
      </c>
      <c r="BD50" s="1608">
        <f>IF(S_7!$DO$15&gt;0,1,0)</f>
        <v>0</v>
      </c>
      <c r="BE50" s="1608">
        <f>IF(S_7!$DP$15&gt;0,1,0)</f>
        <v>0</v>
      </c>
      <c r="BF50" s="1608">
        <f>IF(S_7!$DQ$15&gt;0,1,0)</f>
        <v>0</v>
      </c>
      <c r="BG50" s="1608">
        <f>IF(S_7!$DR$15&gt;0,1,0)</f>
        <v>0</v>
      </c>
      <c r="BH50" s="1608">
        <f>IF(S_7!$DS$15&gt;0,1,0)</f>
        <v>0</v>
      </c>
      <c r="BI50" s="1608">
        <f t="shared" si="23"/>
        <v>0</v>
      </c>
      <c r="BJ50" s="1106" t="str">
        <f t="shared" si="10"/>
        <v/>
      </c>
      <c r="BK50" s="2259" t="str">
        <f t="shared" si="11"/>
        <v/>
      </c>
      <c r="BL50" s="2259" t="str">
        <f t="shared" si="12"/>
        <v/>
      </c>
      <c r="BN50" s="747">
        <f>S_7!$DE$15</f>
        <v>0</v>
      </c>
      <c r="BO50" s="747">
        <f>S_7!$DM$15</f>
        <v>0</v>
      </c>
      <c r="BP50" s="747">
        <f>S_7!$CP$15</f>
        <v>0</v>
      </c>
      <c r="BQ50" s="747">
        <f>S_7!$CQ$15</f>
        <v>0</v>
      </c>
      <c r="BR50" s="1610" t="e">
        <f>BP50/Betrieb!$E$23</f>
        <v>#DIV/0!</v>
      </c>
      <c r="BS50" s="1610" t="e">
        <f>BQ50/Betrieb!$E$24</f>
        <v>#DIV/0!</v>
      </c>
      <c r="BT50" s="1615" t="str">
        <f t="shared" si="13"/>
        <v/>
      </c>
      <c r="BU50" s="1615" t="str">
        <f t="shared" si="14"/>
        <v/>
      </c>
      <c r="BV50" s="2569"/>
      <c r="BW50" s="2570"/>
      <c r="BX50" s="2566"/>
      <c r="BY50" s="2566"/>
    </row>
    <row r="51" spans="1:77" ht="20.25" customHeight="1">
      <c r="A51" s="2576" t="str">
        <f t="array" ref="A51">IFERROR(IF(ROW($C$1)&gt;COUNTA($X$37:$X$96),"",INDEX($X:$X,SMALL(IF(X$37:X$96&lt;&gt;"",ROW($37:$96)),ROW(C15)))),"")</f>
        <v/>
      </c>
      <c r="B51" s="2577"/>
      <c r="C51" s="2577"/>
      <c r="D51" s="1754" t="str">
        <f t="array" ref="D51">IFERROR(IF(ROW($D$1)&gt;COUNTA($V$37:$V$96),"",INDEX($V:$V,SMALL(IF(V$37:V$96&lt;&gt;"",ROW($37:$96)),ROW(D15)))),"")</f>
        <v/>
      </c>
      <c r="E51" s="1755" t="str">
        <f t="array" ref="E51">IFERROR(IF(ROW($E$1)&gt;COUNTA($W$37:$W$96),"",INDEX($W:$W,SMALL(IF(W$37:W$96&lt;&gt;"",ROW($37:$96)),ROW(E15)))),"")</f>
        <v/>
      </c>
      <c r="F51" s="1765" t="str">
        <f t="array" ref="F51">IFERROR(IF(ROW($F$1)&gt;COUNTA($AA$37:$AA$96),"",INDEX($AA:$AA,SMALL(IF(AA$37:AA$96&lt;&gt;"",ROW($37:$96)),ROW(F15)))),"")</f>
        <v/>
      </c>
      <c r="G51" s="1710" t="str">
        <f t="array" ref="G51">IFERROR(IF(ROW($G$1)&gt;COUNTA($AC$37:$AC$96),"",INDEX($AC:$AC,SMALL(IF(AC$37:AC$96&lt;&gt;"",ROW($37:$96)),ROW(G15)))),"")</f>
        <v/>
      </c>
      <c r="H51" s="1711" t="str">
        <f t="array" ref="H51">IFERROR(IF(ROW($H$1)&gt;COUNTA($BT$37:$BT$96),"",INDEX($BT:$BT,SMALL(IF(BT$37:BT$96&lt;&gt;"",ROW($37:$96)),ROW(H15)))),"")</f>
        <v/>
      </c>
      <c r="I51" s="1695" t="str">
        <f t="array" ref="I51">IFERROR(IF(ROW($I$1)&gt;COUNTA($AZ$37:$AZ$96),"",INDEX($AZ:$AZ,SMALL(IF(AZ$37:AZ$96&lt;&gt;"",ROW($37:$96)),ROW(I15)))),"")</f>
        <v/>
      </c>
      <c r="J51" s="1696" t="str">
        <f t="array" ref="J51">IFERROR(IF(ROW($J$1)&gt;COUNTA($BA$37:$BA$96),"",INDEX($BA:$BA,SMALL(IF(BA$37:BA$96&lt;&gt;"",ROW($37:$96)),ROW(J15)))),"")</f>
        <v/>
      </c>
      <c r="K51" s="1697" t="str">
        <f t="array" ref="K51">IFERROR(IF(ROW($K$1)&gt;COUNTA($BB$37:$BB$96),"",INDEX($BB:$BB,SMALL(IF(BB$37:BB$96&lt;&gt;"",ROW($37:$96)),ROW(K15)))),"")</f>
        <v/>
      </c>
      <c r="L51" s="1698"/>
      <c r="M51" s="1711" t="str">
        <f t="array" ref="M51">IFERROR(IF(ROW($M$1)&gt;COUNTA($BU$37:$BU$96),"",INDEX($BU:$BU,SMALL(IF(BU$37:BU$96&lt;&gt;"",ROW($37:$96)),ROW(M15)))),"")</f>
        <v/>
      </c>
      <c r="N51" s="1695" t="str">
        <f t="array" ref="N51">IFERROR(IF(ROW($N$1)&gt;COUNTA($BJ$37:$BJ$96),"",INDEX($BJ:$BJ,SMALL(IF(BJ$37:BJ$96&lt;&gt;"",ROW($37:$96)),ROW(N15)))),"")</f>
        <v/>
      </c>
      <c r="O51" s="1696" t="str">
        <f t="array" ref="O51">IFERROR(IF(ROW($O$1)&gt;COUNTA($BK$37:$BK$96),"",INDEX($BK:$BK,SMALL(IF(BK$37:BK$96&lt;&gt;"",ROW($37:$96)),ROW(O15)))),"")</f>
        <v/>
      </c>
      <c r="P51" s="1712" t="str">
        <f t="array" ref="P51">IFERROR(IF(ROW($P$1)&gt;COUNTA($BL$37:$BL$96),"",INDEX($BL:$BL,SMALL(IF(BL$37:BL$96&lt;&gt;"",ROW($37:$96)),ROW(P15)))),"")</f>
        <v/>
      </c>
      <c r="Q51" s="1775"/>
      <c r="R51" s="1775"/>
      <c r="S51" s="1775"/>
      <c r="T51" s="1775"/>
      <c r="U51" s="1608" t="str">
        <f>IF(AND(S_8!$G$8="ja",S_8!$K$8="ja"),S_8!$C$2,"")</f>
        <v/>
      </c>
      <c r="V51" s="747" t="str">
        <f t="shared" si="17"/>
        <v/>
      </c>
      <c r="W51" s="1106" t="str">
        <f>IF($U51="","",S_8!$B$14)</f>
        <v/>
      </c>
      <c r="X51" s="1608" t="str">
        <f>IF($U51="","",S_8!$A$14)</f>
        <v/>
      </c>
      <c r="Y51" s="2604" t="str">
        <f>IF($U51="","",Grünland!B12)</f>
        <v/>
      </c>
      <c r="Z51" s="1608" t="str">
        <f>IF($U51="","",S_8!$C$14)</f>
        <v/>
      </c>
      <c r="AA51" s="747" t="str">
        <f t="shared" si="18"/>
        <v/>
      </c>
      <c r="AB51" s="1608" t="str">
        <f>IF($U51="","",S_8!$CM$14)</f>
        <v/>
      </c>
      <c r="AC51" s="747" t="str">
        <f t="shared" si="19"/>
        <v/>
      </c>
      <c r="AQ51" s="1608">
        <f>IF(S_8!$DF$14&gt;0,1,0)</f>
        <v>0</v>
      </c>
      <c r="AR51" s="1608">
        <f>IF(S_8!$DG$14&gt;0,1,0)</f>
        <v>0</v>
      </c>
      <c r="AS51" s="1608">
        <f>IF(S_8!$DH$14&gt;0,1,0)</f>
        <v>0</v>
      </c>
      <c r="AT51" s="1608">
        <f>IF(S_8!$DI$14&gt;0,1,0)</f>
        <v>0</v>
      </c>
      <c r="AU51" s="1608">
        <f>IF(S_8!$DJ$14&gt;0,1,0)</f>
        <v>0</v>
      </c>
      <c r="AV51" s="1608">
        <f>IF(S_8!$DK$14&gt;0,1,0)</f>
        <v>0</v>
      </c>
      <c r="AW51" s="1608">
        <f t="shared" si="22"/>
        <v>0</v>
      </c>
      <c r="AX51" s="1608" t="str">
        <f t="shared" si="5"/>
        <v/>
      </c>
      <c r="AY51" s="1106" t="str">
        <f t="shared" si="0"/>
        <v/>
      </c>
      <c r="AZ51" s="1106" t="str">
        <f t="shared" si="6"/>
        <v/>
      </c>
      <c r="BA51" s="2259" t="str">
        <f t="shared" si="7"/>
        <v/>
      </c>
      <c r="BB51" s="2259" t="str">
        <f t="shared" si="8"/>
        <v/>
      </c>
      <c r="BC51" s="1608">
        <f>IF(S_8!$DN$14&gt;0,1,0)</f>
        <v>0</v>
      </c>
      <c r="BD51" s="1608">
        <f>IF(S_8!$DO$14&gt;0,1,0)</f>
        <v>0</v>
      </c>
      <c r="BE51" s="1608">
        <f>IF(S_8!$DP$14&gt;0,1,0)</f>
        <v>0</v>
      </c>
      <c r="BF51" s="1608">
        <f>IF(S_8!$DQ$14&gt;0,1,0)</f>
        <v>0</v>
      </c>
      <c r="BG51" s="1608">
        <f>IF(S_8!$DR$14&gt;0,1,0)</f>
        <v>0</v>
      </c>
      <c r="BH51" s="1608">
        <f>IF(S_8!$DS$14&gt;0,1,0)</f>
        <v>0</v>
      </c>
      <c r="BI51" s="1608">
        <f t="shared" si="23"/>
        <v>0</v>
      </c>
      <c r="BJ51" s="1106" t="str">
        <f t="shared" si="10"/>
        <v/>
      </c>
      <c r="BK51" s="2259" t="str">
        <f t="shared" si="11"/>
        <v/>
      </c>
      <c r="BL51" s="2259" t="str">
        <f t="shared" si="12"/>
        <v/>
      </c>
      <c r="BN51" s="747">
        <f>S_8!$DE$14</f>
        <v>0</v>
      </c>
      <c r="BO51" s="747">
        <f>S_8!$DM$14</f>
        <v>0</v>
      </c>
      <c r="BP51" s="747">
        <f>S_8!$CP$14</f>
        <v>0</v>
      </c>
      <c r="BQ51" s="747">
        <f>S_8!$CQ$14</f>
        <v>0</v>
      </c>
      <c r="BR51" s="1610" t="e">
        <f>BP51/Betrieb!$E$23</f>
        <v>#DIV/0!</v>
      </c>
      <c r="BS51" s="1610" t="e">
        <f>BQ51/Betrieb!$E$24</f>
        <v>#DIV/0!</v>
      </c>
      <c r="BT51" s="1615" t="str">
        <f t="shared" si="13"/>
        <v/>
      </c>
      <c r="BU51" s="1615" t="str">
        <f t="shared" si="14"/>
        <v/>
      </c>
      <c r="BV51" s="2569">
        <f>IF(AND(S_8!$G$8="JA",S_8!$K$8="JA"),S_8!$U$14,0)</f>
        <v>0</v>
      </c>
      <c r="BW51" s="2570">
        <f>IF(AND(S_8!$G$8="JA",S_8!$K$8="JA"),S_8!$V$14,0)</f>
        <v>0</v>
      </c>
      <c r="BX51" s="2566" t="str">
        <f t="shared" ref="BX51" si="34">IF(BV51="-",0-BW51,"")</f>
        <v/>
      </c>
      <c r="BY51" s="2566" t="str">
        <f t="shared" ref="BY51" si="35">IF(BV51="+",0+BW51,"")</f>
        <v/>
      </c>
    </row>
    <row r="52" spans="1:77" ht="20.25" customHeight="1">
      <c r="A52" s="2578" t="str">
        <f t="array" ref="A52">IFERROR(IF(ROW($C$1)&gt;COUNTA($X$37:$X$96),"",INDEX($X:$X,SMALL(IF(X$37:X$96&lt;&gt;"",ROW($37:$96)),ROW(C16)))),"")</f>
        <v/>
      </c>
      <c r="B52" s="2579"/>
      <c r="C52" s="2579"/>
      <c r="D52" s="1756" t="str">
        <f t="array" ref="D52">IFERROR(IF(ROW($D$1)&gt;COUNTA($V$37:$V$96),"",INDEX($V:$V,SMALL(IF(V$37:V$96&lt;&gt;"",ROW($37:$96)),ROW(D16)))),"")</f>
        <v/>
      </c>
      <c r="E52" s="1757" t="str">
        <f t="array" ref="E52">IFERROR(IF(ROW($E$1)&gt;COUNTA($W$37:$W$96),"",INDEX($W:$W,SMALL(IF(W$37:W$96&lt;&gt;"",ROW($37:$96)),ROW(E16)))),"")</f>
        <v/>
      </c>
      <c r="F52" s="1766" t="str">
        <f t="array" ref="F52">IFERROR(IF(ROW($F$1)&gt;COUNTA($AA$37:$AA$96),"",INDEX($AA:$AA,SMALL(IF(AA$37:AA$96&lt;&gt;"",ROW($37:$96)),ROW(F16)))),"")</f>
        <v/>
      </c>
      <c r="G52" s="1660" t="str">
        <f t="array" ref="G52">IFERROR(IF(ROW($G$1)&gt;COUNTA($AC$37:$AC$96),"",INDEX($AC:$AC,SMALL(IF(AC$37:AC$96&lt;&gt;"",ROW($37:$96)),ROW(G16)))),"")</f>
        <v/>
      </c>
      <c r="H52" s="1670" t="str">
        <f t="array" ref="H52">IFERROR(IF(ROW($H$1)&gt;COUNTA($BT$37:$BT$96),"",INDEX($BT:$BT,SMALL(IF(BT$37:BT$96&lt;&gt;"",ROW($37:$96)),ROW(H16)))),"")</f>
        <v/>
      </c>
      <c r="I52" s="1671" t="str">
        <f t="array" ref="I52">IFERROR(IF(ROW($I$1)&gt;COUNTA($AZ$37:$AZ$96),"",INDEX($AZ:$AZ,SMALL(IF(AZ$37:AZ$96&lt;&gt;"",ROW($37:$96)),ROW(I16)))),"")</f>
        <v/>
      </c>
      <c r="J52" s="1672" t="str">
        <f t="array" ref="J52">IFERROR(IF(ROW($J$1)&gt;COUNTA($BA$37:$BA$96),"",INDEX($BA:$BA,SMALL(IF(BA$37:BA$96&lt;&gt;"",ROW($37:$96)),ROW(J16)))),"")</f>
        <v/>
      </c>
      <c r="K52" s="1689" t="str">
        <f t="array" ref="K52">IFERROR(IF(ROW($K$1)&gt;COUNTA($BB$37:$BB$96),"",INDEX($BB:$BB,SMALL(IF(BB$37:BB$96&lt;&gt;"",ROW($37:$96)),ROW(K16)))),"")</f>
        <v/>
      </c>
      <c r="L52" s="1699"/>
      <c r="M52" s="1670" t="str">
        <f t="array" ref="M52">IFERROR(IF(ROW($M$1)&gt;COUNTA($BU$37:$BU$96),"",INDEX($BU:$BU,SMALL(IF(BU$37:BU$96&lt;&gt;"",ROW($37:$96)),ROW(M16)))),"")</f>
        <v/>
      </c>
      <c r="N52" s="1671" t="str">
        <f t="array" ref="N52">IFERROR(IF(ROW($N$1)&gt;COUNTA($BJ$37:$BJ$96),"",INDEX($BJ:$BJ,SMALL(IF(BJ$37:BJ$96&lt;&gt;"",ROW($37:$96)),ROW(N16)))),"")</f>
        <v/>
      </c>
      <c r="O52" s="1672" t="str">
        <f t="array" ref="O52">IFERROR(IF(ROW($O$1)&gt;COUNTA($BK$37:$BK$96),"",INDEX($BK:$BK,SMALL(IF(BK$37:BK$96&lt;&gt;"",ROW($37:$96)),ROW(O16)))),"")</f>
        <v/>
      </c>
      <c r="P52" s="1713" t="str">
        <f t="array" ref="P52">IFERROR(IF(ROW($P$1)&gt;COUNTA($BL$37:$BL$96),"",INDEX($BL:$BL,SMALL(IF(BL$37:BL$96&lt;&gt;"",ROW($37:$96)),ROW(P16)))),"")</f>
        <v/>
      </c>
      <c r="Q52" s="1775"/>
      <c r="R52" s="1775"/>
      <c r="S52" s="1775"/>
      <c r="T52" s="1775"/>
      <c r="U52" s="1608" t="str">
        <f>IF(AND(S_8!$G$8="ja",S_8!$K$8="ja"),S_8!$C$2,"")</f>
        <v/>
      </c>
      <c r="V52" s="747" t="str">
        <f t="shared" si="17"/>
        <v/>
      </c>
      <c r="W52" s="1106" t="str">
        <f>IF($U52="","",S_8!$B$15)</f>
        <v/>
      </c>
      <c r="X52" s="1608" t="str">
        <f>IF($U52="","",S_8!$A$15)</f>
        <v/>
      </c>
      <c r="Y52" s="2604"/>
      <c r="Z52" s="1608" t="str">
        <f>IF($U52="","",S_8!$C$15)</f>
        <v/>
      </c>
      <c r="AA52" s="747" t="str">
        <f t="shared" si="18"/>
        <v/>
      </c>
      <c r="AB52" s="1608" t="str">
        <f>IF($U52="","",S_8!$CM$15)</f>
        <v/>
      </c>
      <c r="AC52" s="747" t="str">
        <f t="shared" si="19"/>
        <v/>
      </c>
      <c r="AQ52" s="1608">
        <f>IF(S_8!$DF$14&gt;0,1,0)</f>
        <v>0</v>
      </c>
      <c r="AR52" s="1608">
        <f>IF(S_8!$DG$15&gt;0,1,0)</f>
        <v>0</v>
      </c>
      <c r="AS52" s="1608">
        <f>IF(S_8!$DH$15&gt;0,1,0)</f>
        <v>0</v>
      </c>
      <c r="AT52" s="1608">
        <f>IF(S_8!$DI$15&gt;0,1,0)</f>
        <v>0</v>
      </c>
      <c r="AU52" s="1608">
        <f>IF(S_8!$DJ$15&gt;0,1,0)</f>
        <v>0</v>
      </c>
      <c r="AV52" s="1608">
        <f>IF(S_8!$DK$15&gt;0,1,0)</f>
        <v>0</v>
      </c>
      <c r="AW52" s="1608">
        <f t="shared" si="22"/>
        <v>0</v>
      </c>
      <c r="AX52" s="1608" t="str">
        <f t="shared" si="5"/>
        <v/>
      </c>
      <c r="AY52" s="1106" t="str">
        <f t="shared" si="0"/>
        <v/>
      </c>
      <c r="AZ52" s="1106" t="str">
        <f t="shared" si="6"/>
        <v/>
      </c>
      <c r="BA52" s="2259" t="str">
        <f t="shared" si="7"/>
        <v/>
      </c>
      <c r="BB52" s="2259" t="str">
        <f t="shared" si="8"/>
        <v/>
      </c>
      <c r="BC52" s="1608">
        <f>IF(S_8!$DN$15&gt;0,1,0)</f>
        <v>0</v>
      </c>
      <c r="BD52" s="1608">
        <f>IF(S_8!$DO$15&gt;0,1,0)</f>
        <v>0</v>
      </c>
      <c r="BE52" s="1608">
        <f>IF(S_8!$DP$15&gt;0,1,0)</f>
        <v>0</v>
      </c>
      <c r="BF52" s="1608">
        <f>IF(S_8!$DQ$15&gt;0,1,0)</f>
        <v>0</v>
      </c>
      <c r="BG52" s="1608">
        <f>IF(S_8!$DR$15&gt;0,1,0)</f>
        <v>0</v>
      </c>
      <c r="BH52" s="1608">
        <f>IF(S_8!$DS$15&gt;0,1,0)</f>
        <v>0</v>
      </c>
      <c r="BI52" s="1608">
        <f t="shared" si="23"/>
        <v>0</v>
      </c>
      <c r="BJ52" s="1106" t="str">
        <f t="shared" si="10"/>
        <v/>
      </c>
      <c r="BK52" s="2259" t="str">
        <f t="shared" si="11"/>
        <v/>
      </c>
      <c r="BL52" s="2259" t="str">
        <f t="shared" si="12"/>
        <v/>
      </c>
      <c r="BN52" s="747">
        <f>S_8!$DE$15</f>
        <v>0</v>
      </c>
      <c r="BO52" s="747">
        <f>S_8!$DM$15</f>
        <v>0</v>
      </c>
      <c r="BP52" s="747">
        <f>S_8!$CP$15</f>
        <v>0</v>
      </c>
      <c r="BQ52" s="747">
        <f>S_8!$CQ$15</f>
        <v>0</v>
      </c>
      <c r="BR52" s="1610" t="e">
        <f>BP52/Betrieb!$E$23</f>
        <v>#DIV/0!</v>
      </c>
      <c r="BS52" s="1610" t="e">
        <f>BQ52/Betrieb!$E$24</f>
        <v>#DIV/0!</v>
      </c>
      <c r="BT52" s="1615" t="str">
        <f t="shared" si="13"/>
        <v/>
      </c>
      <c r="BU52" s="1615" t="str">
        <f t="shared" si="14"/>
        <v/>
      </c>
      <c r="BV52" s="2569"/>
      <c r="BW52" s="2570"/>
      <c r="BX52" s="2566"/>
      <c r="BY52" s="2566"/>
    </row>
    <row r="53" spans="1:77" ht="20.25" customHeight="1">
      <c r="A53" s="2585" t="str">
        <f t="array" ref="A53">IFERROR(IF(ROW($C$1)&gt;COUNTA($X$37:$X$96),"",INDEX($X:$X,SMALL(IF(X$37:X$96&lt;&gt;"",ROW($37:$96)),ROW(C17)))),"")</f>
        <v/>
      </c>
      <c r="B53" s="2586"/>
      <c r="C53" s="2586"/>
      <c r="D53" s="1744" t="str">
        <f t="array" ref="D53">IFERROR(IF(ROW($D$1)&gt;COUNTA($V$37:$V$96),"",INDEX($V:$V,SMALL(IF(V$37:V$96&lt;&gt;"",ROW($37:$96)),ROW(D17)))),"")</f>
        <v/>
      </c>
      <c r="E53" s="1745" t="str">
        <f t="array" ref="E53">IFERROR(IF(ROW($E$1)&gt;COUNTA($W$37:$W$96),"",INDEX($W:$W,SMALL(IF(W$37:W$96&lt;&gt;"",ROW($37:$96)),ROW(E17)))),"")</f>
        <v/>
      </c>
      <c r="F53" s="1763" t="str">
        <f t="array" ref="F53">IFERROR(IF(ROW($F$1)&gt;COUNTA($AA$37:$AA$96),"",INDEX($AA:$AA,SMALL(IF(AA$37:AA$96&lt;&gt;"",ROW($37:$96)),ROW(F17)))),"")</f>
        <v/>
      </c>
      <c r="G53" s="1706" t="str">
        <f t="array" ref="G53">IFERROR(IF(ROW($G$1)&gt;COUNTA($AC$37:$AC$96),"",INDEX($AC:$AC,SMALL(IF(AC$37:AC$96&lt;&gt;"",ROW($37:$96)),ROW(G17)))),"")</f>
        <v/>
      </c>
      <c r="H53" s="1707" t="str">
        <f t="array" ref="H53">IFERROR(IF(ROW($H$1)&gt;COUNTA($BT$37:$BT$96),"",INDEX($BT:$BT,SMALL(IF(BT$37:BT$96&lt;&gt;"",ROW($37:$96)),ROW(H17)))),"")</f>
        <v/>
      </c>
      <c r="I53" s="1690" t="str">
        <f t="array" ref="I53">IFERROR(IF(ROW($I$1)&gt;COUNTA($AZ$37:$AZ$96),"",INDEX($AZ:$AZ,SMALL(IF(AZ$37:AZ$96&lt;&gt;"",ROW($37:$96)),ROW(I17)))),"")</f>
        <v/>
      </c>
      <c r="J53" s="1691" t="str">
        <f t="array" ref="J53">IFERROR(IF(ROW($J$1)&gt;COUNTA($BA$37:$BA$96),"",INDEX($BA:$BA,SMALL(IF(BA$37:BA$96&lt;&gt;"",ROW($37:$96)),ROW(J17)))),"")</f>
        <v/>
      </c>
      <c r="K53" s="1692" t="str">
        <f t="array" ref="K53">IFERROR(IF(ROW($K$1)&gt;COUNTA($BB$37:$BB$96),"",INDEX($BB:$BB,SMALL(IF(BB$37:BB$96&lt;&gt;"",ROW($37:$96)),ROW(K17)))),"")</f>
        <v/>
      </c>
      <c r="L53" s="1693"/>
      <c r="M53" s="1707" t="str">
        <f t="array" ref="M53">IFERROR(IF(ROW($M$1)&gt;COUNTA($BU$37:$BU$96),"",INDEX($BU:$BU,SMALL(IF(BU$37:BU$96&lt;&gt;"",ROW($37:$96)),ROW(M17)))),"")</f>
        <v/>
      </c>
      <c r="N53" s="1690" t="str">
        <f t="array" ref="N53">IFERROR(IF(ROW($N$1)&gt;COUNTA($BJ$37:$BJ$96),"",INDEX($BJ:$BJ,SMALL(IF(BJ$37:BJ$96&lt;&gt;"",ROW($37:$96)),ROW(N17)))),"")</f>
        <v/>
      </c>
      <c r="O53" s="1691" t="str">
        <f t="array" ref="O53">IFERROR(IF(ROW($O$1)&gt;COUNTA($BK$37:$BK$96),"",INDEX($BK:$BK,SMALL(IF(BK$37:BK$96&lt;&gt;"",ROW($37:$96)),ROW(O17)))),"")</f>
        <v/>
      </c>
      <c r="P53" s="1708" t="str">
        <f t="array" ref="P53">IFERROR(IF(ROW($P$1)&gt;COUNTA($BL$37:$BL$96),"",INDEX($BL:$BL,SMALL(IF(BL$37:BL$96&lt;&gt;"",ROW($37:$96)),ROW(P17)))),"")</f>
        <v/>
      </c>
      <c r="Q53" s="1775"/>
      <c r="R53" s="1775"/>
      <c r="S53" s="1775"/>
      <c r="T53" s="1775"/>
      <c r="U53" s="1608" t="str">
        <f>IF(AND(S_9!$G$8="ja",S_9!$K$8="ja"),S_9!$C$2,"")</f>
        <v/>
      </c>
      <c r="V53" s="747" t="str">
        <f t="shared" si="17"/>
        <v/>
      </c>
      <c r="W53" s="1106" t="str">
        <f>IF($U53="","",S_9!$B$14)</f>
        <v/>
      </c>
      <c r="X53" s="1608" t="str">
        <f>IF($U53="","",S_9!$A$14)</f>
        <v/>
      </c>
      <c r="Y53" s="2604" t="str">
        <f>IF($U53="","",Grünland!B13)</f>
        <v/>
      </c>
      <c r="Z53" s="1608" t="str">
        <f>IF($U53="","",S_9!$C$14)</f>
        <v/>
      </c>
      <c r="AA53" s="747" t="str">
        <f t="shared" si="18"/>
        <v/>
      </c>
      <c r="AB53" s="1608" t="str">
        <f>IF($U53="","",S_9!$CM$14)</f>
        <v/>
      </c>
      <c r="AC53" s="747" t="str">
        <f t="shared" si="19"/>
        <v/>
      </c>
      <c r="AQ53" s="1608">
        <f>IF(S_9!$DF$14&gt;0,1,0)</f>
        <v>0</v>
      </c>
      <c r="AR53" s="1608">
        <f>IF(S_9!$DG$14&gt;0,1,0)</f>
        <v>0</v>
      </c>
      <c r="AS53" s="1608">
        <f>IF(S_9!$DH$14&gt;0,1,0)</f>
        <v>0</v>
      </c>
      <c r="AT53" s="1608">
        <f>IF(S_9!$DI$14&gt;0,1,0)</f>
        <v>0</v>
      </c>
      <c r="AU53" s="1608">
        <f>IF(S_9!$DJ$14&gt;0,1,0)</f>
        <v>0</v>
      </c>
      <c r="AV53" s="1608">
        <f>IF(S_9!$DK$14&gt;0,1,0)</f>
        <v>0</v>
      </c>
      <c r="AW53" s="1608">
        <f t="shared" si="22"/>
        <v>0</v>
      </c>
      <c r="AX53" s="1608" t="str">
        <f t="shared" si="5"/>
        <v/>
      </c>
      <c r="AY53" s="1106" t="str">
        <f t="shared" si="0"/>
        <v/>
      </c>
      <c r="AZ53" s="1106" t="str">
        <f t="shared" si="6"/>
        <v/>
      </c>
      <c r="BA53" s="2259" t="str">
        <f t="shared" si="7"/>
        <v/>
      </c>
      <c r="BB53" s="2259" t="str">
        <f t="shared" si="8"/>
        <v/>
      </c>
      <c r="BC53" s="1608">
        <f>IF(S_9!$DN$14&gt;0,1,0)</f>
        <v>0</v>
      </c>
      <c r="BD53" s="1608">
        <f>IF(S_9!$DO$14&gt;0,1,0)</f>
        <v>0</v>
      </c>
      <c r="BE53" s="1608">
        <f>IF(S_9!$DP$14&gt;0,1,0)</f>
        <v>0</v>
      </c>
      <c r="BF53" s="1608">
        <f>IF(S_9!$DQ$14&gt;0,1,0)</f>
        <v>0</v>
      </c>
      <c r="BG53" s="1608">
        <f>IF(S_9!$DR$14&gt;0,1,0)</f>
        <v>0</v>
      </c>
      <c r="BH53" s="1608">
        <f>IF(S_9!$DS$14&gt;0,1,0)</f>
        <v>0</v>
      </c>
      <c r="BI53" s="1608">
        <f t="shared" si="23"/>
        <v>0</v>
      </c>
      <c r="BJ53" s="1106" t="str">
        <f t="shared" si="10"/>
        <v/>
      </c>
      <c r="BK53" s="2259" t="str">
        <f t="shared" si="11"/>
        <v/>
      </c>
      <c r="BL53" s="2259" t="str">
        <f t="shared" si="12"/>
        <v/>
      </c>
      <c r="BN53" s="747">
        <f>S_9!$DE$14</f>
        <v>0</v>
      </c>
      <c r="BO53" s="747">
        <f>S_9!$DM$14</f>
        <v>0</v>
      </c>
      <c r="BP53" s="747">
        <f>S_9!$CP$14</f>
        <v>0</v>
      </c>
      <c r="BQ53" s="747">
        <f>S_9!$CQ$14</f>
        <v>0</v>
      </c>
      <c r="BR53" s="1610" t="e">
        <f>BP53/Betrieb!$E$23</f>
        <v>#DIV/0!</v>
      </c>
      <c r="BS53" s="1610" t="e">
        <f>BQ53/Betrieb!$E$24</f>
        <v>#DIV/0!</v>
      </c>
      <c r="BT53" s="1615" t="str">
        <f t="shared" si="13"/>
        <v/>
      </c>
      <c r="BU53" s="1615" t="str">
        <f t="shared" si="14"/>
        <v/>
      </c>
      <c r="BV53" s="2569">
        <f>IF(AND(S_9!$G$8="JA",S_9!$K$8="JA"),S_9!$U$14,0)</f>
        <v>0</v>
      </c>
      <c r="BW53" s="2570">
        <f>IF(AND(S_9!$G$8="JA",S_9!$K$8="JA"),S_9!$V$14,0)</f>
        <v>0</v>
      </c>
      <c r="BX53" s="2566" t="str">
        <f t="shared" ref="BX53" si="36">IF(BV53="-",0-BW53,"")</f>
        <v/>
      </c>
      <c r="BY53" s="2566" t="str">
        <f t="shared" ref="BY53" si="37">IF(BV53="+",0+BW53,"")</f>
        <v/>
      </c>
    </row>
    <row r="54" spans="1:77" ht="20.25" customHeight="1">
      <c r="A54" s="2587" t="str">
        <f t="array" ref="A54">IFERROR(IF(ROW($C$1)&gt;COUNTA($X$37:$X$96),"",INDEX($X:$X,SMALL(IF(X$37:X$96&lt;&gt;"",ROW($37:$96)),ROW(C18)))),"")</f>
        <v/>
      </c>
      <c r="B54" s="2588"/>
      <c r="C54" s="2588"/>
      <c r="D54" s="1746" t="str">
        <f t="array" ref="D54">IFERROR(IF(ROW($D$1)&gt;COUNTA($V$37:$V$96),"",INDEX($V:$V,SMALL(IF(V$37:V$96&lt;&gt;"",ROW($37:$96)),ROW(D18)))),"")</f>
        <v/>
      </c>
      <c r="E54" s="1747" t="str">
        <f t="array" ref="E54">IFERROR(IF(ROW($E$1)&gt;COUNTA($W$37:$W$96),"",INDEX($W:$W,SMALL(IF(W$37:W$96&lt;&gt;"",ROW($37:$96)),ROW(E18)))),"")</f>
        <v/>
      </c>
      <c r="F54" s="1764" t="str">
        <f t="array" ref="F54">IFERROR(IF(ROW($F$1)&gt;COUNTA($AA$37:$AA$96),"",INDEX($AA:$AA,SMALL(IF(AA$37:AA$96&lt;&gt;"",ROW($37:$96)),ROW(F18)))),"")</f>
        <v/>
      </c>
      <c r="G54" s="1659" t="str">
        <f t="array" ref="G54">IFERROR(IF(ROW($G$1)&gt;COUNTA($AC$37:$AC$96),"",INDEX($AC:$AC,SMALL(IF(AC$37:AC$96&lt;&gt;"",ROW($37:$96)),ROW(G18)))),"")</f>
        <v/>
      </c>
      <c r="H54" s="1667" t="str">
        <f t="array" ref="H54">IFERROR(IF(ROW($H$1)&gt;COUNTA($BT$37:$BT$96),"",INDEX($BT:$BT,SMALL(IF(BT$37:BT$96&lt;&gt;"",ROW($37:$96)),ROW(H18)))),"")</f>
        <v/>
      </c>
      <c r="I54" s="1668" t="str">
        <f t="array" ref="I54">IFERROR(IF(ROW($I$1)&gt;COUNTA($AZ$37:$AZ$96),"",INDEX($AZ:$AZ,SMALL(IF(AZ$37:AZ$96&lt;&gt;"",ROW($37:$96)),ROW(I18)))),"")</f>
        <v/>
      </c>
      <c r="J54" s="1669" t="str">
        <f t="array" ref="J54">IFERROR(IF(ROW($J$1)&gt;COUNTA($BA$37:$BA$96),"",INDEX($BA:$BA,SMALL(IF(BA$37:BA$96&lt;&gt;"",ROW($37:$96)),ROW(J18)))),"")</f>
        <v/>
      </c>
      <c r="K54" s="1688" t="str">
        <f t="array" ref="K54">IFERROR(IF(ROW($K$1)&gt;COUNTA($BB$37:$BB$96),"",INDEX($BB:$BB,SMALL(IF(BB$37:BB$96&lt;&gt;"",ROW($37:$96)),ROW(K18)))),"")</f>
        <v/>
      </c>
      <c r="L54" s="1694"/>
      <c r="M54" s="1667" t="str">
        <f t="array" ref="M54">IFERROR(IF(ROW($M$1)&gt;COUNTA($BU$37:$BU$96),"",INDEX($BU:$BU,SMALL(IF(BU$37:BU$96&lt;&gt;"",ROW($37:$96)),ROW(M18)))),"")</f>
        <v/>
      </c>
      <c r="N54" s="1668" t="str">
        <f t="array" ref="N54">IFERROR(IF(ROW($N$1)&gt;COUNTA($BJ$37:$BJ$96),"",INDEX($BJ:$BJ,SMALL(IF(BJ$37:BJ$96&lt;&gt;"",ROW($37:$96)),ROW(N18)))),"")</f>
        <v/>
      </c>
      <c r="O54" s="1669" t="str">
        <f t="array" ref="O54">IFERROR(IF(ROW($O$1)&gt;COUNTA($BK$37:$BK$96),"",INDEX($BK:$BK,SMALL(IF(BK$37:BK$96&lt;&gt;"",ROW($37:$96)),ROW(O18)))),"")</f>
        <v/>
      </c>
      <c r="P54" s="1709" t="str">
        <f t="array" ref="P54">IFERROR(IF(ROW($P$1)&gt;COUNTA($BL$37:$BL$96),"",INDEX($BL:$BL,SMALL(IF(BL$37:BL$96&lt;&gt;"",ROW($37:$96)),ROW(P18)))),"")</f>
        <v/>
      </c>
      <c r="Q54" s="1775"/>
      <c r="R54" s="1775"/>
      <c r="S54" s="1775"/>
      <c r="T54" s="1775"/>
      <c r="U54" s="1608" t="str">
        <f>IF(AND(S_9!$G$8="ja",S_9!$K$8="ja"),S_9!$C$2,"")</f>
        <v/>
      </c>
      <c r="V54" s="747" t="str">
        <f t="shared" si="17"/>
        <v/>
      </c>
      <c r="W54" s="1106" t="str">
        <f>IF($U54="","",S_9!$B$15)</f>
        <v/>
      </c>
      <c r="X54" s="1608" t="str">
        <f>IF($U54="","",S_9!$A$15)</f>
        <v/>
      </c>
      <c r="Y54" s="2604"/>
      <c r="Z54" s="1608" t="str">
        <f>IF($U54="","",S_9!$C$15)</f>
        <v/>
      </c>
      <c r="AA54" s="747" t="str">
        <f t="shared" si="18"/>
        <v/>
      </c>
      <c r="AB54" s="1608" t="str">
        <f>IF($U54="","",S_9!$CM$15)</f>
        <v/>
      </c>
      <c r="AC54" s="747" t="str">
        <f t="shared" si="19"/>
        <v/>
      </c>
      <c r="AQ54" s="1608">
        <f>IF(S_9!$DF$15&gt;0,1,0)</f>
        <v>0</v>
      </c>
      <c r="AR54" s="1608">
        <f>IF(S_9!$DG$15&gt;0,1,0)</f>
        <v>0</v>
      </c>
      <c r="AS54" s="1608">
        <f>IF(S_9!$DH$15&gt;0,1,0)</f>
        <v>0</v>
      </c>
      <c r="AT54" s="1608">
        <f>IF(S_9!$DI$15&gt;0,1,0)</f>
        <v>0</v>
      </c>
      <c r="AU54" s="1608">
        <f>IF(S_9!$DJ$15&gt;0,1,0)</f>
        <v>0</v>
      </c>
      <c r="AV54" s="1608">
        <f>IF(S_9!$DK$15&gt;0,1,0)</f>
        <v>0</v>
      </c>
      <c r="AW54" s="1608">
        <f t="shared" si="22"/>
        <v>0</v>
      </c>
      <c r="AX54" s="1608" t="str">
        <f t="shared" si="5"/>
        <v/>
      </c>
      <c r="AY54" s="1106" t="str">
        <f t="shared" si="0"/>
        <v/>
      </c>
      <c r="AZ54" s="1106" t="str">
        <f t="shared" si="6"/>
        <v/>
      </c>
      <c r="BA54" s="2259" t="str">
        <f t="shared" si="7"/>
        <v/>
      </c>
      <c r="BB54" s="2259" t="str">
        <f t="shared" si="8"/>
        <v/>
      </c>
      <c r="BC54" s="1608">
        <f>IF(S_9!$DN$15&gt;0,1,0)</f>
        <v>0</v>
      </c>
      <c r="BD54" s="1608">
        <f>IF(S_9!$DO$15&gt;0,1,0)</f>
        <v>0</v>
      </c>
      <c r="BE54" s="1608">
        <f>IF(S_9!$DP$15&gt;0,1,0)</f>
        <v>0</v>
      </c>
      <c r="BF54" s="1608">
        <f>IF(S_9!$DQ$15&gt;0,1,0)</f>
        <v>0</v>
      </c>
      <c r="BG54" s="1608">
        <f>IF(S_9!$DR$15&gt;0,1,0)</f>
        <v>0</v>
      </c>
      <c r="BH54" s="1608">
        <f>IF(S_9!$DS$15&gt;0,1,0)</f>
        <v>0</v>
      </c>
      <c r="BI54" s="1608">
        <f t="shared" si="23"/>
        <v>0</v>
      </c>
      <c r="BJ54" s="1106" t="str">
        <f t="shared" si="10"/>
        <v/>
      </c>
      <c r="BK54" s="2259" t="str">
        <f t="shared" si="11"/>
        <v/>
      </c>
      <c r="BL54" s="2259" t="str">
        <f t="shared" si="12"/>
        <v/>
      </c>
      <c r="BN54" s="747">
        <f>S_9!$DE$15</f>
        <v>0</v>
      </c>
      <c r="BO54" s="747">
        <f>S_9!$DM$15</f>
        <v>0</v>
      </c>
      <c r="BP54" s="747">
        <f>S_9!$CP$15</f>
        <v>0</v>
      </c>
      <c r="BQ54" s="747">
        <f>S_9!$CQ$15</f>
        <v>0</v>
      </c>
      <c r="BR54" s="1610" t="e">
        <f>BP54/Betrieb!$E$23</f>
        <v>#DIV/0!</v>
      </c>
      <c r="BS54" s="1610" t="e">
        <f>BQ54/Betrieb!$E$24</f>
        <v>#DIV/0!</v>
      </c>
      <c r="BT54" s="1615" t="str">
        <f t="shared" si="13"/>
        <v/>
      </c>
      <c r="BU54" s="1615" t="str">
        <f t="shared" si="14"/>
        <v/>
      </c>
      <c r="BV54" s="2569"/>
      <c r="BW54" s="2570"/>
      <c r="BX54" s="2566"/>
      <c r="BY54" s="2566"/>
    </row>
    <row r="55" spans="1:77" ht="20.25" customHeight="1">
      <c r="A55" s="2576" t="str">
        <f t="array" ref="A55">IFERROR(IF(ROW($C$1)&gt;COUNTA($X$37:$X$96),"",INDEX($X:$X,SMALL(IF(X$37:X$96&lt;&gt;"",ROW($37:$96)),ROW(C19)))),"")</f>
        <v/>
      </c>
      <c r="B55" s="2577"/>
      <c r="C55" s="2577"/>
      <c r="D55" s="1754" t="str">
        <f t="array" ref="D55">IFERROR(IF(ROW($D$1)&gt;COUNTA($V$37:$V$96),"",INDEX($V:$V,SMALL(IF(V$37:V$96&lt;&gt;"",ROW($37:$96)),ROW(D19)))),"")</f>
        <v/>
      </c>
      <c r="E55" s="1755" t="str">
        <f t="array" ref="E55">IFERROR(IF(ROW($E$1)&gt;COUNTA($W$37:$W$96),"",INDEX($W:$W,SMALL(IF(W$37:W$96&lt;&gt;"",ROW($37:$96)),ROW(E19)))),"")</f>
        <v/>
      </c>
      <c r="F55" s="1765" t="str">
        <f t="array" ref="F55">IFERROR(IF(ROW($F$1)&gt;COUNTA($AA$37:$AA$96),"",INDEX($AA:$AA,SMALL(IF(AA$37:AA$96&lt;&gt;"",ROW($37:$96)),ROW(F19)))),"")</f>
        <v/>
      </c>
      <c r="G55" s="1710" t="str">
        <f t="array" ref="G55">IFERROR(IF(ROW($G$1)&gt;COUNTA($AC$37:$AC$96),"",INDEX($AC:$AC,SMALL(IF(AC$37:AC$96&lt;&gt;"",ROW($37:$96)),ROW(G19)))),"")</f>
        <v/>
      </c>
      <c r="H55" s="1711" t="str">
        <f t="array" ref="H55">IFERROR(IF(ROW($H$1)&gt;COUNTA($BT$37:$BT$96),"",INDEX($BT:$BT,SMALL(IF(BT$37:BT$96&lt;&gt;"",ROW($37:$96)),ROW(H19)))),"")</f>
        <v/>
      </c>
      <c r="I55" s="1695" t="str">
        <f t="array" ref="I55">IFERROR(IF(ROW($I$1)&gt;COUNTA($AZ$37:$AZ$96),"",INDEX($AZ:$AZ,SMALL(IF(AZ$37:AZ$96&lt;&gt;"",ROW($37:$96)),ROW(I19)))),"")</f>
        <v/>
      </c>
      <c r="J55" s="1696" t="str">
        <f t="array" ref="J55">IFERROR(IF(ROW($J$1)&gt;COUNTA($BA$37:$BA$96),"",INDEX($BA:$BA,SMALL(IF(BA$37:BA$96&lt;&gt;"",ROW($37:$96)),ROW(J19)))),"")</f>
        <v/>
      </c>
      <c r="K55" s="1697" t="str">
        <f t="array" ref="K55">IFERROR(IF(ROW($K$1)&gt;COUNTA($BB$37:$BB$96),"",INDEX($BB:$BB,SMALL(IF(BB$37:BB$96&lt;&gt;"",ROW($37:$96)),ROW(K19)))),"")</f>
        <v/>
      </c>
      <c r="L55" s="1698"/>
      <c r="M55" s="1711" t="str">
        <f t="array" ref="M55">IFERROR(IF(ROW($M$1)&gt;COUNTA($BU$37:$BU$96),"",INDEX($BU:$BU,SMALL(IF(BU$37:BU$96&lt;&gt;"",ROW($37:$96)),ROW(M19)))),"")</f>
        <v/>
      </c>
      <c r="N55" s="1695" t="str">
        <f t="array" ref="N55">IFERROR(IF(ROW($N$1)&gt;COUNTA($BJ$37:$BJ$96),"",INDEX($BJ:$BJ,SMALL(IF(BJ$37:BJ$96&lt;&gt;"",ROW($37:$96)),ROW(N19)))),"")</f>
        <v/>
      </c>
      <c r="O55" s="1696" t="str">
        <f t="array" ref="O55">IFERROR(IF(ROW($O$1)&gt;COUNTA($BK$37:$BK$96),"",INDEX($BK:$BK,SMALL(IF(BK$37:BK$96&lt;&gt;"",ROW($37:$96)),ROW(O19)))),"")</f>
        <v/>
      </c>
      <c r="P55" s="1712" t="str">
        <f t="array" ref="P55">IFERROR(IF(ROW($P$1)&gt;COUNTA($BL$37:$BL$96),"",INDEX($BL:$BL,SMALL(IF(BL$37:BL$96&lt;&gt;"",ROW($37:$96)),ROW(P19)))),"")</f>
        <v/>
      </c>
      <c r="Q55" s="1775"/>
      <c r="R55" s="1775"/>
      <c r="S55" s="1775"/>
      <c r="T55" s="1775"/>
      <c r="U55" s="1608" t="str">
        <f>IF(AND(S_10!$G$8="ja",S_10!$K$8="ja"),S_10!$C$2,"")</f>
        <v/>
      </c>
      <c r="V55" s="747" t="str">
        <f t="shared" si="17"/>
        <v/>
      </c>
      <c r="W55" s="1106" t="str">
        <f>IF($U55="","",S_10!$B$14)</f>
        <v/>
      </c>
      <c r="X55" s="1608" t="str">
        <f>IF($U55="","",S_10!$A$14)</f>
        <v/>
      </c>
      <c r="Y55" s="2604" t="str">
        <f>IF($U55="","",Grünland!B14)</f>
        <v/>
      </c>
      <c r="Z55" s="1608" t="str">
        <f>IF($U55="","",S_10!$C$14)</f>
        <v/>
      </c>
      <c r="AA55" s="747" t="str">
        <f t="shared" si="18"/>
        <v/>
      </c>
      <c r="AB55" s="1608" t="str">
        <f>IF($U55="","",S_10!$CM$14)</f>
        <v/>
      </c>
      <c r="AC55" s="747" t="str">
        <f t="shared" si="19"/>
        <v/>
      </c>
      <c r="AQ55" s="1608">
        <f>IF(S_10!$DF$14&gt;0,1,0)</f>
        <v>0</v>
      </c>
      <c r="AR55" s="1608">
        <f>IF(S_10!$DG$14&gt;0,1,0)</f>
        <v>0</v>
      </c>
      <c r="AS55" s="1608">
        <f>IF(S_10!$DH$14&gt;0,1,0)</f>
        <v>0</v>
      </c>
      <c r="AT55" s="1608">
        <f>IF(S_10!$DI$14&gt;0,1,0)</f>
        <v>0</v>
      </c>
      <c r="AU55" s="1608">
        <f>IF(S_10!$DJ$14&gt;0,1,0)</f>
        <v>0</v>
      </c>
      <c r="AV55" s="1608">
        <f>IF(S_10!$DK$14&gt;0,1,0)</f>
        <v>0</v>
      </c>
      <c r="AW55" s="1608">
        <f t="shared" si="22"/>
        <v>0</v>
      </c>
      <c r="AX55" s="1608" t="str">
        <f t="shared" si="5"/>
        <v/>
      </c>
      <c r="AY55" s="1106" t="str">
        <f t="shared" si="0"/>
        <v/>
      </c>
      <c r="AZ55" s="1106" t="str">
        <f t="shared" si="6"/>
        <v/>
      </c>
      <c r="BA55" s="2259" t="str">
        <f t="shared" si="7"/>
        <v/>
      </c>
      <c r="BB55" s="2259" t="str">
        <f t="shared" si="8"/>
        <v/>
      </c>
      <c r="BC55" s="1608">
        <f>IF(S_10!$DN$14&gt;0,1,0)</f>
        <v>0</v>
      </c>
      <c r="BD55" s="1608">
        <f>IF(S_10!$DO$14&gt;0,1,0)</f>
        <v>0</v>
      </c>
      <c r="BE55" s="1608">
        <f>IF(S_10!$DP$14&gt;0,1,0)</f>
        <v>0</v>
      </c>
      <c r="BF55" s="1608">
        <f>IF(S_10!$DQ$14&gt;0,1,0)</f>
        <v>0</v>
      </c>
      <c r="BG55" s="1608">
        <f>IF(S_10!$DR$14&gt;0,1,0)</f>
        <v>0</v>
      </c>
      <c r="BH55" s="1608">
        <f>IF(S_10!$DS$14&gt;0,1,0)</f>
        <v>0</v>
      </c>
      <c r="BI55" s="1608">
        <f t="shared" si="23"/>
        <v>0</v>
      </c>
      <c r="BJ55" s="1106" t="str">
        <f t="shared" si="10"/>
        <v/>
      </c>
      <c r="BK55" s="2259" t="str">
        <f t="shared" si="11"/>
        <v/>
      </c>
      <c r="BL55" s="2259" t="str">
        <f t="shared" si="12"/>
        <v/>
      </c>
      <c r="BN55" s="747">
        <f>S_10!$DE$14</f>
        <v>0</v>
      </c>
      <c r="BO55" s="747">
        <f>S_10!$DM$14</f>
        <v>0</v>
      </c>
      <c r="BP55" s="747">
        <f>S_10!$CP$14</f>
        <v>0</v>
      </c>
      <c r="BQ55" s="747">
        <f>S_10!$CQ$14</f>
        <v>0</v>
      </c>
      <c r="BR55" s="1610" t="e">
        <f>BP55/Betrieb!$E$23</f>
        <v>#DIV/0!</v>
      </c>
      <c r="BS55" s="1610" t="e">
        <f>BQ55/Betrieb!$E$24</f>
        <v>#DIV/0!</v>
      </c>
      <c r="BT55" s="1615" t="str">
        <f t="shared" si="13"/>
        <v/>
      </c>
      <c r="BU55" s="1615" t="str">
        <f t="shared" si="14"/>
        <v/>
      </c>
      <c r="BV55" s="2569">
        <f>IF(AND(S_10!$G$8="JA",S_10!$K$8="JA"),S_10!$U$14,0)</f>
        <v>0</v>
      </c>
      <c r="BW55" s="2570">
        <f>IF(AND(S_10!$G$8="JA",S_10!$K$8="JA"),S_10!$V$14,0)</f>
        <v>0</v>
      </c>
      <c r="BX55" s="2566" t="str">
        <f t="shared" ref="BX55" si="38">IF(BV55="-",0-BW55,"")</f>
        <v/>
      </c>
      <c r="BY55" s="2566" t="str">
        <f t="shared" ref="BY55" si="39">IF(BV55="+",0+BW55,"")</f>
        <v/>
      </c>
    </row>
    <row r="56" spans="1:77" ht="20.25" customHeight="1">
      <c r="A56" s="2578" t="str">
        <f t="array" ref="A56">IFERROR(IF(ROW($C$1)&gt;COUNTA($X$37:$X$96),"",INDEX($X:$X,SMALL(IF(X$37:X$96&lt;&gt;"",ROW($37:$96)),ROW(C20)))),"")</f>
        <v/>
      </c>
      <c r="B56" s="2579"/>
      <c r="C56" s="2579"/>
      <c r="D56" s="1756" t="str">
        <f t="array" ref="D56">IFERROR(IF(ROW($D$1)&gt;COUNTA($V$37:$V$96),"",INDEX($V:$V,SMALL(IF(V$37:V$96&lt;&gt;"",ROW($37:$96)),ROW(D20)))),"")</f>
        <v/>
      </c>
      <c r="E56" s="1757" t="str">
        <f t="array" ref="E56">IFERROR(IF(ROW($E$1)&gt;COUNTA($W$37:$W$96),"",INDEX($W:$W,SMALL(IF(W$37:W$96&lt;&gt;"",ROW($37:$96)),ROW(E20)))),"")</f>
        <v/>
      </c>
      <c r="F56" s="1766" t="str">
        <f t="array" ref="F56">IFERROR(IF(ROW($F$1)&gt;COUNTA($AA$37:$AA$96),"",INDEX($AA:$AA,SMALL(IF(AA$37:AA$96&lt;&gt;"",ROW($37:$96)),ROW(F20)))),"")</f>
        <v/>
      </c>
      <c r="G56" s="1660" t="str">
        <f t="array" ref="G56">IFERROR(IF(ROW($G$1)&gt;COUNTA($AC$37:$AC$96),"",INDEX($AC:$AC,SMALL(IF(AC$37:AC$96&lt;&gt;"",ROW($37:$96)),ROW(G20)))),"")</f>
        <v/>
      </c>
      <c r="H56" s="1670" t="str">
        <f t="array" ref="H56">IFERROR(IF(ROW($H$1)&gt;COUNTA($BT$37:$BT$96),"",INDEX($BT:$BT,SMALL(IF(BT$37:BT$96&lt;&gt;"",ROW($37:$96)),ROW(H20)))),"")</f>
        <v/>
      </c>
      <c r="I56" s="1671" t="str">
        <f t="array" ref="I56">IFERROR(IF(ROW($I$1)&gt;COUNTA($AZ$37:$AZ$96),"",INDEX($AZ:$AZ,SMALL(IF(AZ$37:AZ$96&lt;&gt;"",ROW($37:$96)),ROW(I20)))),"")</f>
        <v/>
      </c>
      <c r="J56" s="1672" t="str">
        <f t="array" ref="J56">IFERROR(IF(ROW($J$1)&gt;COUNTA($BA$37:$BA$96),"",INDEX($BA:$BA,SMALL(IF(BA$37:BA$96&lt;&gt;"",ROW($37:$96)),ROW(J20)))),"")</f>
        <v/>
      </c>
      <c r="K56" s="1689" t="str">
        <f t="array" ref="K56">IFERROR(IF(ROW($K$1)&gt;COUNTA($BB$37:$BB$96),"",INDEX($BB:$BB,SMALL(IF(BB$37:BB$96&lt;&gt;"",ROW($37:$96)),ROW(K20)))),"")</f>
        <v/>
      </c>
      <c r="L56" s="1699"/>
      <c r="M56" s="1670" t="str">
        <f t="array" ref="M56">IFERROR(IF(ROW($M$1)&gt;COUNTA($BU$37:$BU$96),"",INDEX($BU:$BU,SMALL(IF(BU$37:BU$96&lt;&gt;"",ROW($37:$96)),ROW(M20)))),"")</f>
        <v/>
      </c>
      <c r="N56" s="1671" t="str">
        <f t="array" ref="N56">IFERROR(IF(ROW($N$1)&gt;COUNTA($BJ$37:$BJ$96),"",INDEX($BJ:$BJ,SMALL(IF(BJ$37:BJ$96&lt;&gt;"",ROW($37:$96)),ROW(N20)))),"")</f>
        <v/>
      </c>
      <c r="O56" s="1672" t="str">
        <f t="array" ref="O56">IFERROR(IF(ROW($O$1)&gt;COUNTA($BK$37:$BK$96),"",INDEX($BK:$BK,SMALL(IF(BK$37:BK$96&lt;&gt;"",ROW($37:$96)),ROW(O20)))),"")</f>
        <v/>
      </c>
      <c r="P56" s="1713" t="str">
        <f t="array" ref="P56">IFERROR(IF(ROW($P$1)&gt;COUNTA($BL$37:$BL$96),"",INDEX($BL:$BL,SMALL(IF(BL$37:BL$96&lt;&gt;"",ROW($37:$96)),ROW(P20)))),"")</f>
        <v/>
      </c>
      <c r="Q56" s="1775"/>
      <c r="R56" s="1775"/>
      <c r="S56" s="1775"/>
      <c r="T56" s="1775"/>
      <c r="U56" s="1608" t="str">
        <f>IF(AND(S_10!$G$8="ja",S_10!$K$8="ja"),S_10!$C$2,"")</f>
        <v/>
      </c>
      <c r="V56" s="747" t="str">
        <f t="shared" si="17"/>
        <v/>
      </c>
      <c r="W56" s="1106" t="str">
        <f>IF($U56="","",S_10!$B$15)</f>
        <v/>
      </c>
      <c r="X56" s="1608" t="str">
        <f>IF($U56="","",S_10!$A$15)</f>
        <v/>
      </c>
      <c r="Y56" s="2604"/>
      <c r="Z56" s="1608" t="str">
        <f>IF($U56="","",S_10!$C$15)</f>
        <v/>
      </c>
      <c r="AA56" s="747" t="str">
        <f t="shared" si="18"/>
        <v/>
      </c>
      <c r="AB56" s="1608" t="str">
        <f>IF($U56="","",S_10!$CM$15)</f>
        <v/>
      </c>
      <c r="AC56" s="747" t="str">
        <f t="shared" si="19"/>
        <v/>
      </c>
      <c r="AQ56" s="1608">
        <f>IF(S_10!$DF$15&gt;0,1,0)</f>
        <v>0</v>
      </c>
      <c r="AR56" s="1608">
        <f>IF(S_10!$DG$15&gt;0,1,0)</f>
        <v>0</v>
      </c>
      <c r="AS56" s="1608">
        <f>IF(S_10!$DH$15&gt;0,1,0)</f>
        <v>0</v>
      </c>
      <c r="AT56" s="1608">
        <f>IF(S_10!$DI$15&gt;0,1,0)</f>
        <v>0</v>
      </c>
      <c r="AU56" s="1608">
        <f>IF(S_10!$DJ$15&gt;0,1,0)</f>
        <v>0</v>
      </c>
      <c r="AV56" s="1608">
        <f>IF(S_10!$DK$15&gt;0,1,0)</f>
        <v>0</v>
      </c>
      <c r="AW56" s="1608">
        <f t="shared" si="22"/>
        <v>0</v>
      </c>
      <c r="AX56" s="1608" t="str">
        <f t="shared" si="5"/>
        <v/>
      </c>
      <c r="AY56" s="1106" t="str">
        <f t="shared" si="0"/>
        <v/>
      </c>
      <c r="AZ56" s="1106" t="str">
        <f t="shared" si="6"/>
        <v/>
      </c>
      <c r="BA56" s="2259" t="str">
        <f t="shared" si="7"/>
        <v/>
      </c>
      <c r="BB56" s="2259" t="str">
        <f t="shared" si="8"/>
        <v/>
      </c>
      <c r="BC56" s="1608">
        <f>IF(S_10!$DN$15&gt;0,1,0)</f>
        <v>0</v>
      </c>
      <c r="BD56" s="1608">
        <f>IF(S_10!$DO$15&gt;0,1,0)</f>
        <v>0</v>
      </c>
      <c r="BE56" s="1608">
        <f>IF(S_10!$DP$15&gt;0,1,0)</f>
        <v>0</v>
      </c>
      <c r="BF56" s="1608">
        <f>IF(S_10!$DQ$15&gt;0,1,0)</f>
        <v>0</v>
      </c>
      <c r="BG56" s="1608">
        <f>IF(S_10!$DR$15&gt;0,1,0)</f>
        <v>0</v>
      </c>
      <c r="BH56" s="1608">
        <f>IF(S_10!$DS$15&gt;0,1,0)</f>
        <v>0</v>
      </c>
      <c r="BI56" s="1608">
        <f t="shared" si="23"/>
        <v>0</v>
      </c>
      <c r="BJ56" s="1106" t="str">
        <f t="shared" si="10"/>
        <v/>
      </c>
      <c r="BK56" s="2259" t="str">
        <f t="shared" si="11"/>
        <v/>
      </c>
      <c r="BL56" s="2259" t="str">
        <f t="shared" si="12"/>
        <v/>
      </c>
      <c r="BN56" s="747">
        <f>S_10!$DE$15</f>
        <v>0</v>
      </c>
      <c r="BO56" s="747">
        <f>S_10!$DM$15</f>
        <v>0</v>
      </c>
      <c r="BP56" s="747">
        <f>S_10!$CP$15</f>
        <v>0</v>
      </c>
      <c r="BQ56" s="747">
        <f>S_10!$CQ$15</f>
        <v>0</v>
      </c>
      <c r="BR56" s="1610" t="e">
        <f>BP56/Betrieb!$E$23</f>
        <v>#DIV/0!</v>
      </c>
      <c r="BS56" s="1610" t="e">
        <f>BQ56/Betrieb!$E$24</f>
        <v>#DIV/0!</v>
      </c>
      <c r="BT56" s="1615" t="str">
        <f t="shared" si="13"/>
        <v/>
      </c>
      <c r="BU56" s="1615" t="str">
        <f t="shared" si="14"/>
        <v/>
      </c>
      <c r="BV56" s="2569"/>
      <c r="BW56" s="2570"/>
      <c r="BX56" s="2566"/>
      <c r="BY56" s="2566"/>
    </row>
    <row r="57" spans="1:77" ht="20.25" customHeight="1">
      <c r="A57" s="2585" t="str">
        <f t="array" ref="A57">IFERROR(IF(ROW($C$1)&gt;COUNTA($X$37:$X$96),"",INDEX($X:$X,SMALL(IF(X$37:X$96&lt;&gt;"",ROW($37:$96)),ROW(C21)))),"")</f>
        <v/>
      </c>
      <c r="B57" s="2586"/>
      <c r="C57" s="2586"/>
      <c r="D57" s="1744" t="str">
        <f t="array" ref="D57">IFERROR(IF(ROW($D$1)&gt;COUNTA($V$37:$V$96),"",INDEX($V:$V,SMALL(IF(V$37:V$96&lt;&gt;"",ROW($37:$96)),ROW(D21)))),"")</f>
        <v/>
      </c>
      <c r="E57" s="1745" t="str">
        <f t="array" ref="E57">IFERROR(IF(ROW($E$1)&gt;COUNTA($W$37:$W$96),"",INDEX($W:$W,SMALL(IF(W$37:W$96&lt;&gt;"",ROW($37:$96)),ROW(E21)))),"")</f>
        <v/>
      </c>
      <c r="F57" s="1763" t="str">
        <f t="array" ref="F57">IFERROR(IF(ROW($F$1)&gt;COUNTA($AA$37:$AA$96),"",INDEX($AA:$AA,SMALL(IF(AA$37:AA$96&lt;&gt;"",ROW($37:$96)),ROW(F21)))),"")</f>
        <v/>
      </c>
      <c r="G57" s="1706" t="str">
        <f t="array" ref="G57">IFERROR(IF(ROW($G$1)&gt;COUNTA($AC$37:$AC$96),"",INDEX($AC:$AC,SMALL(IF(AC$37:AC$96&lt;&gt;"",ROW($37:$96)),ROW(G21)))),"")</f>
        <v/>
      </c>
      <c r="H57" s="1707" t="str">
        <f t="array" ref="H57">IFERROR(IF(ROW($H$1)&gt;COUNTA($BT$37:$BT$96),"",INDEX($BT:$BT,SMALL(IF(BT$37:BT$96&lt;&gt;"",ROW($37:$96)),ROW(H21)))),"")</f>
        <v/>
      </c>
      <c r="I57" s="1690" t="str">
        <f t="array" ref="I57">IFERROR(IF(ROW($I$1)&gt;COUNTA($AZ$37:$AZ$96),"",INDEX($AZ:$AZ,SMALL(IF(AZ$37:AZ$96&lt;&gt;"",ROW($37:$96)),ROW(I21)))),"")</f>
        <v/>
      </c>
      <c r="J57" s="1691" t="str">
        <f t="array" ref="J57">IFERROR(IF(ROW($J$1)&gt;COUNTA($BA$37:$BA$96),"",INDEX($BA:$BA,SMALL(IF(BA$37:BA$96&lt;&gt;"",ROW($37:$96)),ROW(J21)))),"")</f>
        <v/>
      </c>
      <c r="K57" s="1692" t="str">
        <f t="array" ref="K57">IFERROR(IF(ROW($K$1)&gt;COUNTA($BB$37:$BB$96),"",INDEX($BB:$BB,SMALL(IF(BB$37:BB$96&lt;&gt;"",ROW($37:$96)),ROW(K21)))),"")</f>
        <v/>
      </c>
      <c r="L57" s="1693"/>
      <c r="M57" s="1707" t="str">
        <f t="array" ref="M57">IFERROR(IF(ROW($M$1)&gt;COUNTA($BU$37:$BU$96),"",INDEX($BU:$BU,SMALL(IF(BU$37:BU$96&lt;&gt;"",ROW($37:$96)),ROW(M21)))),"")</f>
        <v/>
      </c>
      <c r="N57" s="1690" t="str">
        <f t="array" ref="N57">IFERROR(IF(ROW($N$1)&gt;COUNTA($BJ$37:$BJ$96),"",INDEX($BJ:$BJ,SMALL(IF(BJ$37:BJ$96&lt;&gt;"",ROW($37:$96)),ROW(N21)))),"")</f>
        <v/>
      </c>
      <c r="O57" s="1691" t="str">
        <f t="array" ref="O57">IFERROR(IF(ROW($O$1)&gt;COUNTA($BK$37:$BK$96),"",INDEX($BK:$BK,SMALL(IF(BK$37:BK$96&lt;&gt;"",ROW($37:$96)),ROW(O21)))),"")</f>
        <v/>
      </c>
      <c r="P57" s="1708" t="str">
        <f t="array" ref="P57">IFERROR(IF(ROW($P$1)&gt;COUNTA($BL$37:$BL$96),"",INDEX($BL:$BL,SMALL(IF(BL$37:BL$96&lt;&gt;"",ROW($37:$96)),ROW(P21)))),"")</f>
        <v/>
      </c>
      <c r="Q57" s="1775"/>
      <c r="R57" s="1775"/>
      <c r="S57" s="1775"/>
      <c r="T57" s="1775"/>
      <c r="U57" s="1608" t="str">
        <f>IF(AND(S_11!$G$8="ja",S_11!$K$8="ja"),S_11!$C$2,"")</f>
        <v/>
      </c>
      <c r="V57" s="747" t="str">
        <f t="shared" si="17"/>
        <v/>
      </c>
      <c r="W57" s="1106" t="str">
        <f>IF($U57="","",S_11!$B$14)</f>
        <v/>
      </c>
      <c r="X57" s="1608" t="str">
        <f>IF($U57="","",S_11!$A$14)</f>
        <v/>
      </c>
      <c r="Y57" s="2604" t="str">
        <f>IF($U57="","",Grünland!B15)</f>
        <v/>
      </c>
      <c r="Z57" s="1608" t="str">
        <f>IF($U57="","",S_11!$C$14)</f>
        <v/>
      </c>
      <c r="AA57" s="747" t="str">
        <f t="shared" si="18"/>
        <v/>
      </c>
      <c r="AB57" s="1608" t="str">
        <f>IF($U57="","",S_11!$CM$14)</f>
        <v/>
      </c>
      <c r="AC57" s="747" t="str">
        <f t="shared" si="19"/>
        <v/>
      </c>
      <c r="AQ57" s="1608">
        <f>IF(S_11!$DF$14&gt;0,1,0)</f>
        <v>0</v>
      </c>
      <c r="AR57" s="1608">
        <f>IF(S_11!$DG$14&gt;0,1,0)</f>
        <v>0</v>
      </c>
      <c r="AS57" s="1608">
        <f>IF(S_11!$DH$14&gt;0,1,0)</f>
        <v>0</v>
      </c>
      <c r="AT57" s="1608">
        <f>IF(S_11!$DI$14&gt;0,1,0)</f>
        <v>0</v>
      </c>
      <c r="AU57" s="1608">
        <f>IF(S_11!$DJ$14&gt;0,1,0)</f>
        <v>0</v>
      </c>
      <c r="AV57" s="1608">
        <f>IF(S_11!$DK$14&gt;0,1,0)</f>
        <v>0</v>
      </c>
      <c r="AW57" s="1608">
        <f t="shared" si="22"/>
        <v>0</v>
      </c>
      <c r="AX57" s="1608" t="str">
        <f t="shared" si="5"/>
        <v/>
      </c>
      <c r="AY57" s="1106" t="str">
        <f t="shared" si="0"/>
        <v/>
      </c>
      <c r="AZ57" s="1106" t="str">
        <f t="shared" si="6"/>
        <v/>
      </c>
      <c r="BA57" s="2259" t="str">
        <f t="shared" si="7"/>
        <v/>
      </c>
      <c r="BB57" s="2259" t="str">
        <f t="shared" si="8"/>
        <v/>
      </c>
      <c r="BC57" s="1608">
        <f>IF(S_11!$DN$14&gt;0,1,0)</f>
        <v>0</v>
      </c>
      <c r="BD57" s="1608">
        <f>IF(S_11!$DO$14&gt;0,1,0)</f>
        <v>0</v>
      </c>
      <c r="BE57" s="1608">
        <f>IF(S_11!$DP$14&gt;0,1,0)</f>
        <v>0</v>
      </c>
      <c r="BF57" s="1608">
        <f>IF(S_11!$DQ$14&gt;0,1,0)</f>
        <v>0</v>
      </c>
      <c r="BG57" s="1608">
        <f>IF(S_11!$DR$14&gt;0,1,0)</f>
        <v>0</v>
      </c>
      <c r="BH57" s="1608">
        <f>IF(S_11!$DS$14&gt;0,1,0)</f>
        <v>0</v>
      </c>
      <c r="BI57" s="1608">
        <f t="shared" si="23"/>
        <v>0</v>
      </c>
      <c r="BJ57" s="1106" t="str">
        <f t="shared" si="10"/>
        <v/>
      </c>
      <c r="BK57" s="2259" t="str">
        <f t="shared" si="11"/>
        <v/>
      </c>
      <c r="BL57" s="2259" t="str">
        <f t="shared" si="12"/>
        <v/>
      </c>
      <c r="BN57" s="747">
        <f>S_11!$DE$14</f>
        <v>0</v>
      </c>
      <c r="BO57" s="747">
        <f>S_11!$DM$14</f>
        <v>0</v>
      </c>
      <c r="BP57" s="747">
        <f>S_11!$CP$14</f>
        <v>0</v>
      </c>
      <c r="BQ57" s="747">
        <f>S_11!$CQ$14</f>
        <v>0</v>
      </c>
      <c r="BR57" s="1610" t="e">
        <f>BP57/Betrieb!$E$23</f>
        <v>#DIV/0!</v>
      </c>
      <c r="BS57" s="1610" t="e">
        <f>BQ57/Betrieb!$E$24</f>
        <v>#DIV/0!</v>
      </c>
      <c r="BT57" s="1615" t="str">
        <f t="shared" si="13"/>
        <v/>
      </c>
      <c r="BU57" s="1615" t="str">
        <f t="shared" si="14"/>
        <v/>
      </c>
      <c r="BV57" s="2569">
        <f>IF(AND(S_11!$G$8="JA",S_11!$K$8="JA"),S_11!$U$14,0)</f>
        <v>0</v>
      </c>
      <c r="BW57" s="2570">
        <f>IF(AND(S_11!$G$8="JA",S_11!$K$8="JA"),S_11!$V$14,0)</f>
        <v>0</v>
      </c>
      <c r="BX57" s="2566" t="str">
        <f t="shared" ref="BX57" si="40">IF(BV57="-",0-BW57,"")</f>
        <v/>
      </c>
      <c r="BY57" s="2566" t="str">
        <f t="shared" ref="BY57" si="41">IF(BV57="+",0+BW57,"")</f>
        <v/>
      </c>
    </row>
    <row r="58" spans="1:77" ht="20.25" customHeight="1">
      <c r="A58" s="2587" t="str">
        <f t="array" ref="A58">IFERROR(IF(ROW($C$1)&gt;COUNTA($X$37:$X$96),"",INDEX($X:$X,SMALL(IF(X$37:X$96&lt;&gt;"",ROW($37:$96)),ROW(C22)))),"")</f>
        <v/>
      </c>
      <c r="B58" s="2588"/>
      <c r="C58" s="2588"/>
      <c r="D58" s="1746" t="str">
        <f t="array" ref="D58">IFERROR(IF(ROW($D$1)&gt;COUNTA($V$37:$V$96),"",INDEX($V:$V,SMALL(IF(V$37:V$96&lt;&gt;"",ROW($37:$96)),ROW(D22)))),"")</f>
        <v/>
      </c>
      <c r="E58" s="1747" t="str">
        <f t="array" ref="E58">IFERROR(IF(ROW($E$1)&gt;COUNTA($W$37:$W$96),"",INDEX($W:$W,SMALL(IF(W$37:W$96&lt;&gt;"",ROW($37:$96)),ROW(E22)))),"")</f>
        <v/>
      </c>
      <c r="F58" s="1764" t="str">
        <f t="array" ref="F58">IFERROR(IF(ROW($F$1)&gt;COUNTA($AA$37:$AA$96),"",INDEX($AA:$AA,SMALL(IF(AA$37:AA$96&lt;&gt;"",ROW($37:$96)),ROW(F22)))),"")</f>
        <v/>
      </c>
      <c r="G58" s="1659" t="str">
        <f t="array" ref="G58">IFERROR(IF(ROW($G$1)&gt;COUNTA($AC$37:$AC$96),"",INDEX($AC:$AC,SMALL(IF(AC$37:AC$96&lt;&gt;"",ROW($37:$96)),ROW(G22)))),"")</f>
        <v/>
      </c>
      <c r="H58" s="1667" t="str">
        <f t="array" ref="H58">IFERROR(IF(ROW($H$1)&gt;COUNTA($BT$37:$BT$96),"",INDEX($BT:$BT,SMALL(IF(BT$37:BT$96&lt;&gt;"",ROW($37:$96)),ROW(H22)))),"")</f>
        <v/>
      </c>
      <c r="I58" s="1668" t="str">
        <f t="array" ref="I58">IFERROR(IF(ROW($I$1)&gt;COUNTA($AZ$37:$AZ$96),"",INDEX($AZ:$AZ,SMALL(IF(AZ$37:AZ$96&lt;&gt;"",ROW($37:$96)),ROW(I22)))),"")</f>
        <v/>
      </c>
      <c r="J58" s="1669" t="str">
        <f t="array" ref="J58">IFERROR(IF(ROW($J$1)&gt;COUNTA($BA$37:$BA$96),"",INDEX($BA:$BA,SMALL(IF(BA$37:BA$96&lt;&gt;"",ROW($37:$96)),ROW(J22)))),"")</f>
        <v/>
      </c>
      <c r="K58" s="1688" t="str">
        <f t="array" ref="K58">IFERROR(IF(ROW($K$1)&gt;COUNTA($BB$37:$BB$96),"",INDEX($BB:$BB,SMALL(IF(BB$37:BB$96&lt;&gt;"",ROW($37:$96)),ROW(K22)))),"")</f>
        <v/>
      </c>
      <c r="L58" s="1694"/>
      <c r="M58" s="1667" t="str">
        <f t="array" ref="M58">IFERROR(IF(ROW($M$1)&gt;COUNTA($BU$37:$BU$96),"",INDEX($BU:$BU,SMALL(IF(BU$37:BU$96&lt;&gt;"",ROW($37:$96)),ROW(M22)))),"")</f>
        <v/>
      </c>
      <c r="N58" s="1668" t="str">
        <f t="array" ref="N58">IFERROR(IF(ROW($N$1)&gt;COUNTA($BJ$37:$BJ$96),"",INDEX($BJ:$BJ,SMALL(IF(BJ$37:BJ$96&lt;&gt;"",ROW($37:$96)),ROW(N22)))),"")</f>
        <v/>
      </c>
      <c r="O58" s="1669" t="str">
        <f t="array" ref="O58">IFERROR(IF(ROW($O$1)&gt;COUNTA($BK$37:$BK$96),"",INDEX($BK:$BK,SMALL(IF(BK$37:BK$96&lt;&gt;"",ROW($37:$96)),ROW(O22)))),"")</f>
        <v/>
      </c>
      <c r="P58" s="1709" t="str">
        <f t="array" ref="P58">IFERROR(IF(ROW($P$1)&gt;COUNTA($BL$37:$BL$96),"",INDEX($BL:$BL,SMALL(IF(BL$37:BL$96&lt;&gt;"",ROW($37:$96)),ROW(P22)))),"")</f>
        <v/>
      </c>
      <c r="Q58" s="1775"/>
      <c r="R58" s="1775"/>
      <c r="S58" s="1775"/>
      <c r="T58" s="1775"/>
      <c r="U58" s="1608" t="str">
        <f>IF(AND(S_11!$G$8="ja",S_11!$K$8="ja"),S_11!$C$2,"")</f>
        <v/>
      </c>
      <c r="V58" s="747" t="str">
        <f t="shared" si="17"/>
        <v/>
      </c>
      <c r="W58" s="1106" t="str">
        <f>IF($U58="","",S_11!$B$15)</f>
        <v/>
      </c>
      <c r="X58" s="1608" t="str">
        <f>IF($U58="","",S_11!$A$15)</f>
        <v/>
      </c>
      <c r="Y58" s="2604"/>
      <c r="Z58" s="1608" t="str">
        <f>IF($U58="","",S_11!$C$15)</f>
        <v/>
      </c>
      <c r="AA58" s="747" t="str">
        <f t="shared" si="18"/>
        <v/>
      </c>
      <c r="AB58" s="1608" t="str">
        <f>IF($U58="","",S_11!$CM$15)</f>
        <v/>
      </c>
      <c r="AC58" s="747" t="str">
        <f t="shared" si="19"/>
        <v/>
      </c>
      <c r="AQ58" s="1608">
        <f>IF(S_11!$DF$15&gt;0,1,0)</f>
        <v>0</v>
      </c>
      <c r="AR58" s="1608">
        <f>IF(S_11!$DG$15&gt;0,1,0)</f>
        <v>0</v>
      </c>
      <c r="AS58" s="1608">
        <f>IF(S_11!$DH$15&gt;0,1,0)</f>
        <v>0</v>
      </c>
      <c r="AT58" s="1608">
        <f>IF(S_11!$DI$15&gt;0,1,0)</f>
        <v>0</v>
      </c>
      <c r="AU58" s="1608">
        <f>IF(S_11!$DJ$15&gt;0,1,0)</f>
        <v>0</v>
      </c>
      <c r="AV58" s="1608">
        <f>IF(S_11!$DK$15&gt;0,1,0)</f>
        <v>0</v>
      </c>
      <c r="AW58" s="1608">
        <f t="shared" si="22"/>
        <v>0</v>
      </c>
      <c r="AX58" s="1608" t="str">
        <f t="shared" si="5"/>
        <v/>
      </c>
      <c r="AY58" s="1106" t="str">
        <f t="shared" si="0"/>
        <v/>
      </c>
      <c r="AZ58" s="1106" t="str">
        <f t="shared" si="6"/>
        <v/>
      </c>
      <c r="BA58" s="2259" t="str">
        <f t="shared" si="7"/>
        <v/>
      </c>
      <c r="BB58" s="2259" t="str">
        <f t="shared" si="8"/>
        <v/>
      </c>
      <c r="BC58" s="1608">
        <f>IF(S_11!$DN$15&gt;0,1,0)</f>
        <v>0</v>
      </c>
      <c r="BD58" s="1608">
        <f>IF(S_11!$DO$15&gt;0,1,0)</f>
        <v>0</v>
      </c>
      <c r="BE58" s="1608">
        <f>IF(S_11!$DP$15&gt;0,1,0)</f>
        <v>0</v>
      </c>
      <c r="BF58" s="1608">
        <f>IF(S_11!$DQ$15&gt;0,1,0)</f>
        <v>0</v>
      </c>
      <c r="BG58" s="1608">
        <f>IF(S_11!$DR$15&gt;0,1,0)</f>
        <v>0</v>
      </c>
      <c r="BH58" s="1608">
        <f>IF(S_11!$DS$15&gt;0,1,0)</f>
        <v>0</v>
      </c>
      <c r="BI58" s="1608">
        <f t="shared" si="23"/>
        <v>0</v>
      </c>
      <c r="BJ58" s="1106" t="str">
        <f t="shared" si="10"/>
        <v/>
      </c>
      <c r="BK58" s="2259" t="str">
        <f t="shared" si="11"/>
        <v/>
      </c>
      <c r="BL58" s="2259" t="str">
        <f t="shared" si="12"/>
        <v/>
      </c>
      <c r="BN58" s="747">
        <f>S_11!$DE$15</f>
        <v>0</v>
      </c>
      <c r="BO58" s="747">
        <f>S_11!$DM$15</f>
        <v>0</v>
      </c>
      <c r="BP58" s="747">
        <f>S_11!$CP$15</f>
        <v>0</v>
      </c>
      <c r="BQ58" s="747">
        <f>S_11!$CQ$15</f>
        <v>0</v>
      </c>
      <c r="BR58" s="1610" t="e">
        <f>BP58/Betrieb!$E$23</f>
        <v>#DIV/0!</v>
      </c>
      <c r="BS58" s="1610" t="e">
        <f>BQ58/Betrieb!$E$24</f>
        <v>#DIV/0!</v>
      </c>
      <c r="BT58" s="1615" t="str">
        <f t="shared" si="13"/>
        <v/>
      </c>
      <c r="BU58" s="1615" t="str">
        <f t="shared" si="14"/>
        <v/>
      </c>
      <c r="BV58" s="2569"/>
      <c r="BW58" s="2570"/>
      <c r="BX58" s="2566"/>
      <c r="BY58" s="2566"/>
    </row>
    <row r="59" spans="1:77" ht="20.25" customHeight="1">
      <c r="A59" s="2576" t="str">
        <f t="array" ref="A59">IFERROR(IF(ROW($C$1)&gt;COUNTA($X$37:$X$96),"",INDEX($X:$X,SMALL(IF(X$37:X$96&lt;&gt;"",ROW($37:$96)),ROW(C23)))),"")</f>
        <v/>
      </c>
      <c r="B59" s="2577"/>
      <c r="C59" s="2577"/>
      <c r="D59" s="1754" t="str">
        <f t="array" ref="D59">IFERROR(IF(ROW($D$1)&gt;COUNTA($V$37:$V$96),"",INDEX($V:$V,SMALL(IF(V$37:V$96&lt;&gt;"",ROW($37:$96)),ROW(D23)))),"")</f>
        <v/>
      </c>
      <c r="E59" s="1755" t="str">
        <f t="array" ref="E59">IFERROR(IF(ROW($E$1)&gt;COUNTA($W$37:$W$96),"",INDEX($W:$W,SMALL(IF(W$37:W$96&lt;&gt;"",ROW($37:$96)),ROW(E23)))),"")</f>
        <v/>
      </c>
      <c r="F59" s="1765" t="str">
        <f t="array" ref="F59">IFERROR(IF(ROW($F$1)&gt;COUNTA($AA$37:$AA$96),"",INDEX($AA:$AA,SMALL(IF(AA$37:AA$96&lt;&gt;"",ROW($37:$96)),ROW(F23)))),"")</f>
        <v/>
      </c>
      <c r="G59" s="1710" t="str">
        <f t="array" ref="G59">IFERROR(IF(ROW($G$1)&gt;COUNTA($AC$37:$AC$96),"",INDEX($AC:$AC,SMALL(IF(AC$37:AC$96&lt;&gt;"",ROW($37:$96)),ROW(G23)))),"")</f>
        <v/>
      </c>
      <c r="H59" s="1711" t="str">
        <f t="array" ref="H59">IFERROR(IF(ROW($H$1)&gt;COUNTA($BT$37:$BT$96),"",INDEX($BT:$BT,SMALL(IF(BT$37:BT$96&lt;&gt;"",ROW($37:$96)),ROW(H23)))),"")</f>
        <v/>
      </c>
      <c r="I59" s="1695" t="str">
        <f t="array" ref="I59">IFERROR(IF(ROW($I$1)&gt;COUNTA($AZ$37:$AZ$96),"",INDEX($AZ:$AZ,SMALL(IF(AZ$37:AZ$96&lt;&gt;"",ROW($37:$96)),ROW(I23)))),"")</f>
        <v/>
      </c>
      <c r="J59" s="1696" t="str">
        <f t="array" ref="J59">IFERROR(IF(ROW($J$1)&gt;COUNTA($BA$37:$BA$96),"",INDEX($BA:$BA,SMALL(IF(BA$37:BA$96&lt;&gt;"",ROW($37:$96)),ROW(J23)))),"")</f>
        <v/>
      </c>
      <c r="K59" s="1697" t="str">
        <f t="array" ref="K59">IFERROR(IF(ROW($K$1)&gt;COUNTA($BB$37:$BB$96),"",INDEX($BB:$BB,SMALL(IF(BB$37:BB$96&lt;&gt;"",ROW($37:$96)),ROW(K23)))),"")</f>
        <v/>
      </c>
      <c r="L59" s="1698"/>
      <c r="M59" s="1711" t="str">
        <f t="array" ref="M59">IFERROR(IF(ROW($M$1)&gt;COUNTA($BU$37:$BU$96),"",INDEX($BU:$BU,SMALL(IF(BU$37:BU$96&lt;&gt;"",ROW($37:$96)),ROW(M23)))),"")</f>
        <v/>
      </c>
      <c r="N59" s="1695" t="str">
        <f t="array" ref="N59">IFERROR(IF(ROW($N$1)&gt;COUNTA($BJ$37:$BJ$96),"",INDEX($BJ:$BJ,SMALL(IF(BJ$37:BJ$96&lt;&gt;"",ROW($37:$96)),ROW(N23)))),"")</f>
        <v/>
      </c>
      <c r="O59" s="1696" t="str">
        <f t="array" ref="O59">IFERROR(IF(ROW($O$1)&gt;COUNTA($BK$37:$BK$96),"",INDEX($BK:$BK,SMALL(IF(BK$37:BK$96&lt;&gt;"",ROW($37:$96)),ROW(O23)))),"")</f>
        <v/>
      </c>
      <c r="P59" s="1712" t="str">
        <f t="array" ref="P59">IFERROR(IF(ROW($P$1)&gt;COUNTA($BL$37:$BL$96),"",INDEX($BL:$BL,SMALL(IF(BL$37:BL$96&lt;&gt;"",ROW($37:$96)),ROW(P23)))),"")</f>
        <v/>
      </c>
      <c r="Q59" s="1775"/>
      <c r="R59" s="1775"/>
      <c r="S59" s="1775"/>
      <c r="T59" s="1775"/>
      <c r="U59" s="1608" t="str">
        <f>IF(AND(S_12!$G$8="ja",S_12!$K$8="ja"),S_12!$C$2,"")</f>
        <v/>
      </c>
      <c r="V59" s="747" t="str">
        <f t="shared" si="17"/>
        <v/>
      </c>
      <c r="W59" s="1106" t="str">
        <f>IF($U59="","",S_12!$B$14)</f>
        <v/>
      </c>
      <c r="X59" s="1608" t="str">
        <f>IF($U59="","",S_12!$A$14)</f>
        <v/>
      </c>
      <c r="Y59" s="2604" t="str">
        <f>IF($U59="","",Grünland!B16)</f>
        <v/>
      </c>
      <c r="Z59" s="1608" t="str">
        <f>IF($U59="","",S_12!$C$14)</f>
        <v/>
      </c>
      <c r="AA59" s="747" t="str">
        <f t="shared" si="18"/>
        <v/>
      </c>
      <c r="AB59" s="1608" t="str">
        <f>IF($U59="","",S_12!$CM$14)</f>
        <v/>
      </c>
      <c r="AC59" s="747" t="str">
        <f t="shared" si="19"/>
        <v/>
      </c>
      <c r="AQ59" s="1608">
        <f>IF(S_12!$DF$14&gt;0,1,0)</f>
        <v>0</v>
      </c>
      <c r="AR59" s="1608">
        <f>IF(S_12!$DG$14&gt;0,1,0)</f>
        <v>0</v>
      </c>
      <c r="AS59" s="1608">
        <f>IF(S_12!$DH$14&gt;0,1,0)</f>
        <v>0</v>
      </c>
      <c r="AT59" s="1608">
        <f>IF(S_12!$DI$14&gt;0,1,0)</f>
        <v>0</v>
      </c>
      <c r="AU59" s="1608">
        <f>IF(S_12!$DJ$14&gt;0,1,0)</f>
        <v>0</v>
      </c>
      <c r="AV59" s="1608">
        <f>IF(S_12!$DK$14&gt;0,1,0)</f>
        <v>0</v>
      </c>
      <c r="AW59" s="1608">
        <f t="shared" si="22"/>
        <v>0</v>
      </c>
      <c r="AX59" s="1608" t="str">
        <f t="shared" si="5"/>
        <v/>
      </c>
      <c r="AY59" s="1106" t="str">
        <f t="shared" si="0"/>
        <v/>
      </c>
      <c r="AZ59" s="1106" t="str">
        <f t="shared" si="6"/>
        <v/>
      </c>
      <c r="BA59" s="2259" t="str">
        <f t="shared" si="7"/>
        <v/>
      </c>
      <c r="BB59" s="2259" t="str">
        <f t="shared" si="8"/>
        <v/>
      </c>
      <c r="BC59" s="1608">
        <f>IF(S_12!$DN$14&gt;0,1,0)</f>
        <v>0</v>
      </c>
      <c r="BD59" s="1608">
        <f>IF(S_12!$DO$14&gt;0,1,0)</f>
        <v>0</v>
      </c>
      <c r="BE59" s="1608">
        <f>IF(S_12!$DP$14&gt;0,1,0)</f>
        <v>0</v>
      </c>
      <c r="BF59" s="1608">
        <f>IF(S_12!$DQ$14&gt;0,1,0)</f>
        <v>0</v>
      </c>
      <c r="BG59" s="1608">
        <f>IF(S_12!$DR$14&gt;0,1,0)</f>
        <v>0</v>
      </c>
      <c r="BH59" s="1608">
        <f>IF(S_12!$DS$14&gt;0,1,0)</f>
        <v>0</v>
      </c>
      <c r="BI59" s="1608">
        <f t="shared" si="23"/>
        <v>0</v>
      </c>
      <c r="BJ59" s="1106" t="str">
        <f t="shared" si="10"/>
        <v/>
      </c>
      <c r="BK59" s="2259" t="str">
        <f t="shared" si="11"/>
        <v/>
      </c>
      <c r="BL59" s="2259" t="str">
        <f t="shared" si="12"/>
        <v/>
      </c>
      <c r="BN59" s="747">
        <f>S_12!$DE$14</f>
        <v>0</v>
      </c>
      <c r="BO59" s="747">
        <f>S_12!$DM$14</f>
        <v>0</v>
      </c>
      <c r="BP59" s="747">
        <f>S_12!$CP$14</f>
        <v>0</v>
      </c>
      <c r="BQ59" s="747">
        <f>S_12!$CQ$14</f>
        <v>0</v>
      </c>
      <c r="BR59" s="1610" t="e">
        <f>BP59/Betrieb!$E$23</f>
        <v>#DIV/0!</v>
      </c>
      <c r="BS59" s="1610" t="e">
        <f>BQ59/Betrieb!$E$24</f>
        <v>#DIV/0!</v>
      </c>
      <c r="BT59" s="1615" t="str">
        <f t="shared" si="13"/>
        <v/>
      </c>
      <c r="BU59" s="1615" t="str">
        <f t="shared" si="14"/>
        <v/>
      </c>
      <c r="BV59" s="2569">
        <f>IF(AND(S_12!$G$8="JA",S_12!$K$8="JA"),S_12!$U$14,0)</f>
        <v>0</v>
      </c>
      <c r="BW59" s="2570">
        <f>IF(AND(S_12!$G$8="JA",S_12!$K$8="JA"),S_12!$V$14,0)</f>
        <v>0</v>
      </c>
      <c r="BX59" s="2566" t="str">
        <f t="shared" ref="BX59" si="42">IF(BV59="-",0-BW59,"")</f>
        <v/>
      </c>
      <c r="BY59" s="2566" t="str">
        <f t="shared" ref="BY59" si="43">IF(BV59="+",0+BW59,"")</f>
        <v/>
      </c>
    </row>
    <row r="60" spans="1:77" ht="20.25" customHeight="1">
      <c r="A60" s="2578" t="str">
        <f t="array" ref="A60">IFERROR(IF(ROW($C$1)&gt;COUNTA($X$37:$X$96),"",INDEX($X:$X,SMALL(IF(X$37:X$96&lt;&gt;"",ROW($37:$96)),ROW(C24)))),"")</f>
        <v/>
      </c>
      <c r="B60" s="2579"/>
      <c r="C60" s="2579"/>
      <c r="D60" s="1756" t="str">
        <f t="array" ref="D60">IFERROR(IF(ROW($D$1)&gt;COUNTA($V$37:$V$96),"",INDEX($V:$V,SMALL(IF(V$37:V$96&lt;&gt;"",ROW($37:$96)),ROW(D24)))),"")</f>
        <v/>
      </c>
      <c r="E60" s="1757" t="str">
        <f t="array" ref="E60">IFERROR(IF(ROW($E$1)&gt;COUNTA($W$37:$W$96),"",INDEX($W:$W,SMALL(IF(W$37:W$96&lt;&gt;"",ROW($37:$96)),ROW(E24)))),"")</f>
        <v/>
      </c>
      <c r="F60" s="1766" t="str">
        <f t="array" ref="F60">IFERROR(IF(ROW($F$1)&gt;COUNTA($AA$37:$AA$96),"",INDEX($AA:$AA,SMALL(IF(AA$37:AA$96&lt;&gt;"",ROW($37:$96)),ROW(F24)))),"")</f>
        <v/>
      </c>
      <c r="G60" s="1660" t="str">
        <f t="array" ref="G60">IFERROR(IF(ROW($G$1)&gt;COUNTA($AC$37:$AC$96),"",INDEX($AC:$AC,SMALL(IF(AC$37:AC$96&lt;&gt;"",ROW($37:$96)),ROW(G24)))),"")</f>
        <v/>
      </c>
      <c r="H60" s="1670" t="str">
        <f t="array" ref="H60">IFERROR(IF(ROW($H$1)&gt;COUNTA($BT$37:$BT$96),"",INDEX($BT:$BT,SMALL(IF(BT$37:BT$96&lt;&gt;"",ROW($37:$96)),ROW(H24)))),"")</f>
        <v/>
      </c>
      <c r="I60" s="1671" t="str">
        <f t="array" ref="I60">IFERROR(IF(ROW($I$1)&gt;COUNTA($AZ$37:$AZ$96),"",INDEX($AZ:$AZ,SMALL(IF(AZ$37:AZ$96&lt;&gt;"",ROW($37:$96)),ROW(I24)))),"")</f>
        <v/>
      </c>
      <c r="J60" s="1672" t="str">
        <f t="array" ref="J60">IFERROR(IF(ROW($J$1)&gt;COUNTA($BA$37:$BA$96),"",INDEX($BA:$BA,SMALL(IF(BA$37:BA$96&lt;&gt;"",ROW($37:$96)),ROW(J24)))),"")</f>
        <v/>
      </c>
      <c r="K60" s="1689" t="str">
        <f t="array" ref="K60">IFERROR(IF(ROW($K$1)&gt;COUNTA($BB$37:$BB$96),"",INDEX($BB:$BB,SMALL(IF(BB$37:BB$96&lt;&gt;"",ROW($37:$96)),ROW(K24)))),"")</f>
        <v/>
      </c>
      <c r="L60" s="1699"/>
      <c r="M60" s="1670" t="str">
        <f t="array" ref="M60">IFERROR(IF(ROW($M$1)&gt;COUNTA($BU$37:$BU$96),"",INDEX($BU:$BU,SMALL(IF(BU$37:BU$96&lt;&gt;"",ROW($37:$96)),ROW(M24)))),"")</f>
        <v/>
      </c>
      <c r="N60" s="1671" t="str">
        <f t="array" ref="N60">IFERROR(IF(ROW($N$1)&gt;COUNTA($BJ$37:$BJ$96),"",INDEX($BJ:$BJ,SMALL(IF(BJ$37:BJ$96&lt;&gt;"",ROW($37:$96)),ROW(N24)))),"")</f>
        <v/>
      </c>
      <c r="O60" s="1672" t="str">
        <f t="array" ref="O60">IFERROR(IF(ROW($O$1)&gt;COUNTA($BK$37:$BK$96),"",INDEX($BK:$BK,SMALL(IF(BK$37:BK$96&lt;&gt;"",ROW($37:$96)),ROW(O24)))),"")</f>
        <v/>
      </c>
      <c r="P60" s="1713" t="str">
        <f t="array" ref="P60">IFERROR(IF(ROW($P$1)&gt;COUNTA($BL$37:$BL$96),"",INDEX($BL:$BL,SMALL(IF(BL$37:BL$96&lt;&gt;"",ROW($37:$96)),ROW(P24)))),"")</f>
        <v/>
      </c>
      <c r="Q60" s="1775"/>
      <c r="R60" s="1775"/>
      <c r="S60" s="1775"/>
      <c r="T60" s="1775"/>
      <c r="U60" s="1608" t="str">
        <f>IF(AND(S_12!$G$8="ja",S_12!$K$8="ja"),S_12!$C$2,"")</f>
        <v/>
      </c>
      <c r="V60" s="747" t="str">
        <f t="shared" si="17"/>
        <v/>
      </c>
      <c r="W60" s="1106" t="str">
        <f>IF($U60="","",S_12!$B$15)</f>
        <v/>
      </c>
      <c r="X60" s="1608" t="str">
        <f>IF($U60="","",S_12!$A$15)</f>
        <v/>
      </c>
      <c r="Y60" s="2604"/>
      <c r="Z60" s="1608" t="str">
        <f>IF($U60="","",S_12!$C$15)</f>
        <v/>
      </c>
      <c r="AA60" s="747" t="str">
        <f t="shared" si="18"/>
        <v/>
      </c>
      <c r="AB60" s="1608" t="str">
        <f>IF($U60="","",S_12!$CM$15)</f>
        <v/>
      </c>
      <c r="AC60" s="747" t="str">
        <f t="shared" si="19"/>
        <v/>
      </c>
      <c r="AQ60" s="1608">
        <f>IF(S_12!$DF$15&gt;0,1,0)</f>
        <v>0</v>
      </c>
      <c r="AR60" s="1608">
        <f>IF(S_12!$DG$15&gt;0,1,0)</f>
        <v>0</v>
      </c>
      <c r="AS60" s="1608">
        <f>IF(S_12!$DH$15&gt;0,1,0)</f>
        <v>0</v>
      </c>
      <c r="AT60" s="1608">
        <f>IF(S_12!$DI$15&gt;0,1,0)</f>
        <v>0</v>
      </c>
      <c r="AU60" s="1608">
        <f>IF(S_12!$DJ$15&gt;0,1,0)</f>
        <v>0</v>
      </c>
      <c r="AV60" s="1608">
        <f>IF(S_12!$DK$15&gt;0,1,0)</f>
        <v>0</v>
      </c>
      <c r="AW60" s="1608">
        <f t="shared" si="22"/>
        <v>0</v>
      </c>
      <c r="AX60" s="1608" t="str">
        <f t="shared" si="5"/>
        <v/>
      </c>
      <c r="AY60" s="1106" t="str">
        <f t="shared" si="0"/>
        <v/>
      </c>
      <c r="AZ60" s="1106" t="str">
        <f t="shared" si="6"/>
        <v/>
      </c>
      <c r="BA60" s="2259" t="str">
        <f t="shared" si="7"/>
        <v/>
      </c>
      <c r="BB60" s="2259" t="str">
        <f t="shared" si="8"/>
        <v/>
      </c>
      <c r="BC60" s="1608">
        <f>IF(S_12!$DN$15&gt;0,1,0)</f>
        <v>0</v>
      </c>
      <c r="BD60" s="1608">
        <f>IF(S_12!$DO$15&gt;0,1,0)</f>
        <v>0</v>
      </c>
      <c r="BE60" s="1608">
        <f>IF(S_12!$DP$15&gt;0,1,0)</f>
        <v>0</v>
      </c>
      <c r="BF60" s="1608">
        <f>IF(S_12!$DQ$15&gt;0,1,0)</f>
        <v>0</v>
      </c>
      <c r="BG60" s="1608">
        <f>IF(S_12!$DR$15&gt;0,1,0)</f>
        <v>0</v>
      </c>
      <c r="BH60" s="1608">
        <f>IF(S_12!$DS$15&gt;0,1,0)</f>
        <v>0</v>
      </c>
      <c r="BI60" s="1608">
        <f t="shared" si="23"/>
        <v>0</v>
      </c>
      <c r="BJ60" s="1106" t="str">
        <f t="shared" si="10"/>
        <v/>
      </c>
      <c r="BK60" s="2259" t="str">
        <f t="shared" si="11"/>
        <v/>
      </c>
      <c r="BL60" s="2259" t="str">
        <f t="shared" si="12"/>
        <v/>
      </c>
      <c r="BN60" s="747">
        <f>S_12!$DE$15</f>
        <v>0</v>
      </c>
      <c r="BO60" s="747">
        <f>S_12!$DM$15</f>
        <v>0</v>
      </c>
      <c r="BP60" s="747">
        <f>S_12!$CP$15</f>
        <v>0</v>
      </c>
      <c r="BQ60" s="747">
        <f>S_12!$CQ$15</f>
        <v>0</v>
      </c>
      <c r="BR60" s="1610" t="e">
        <f>BP60/Betrieb!$E$23</f>
        <v>#DIV/0!</v>
      </c>
      <c r="BS60" s="1610" t="e">
        <f>BQ60/Betrieb!$E$24</f>
        <v>#DIV/0!</v>
      </c>
      <c r="BT60" s="1615" t="str">
        <f t="shared" si="13"/>
        <v/>
      </c>
      <c r="BU60" s="1615" t="str">
        <f t="shared" si="14"/>
        <v/>
      </c>
      <c r="BV60" s="2569"/>
      <c r="BW60" s="2570"/>
      <c r="BX60" s="2566"/>
      <c r="BY60" s="2566"/>
    </row>
    <row r="61" spans="1:77" ht="20.25" customHeight="1">
      <c r="A61" s="2585" t="str">
        <f t="array" ref="A61">IFERROR(IF(ROW($C$1)&gt;COUNTA($X$37:$X$96),"",INDEX($X:$X,SMALL(IF(X$37:X$96&lt;&gt;"",ROW($37:$96)),ROW(C25)))),"")</f>
        <v/>
      </c>
      <c r="B61" s="2586"/>
      <c r="C61" s="2586"/>
      <c r="D61" s="1744" t="str">
        <f t="array" ref="D61">IFERROR(IF(ROW($D$1)&gt;COUNTA($V$37:$V$96),"",INDEX($V:$V,SMALL(IF(V$37:V$96&lt;&gt;"",ROW($37:$96)),ROW(D25)))),"")</f>
        <v/>
      </c>
      <c r="E61" s="1745" t="str">
        <f t="array" ref="E61">IFERROR(IF(ROW($E$1)&gt;COUNTA($W$37:$W$96),"",INDEX($W:$W,SMALL(IF(W$37:W$96&lt;&gt;"",ROW($37:$96)),ROW(E25)))),"")</f>
        <v/>
      </c>
      <c r="F61" s="1763" t="str">
        <f t="array" ref="F61">IFERROR(IF(ROW($F$1)&gt;COUNTA($AA$37:$AA$96),"",INDEX($AA:$AA,SMALL(IF(AA$37:AA$96&lt;&gt;"",ROW($37:$96)),ROW(F25)))),"")</f>
        <v/>
      </c>
      <c r="G61" s="1706" t="str">
        <f t="array" ref="G61">IFERROR(IF(ROW($G$1)&gt;COUNTA($AC$37:$AC$96),"",INDEX($AC:$AC,SMALL(IF(AC$37:AC$96&lt;&gt;"",ROW($37:$96)),ROW(G25)))),"")</f>
        <v/>
      </c>
      <c r="H61" s="1707" t="str">
        <f t="array" ref="H61">IFERROR(IF(ROW($H$1)&gt;COUNTA($BT$37:$BT$96),"",INDEX($BT:$BT,SMALL(IF(BT$37:BT$96&lt;&gt;"",ROW($37:$96)),ROW(H25)))),"")</f>
        <v/>
      </c>
      <c r="I61" s="1690" t="str">
        <f t="array" ref="I61">IFERROR(IF(ROW($I$1)&gt;COUNTA($AZ$37:$AZ$96),"",INDEX($AZ:$AZ,SMALL(IF(AZ$37:AZ$96&lt;&gt;"",ROW($37:$96)),ROW(I25)))),"")</f>
        <v/>
      </c>
      <c r="J61" s="1691" t="str">
        <f t="array" ref="J61">IFERROR(IF(ROW($J$1)&gt;COUNTA($BA$37:$BA$96),"",INDEX($BA:$BA,SMALL(IF(BA$37:BA$96&lt;&gt;"",ROW($37:$96)),ROW(J25)))),"")</f>
        <v/>
      </c>
      <c r="K61" s="1692" t="str">
        <f t="array" ref="K61">IFERROR(IF(ROW($K$1)&gt;COUNTA($BB$37:$BB$96),"",INDEX($BB:$BB,SMALL(IF(BB$37:BB$96&lt;&gt;"",ROW($37:$96)),ROW(K25)))),"")</f>
        <v/>
      </c>
      <c r="L61" s="1693"/>
      <c r="M61" s="1707" t="str">
        <f t="array" ref="M61">IFERROR(IF(ROW($M$1)&gt;COUNTA($BU$37:$BU$96),"",INDEX($BU:$BU,SMALL(IF(BU$37:BU$96&lt;&gt;"",ROW($37:$96)),ROW(M25)))),"")</f>
        <v/>
      </c>
      <c r="N61" s="1690" t="str">
        <f t="array" ref="N61">IFERROR(IF(ROW($N$1)&gt;COUNTA($BJ$37:$BJ$96),"",INDEX($BJ:$BJ,SMALL(IF(BJ$37:BJ$96&lt;&gt;"",ROW($37:$96)),ROW(N25)))),"")</f>
        <v/>
      </c>
      <c r="O61" s="1691" t="str">
        <f t="array" ref="O61">IFERROR(IF(ROW($O$1)&gt;COUNTA($BK$37:$BK$96),"",INDEX($BK:$BK,SMALL(IF(BK$37:BK$96&lt;&gt;"",ROW($37:$96)),ROW(O25)))),"")</f>
        <v/>
      </c>
      <c r="P61" s="1708" t="str">
        <f t="array" ref="P61">IFERROR(IF(ROW($P$1)&gt;COUNTA($BL$37:$BL$96),"",INDEX($BL:$BL,SMALL(IF(BL$37:BL$96&lt;&gt;"",ROW($37:$96)),ROW(P25)))),"")</f>
        <v/>
      </c>
      <c r="Q61" s="1775"/>
      <c r="R61" s="1775"/>
      <c r="S61" s="1775"/>
      <c r="T61" s="1775"/>
      <c r="U61" s="1608" t="str">
        <f>IF(AND(S_13!$G$8="ja",S_13!$K$8="ja"),S_13!$C$2,"")</f>
        <v/>
      </c>
      <c r="V61" s="747" t="str">
        <f t="shared" si="17"/>
        <v/>
      </c>
      <c r="W61" s="1106" t="str">
        <f>IF($U61="","",S_13!$B$14)</f>
        <v/>
      </c>
      <c r="X61" s="1608" t="str">
        <f>IF($U61="","",S_13!$A$14)</f>
        <v/>
      </c>
      <c r="Y61" s="2604" t="str">
        <f>IF($U61="","",Grünland!B17)</f>
        <v/>
      </c>
      <c r="Z61" s="1608" t="str">
        <f>IF($U61="","",S_13!$C$14)</f>
        <v/>
      </c>
      <c r="AA61" s="747" t="str">
        <f t="shared" si="18"/>
        <v/>
      </c>
      <c r="AB61" s="1608" t="str">
        <f>IF($U61="","",S_13!$CM$14)</f>
        <v/>
      </c>
      <c r="AC61" s="747" t="str">
        <f t="shared" si="19"/>
        <v/>
      </c>
      <c r="AQ61" s="1608">
        <f>IF(S_13!$DF$14&gt;0,1,0)</f>
        <v>0</v>
      </c>
      <c r="AR61" s="1608">
        <f>IF(S_13!$DG$14&gt;0,1,0)</f>
        <v>0</v>
      </c>
      <c r="AS61" s="1608">
        <f>IF(S_13!$DH$14&gt;0,1,0)</f>
        <v>0</v>
      </c>
      <c r="AT61" s="1608">
        <f>IF(S_13!$DI$14&gt;0,1,0)</f>
        <v>0</v>
      </c>
      <c r="AU61" s="1608">
        <f>IF(S_13!$DJ$14&gt;0,1,0)</f>
        <v>0</v>
      </c>
      <c r="AV61" s="1608">
        <f>IF(S_13!$DK$14&gt;0,1,0)</f>
        <v>0</v>
      </c>
      <c r="AW61" s="1608">
        <f t="shared" si="22"/>
        <v>0</v>
      </c>
      <c r="AX61" s="1608" t="str">
        <f t="shared" si="5"/>
        <v/>
      </c>
      <c r="AY61" s="1106" t="str">
        <f t="shared" si="0"/>
        <v/>
      </c>
      <c r="AZ61" s="1106" t="str">
        <f t="shared" si="6"/>
        <v/>
      </c>
      <c r="BA61" s="2259" t="str">
        <f t="shared" si="7"/>
        <v/>
      </c>
      <c r="BB61" s="2259" t="str">
        <f t="shared" si="8"/>
        <v/>
      </c>
      <c r="BC61" s="1608">
        <f>IF(S_13!$DN$14&gt;0,1,0)</f>
        <v>0</v>
      </c>
      <c r="BD61" s="1608">
        <f>IF(S_13!$DO$14&gt;0,1,0)</f>
        <v>0</v>
      </c>
      <c r="BE61" s="1608">
        <f>IF(S_13!$DP$14&gt;0,1,0)</f>
        <v>0</v>
      </c>
      <c r="BF61" s="1608">
        <f>IF(S_13!$DQ$14&gt;0,1,0)</f>
        <v>0</v>
      </c>
      <c r="BG61" s="1608">
        <f>IF(S_13!$DR$14&gt;0,1,0)</f>
        <v>0</v>
      </c>
      <c r="BH61" s="1608">
        <f>IF(S_13!$DS$14&gt;0,1,0)</f>
        <v>0</v>
      </c>
      <c r="BI61" s="1608">
        <f t="shared" si="23"/>
        <v>0</v>
      </c>
      <c r="BJ61" s="1106" t="str">
        <f t="shared" si="10"/>
        <v/>
      </c>
      <c r="BK61" s="2259" t="str">
        <f t="shared" si="11"/>
        <v/>
      </c>
      <c r="BL61" s="2259" t="str">
        <f t="shared" si="12"/>
        <v/>
      </c>
      <c r="BN61" s="747">
        <f>S_13!$DE$14</f>
        <v>0</v>
      </c>
      <c r="BO61" s="747">
        <f>S_13!$DM$14</f>
        <v>0</v>
      </c>
      <c r="BP61" s="747">
        <f>S_13!$CP$14</f>
        <v>0</v>
      </c>
      <c r="BQ61" s="747">
        <f>S_13!$CQ$14</f>
        <v>0</v>
      </c>
      <c r="BR61" s="1610" t="e">
        <f>BP61/Betrieb!$E$23</f>
        <v>#DIV/0!</v>
      </c>
      <c r="BS61" s="1610" t="e">
        <f>BQ61/Betrieb!$E$24</f>
        <v>#DIV/0!</v>
      </c>
      <c r="BT61" s="1615" t="str">
        <f t="shared" si="13"/>
        <v/>
      </c>
      <c r="BU61" s="1615" t="str">
        <f t="shared" si="14"/>
        <v/>
      </c>
      <c r="BV61" s="2569">
        <f>IF(AND(S_13!$G$8="JA",S_13!$K$8="JA"),S_13!$U$14,0)</f>
        <v>0</v>
      </c>
      <c r="BW61" s="2570">
        <f>IF(AND(S_13!$G$8="JA",S_13!$K$8="JA"),S_13!$V$14,0)</f>
        <v>0</v>
      </c>
      <c r="BX61" s="2566" t="str">
        <f t="shared" ref="BX61" si="44">IF(BV61="-",0-BW61,"")</f>
        <v/>
      </c>
      <c r="BY61" s="2566" t="str">
        <f t="shared" ref="BY61" si="45">IF(BV61="+",0+BW61,"")</f>
        <v/>
      </c>
    </row>
    <row r="62" spans="1:77" ht="20.25" customHeight="1" thickBot="1">
      <c r="A62" s="2574" t="str">
        <f t="array" ref="A62">IFERROR(IF(ROW($C$1)&gt;COUNTA($X$37:$X$96),"",INDEX($X:$X,SMALL(IF(X$37:X$96&lt;&gt;"",ROW($37:$96)),ROW(C26)))),"")</f>
        <v/>
      </c>
      <c r="B62" s="2575"/>
      <c r="C62" s="2575"/>
      <c r="D62" s="1748" t="str">
        <f t="array" ref="D62">IFERROR(IF(ROW($D$1)&gt;COUNTA($V$37:$V$96),"",INDEX($V:$V,SMALL(IF(V$37:V$96&lt;&gt;"",ROW($37:$96)),ROW(D26)))),"")</f>
        <v/>
      </c>
      <c r="E62" s="1749" t="str">
        <f t="array" ref="E62">IFERROR(IF(ROW($E$1)&gt;COUNTA($W$37:$W$96),"",INDEX($W:$W,SMALL(IF(W$37:W$96&lt;&gt;"",ROW($37:$96)),ROW(E26)))),"")</f>
        <v/>
      </c>
      <c r="F62" s="1767" t="str">
        <f t="array" ref="F62">IFERROR(IF(ROW($F$1)&gt;COUNTA($AA$37:$AA$96),"",INDEX($AA:$AA,SMALL(IF(AA$37:AA$96&lt;&gt;"",ROW($37:$96)),ROW(F26)))),"")</f>
        <v/>
      </c>
      <c r="G62" s="1714" t="str">
        <f t="array" ref="G62">IFERROR(IF(ROW($G$1)&gt;COUNTA($AC$37:$AC$96),"",INDEX($AC:$AC,SMALL(IF(AC$37:AC$96&lt;&gt;"",ROW($37:$96)),ROW(G26)))),"")</f>
        <v/>
      </c>
      <c r="H62" s="1715" t="str">
        <f t="array" ref="H62">IFERROR(IF(ROW($H$1)&gt;COUNTA($BT$37:$BT$96),"",INDEX($BT:$BT,SMALL(IF(BT$37:BT$96&lt;&gt;"",ROW($37:$96)),ROW(H26)))),"")</f>
        <v/>
      </c>
      <c r="I62" s="1716" t="str">
        <f t="array" ref="I62">IFERROR(IF(ROW($I$1)&gt;COUNTA($AZ$37:$AZ$96),"",INDEX($AZ:$AZ,SMALL(IF(AZ$37:AZ$96&lt;&gt;"",ROW($37:$96)),ROW(I26)))),"")</f>
        <v/>
      </c>
      <c r="J62" s="1717" t="str">
        <f t="array" ref="J62">IFERROR(IF(ROW($J$1)&gt;COUNTA($BA$37:$BA$96),"",INDEX($BA:$BA,SMALL(IF(BA$37:BA$96&lt;&gt;"",ROW($37:$96)),ROW(J26)))),"")</f>
        <v/>
      </c>
      <c r="K62" s="1718" t="str">
        <f t="array" ref="K62">IFERROR(IF(ROW($K$1)&gt;COUNTA($BB$37:$BB$96),"",INDEX($BB:$BB,SMALL(IF(BB$37:BB$96&lt;&gt;"",ROW($37:$96)),ROW(K26)))),"")</f>
        <v/>
      </c>
      <c r="L62" s="1719"/>
      <c r="M62" s="1715" t="str">
        <f t="array" ref="M62">IFERROR(IF(ROW($M$1)&gt;COUNTA($BU$37:$BU$96),"",INDEX($BU:$BU,SMALL(IF(BU$37:BU$96&lt;&gt;"",ROW($37:$96)),ROW(M26)))),"")</f>
        <v/>
      </c>
      <c r="N62" s="1716" t="str">
        <f t="array" ref="N62">IFERROR(IF(ROW($N$1)&gt;COUNTA($BJ$37:$BJ$96),"",INDEX($BJ:$BJ,SMALL(IF(BJ$37:BJ$96&lt;&gt;"",ROW($37:$96)),ROW(N26)))),"")</f>
        <v/>
      </c>
      <c r="O62" s="1717" t="str">
        <f t="array" ref="O62">IFERROR(IF(ROW($O$1)&gt;COUNTA($BK$37:$BK$96),"",INDEX($BK:$BK,SMALL(IF(BK$37:BK$96&lt;&gt;"",ROW($37:$96)),ROW(O26)))),"")</f>
        <v/>
      </c>
      <c r="P62" s="1720" t="str">
        <f t="array" ref="P62">IFERROR(IF(ROW($P$1)&gt;COUNTA($BL$37:$BL$96),"",INDEX($BL:$BL,SMALL(IF(BL$37:BL$96&lt;&gt;"",ROW($37:$96)),ROW(P26)))),"")</f>
        <v/>
      </c>
      <c r="Q62" s="1775"/>
      <c r="R62" s="1775"/>
      <c r="S62" s="1775"/>
      <c r="T62" s="1775"/>
      <c r="U62" s="1608" t="str">
        <f>IF(AND(S_13!$G$8="ja",S_13!$K$8="ja"),S_13!$C$2,"")</f>
        <v/>
      </c>
      <c r="V62" s="747" t="str">
        <f t="shared" si="17"/>
        <v/>
      </c>
      <c r="W62" s="1106" t="str">
        <f>IF($U62="","",S_13!$B$15)</f>
        <v/>
      </c>
      <c r="X62" s="1608" t="str">
        <f>IF($U62="","",S_13!$A$15)</f>
        <v/>
      </c>
      <c r="Y62" s="2604"/>
      <c r="Z62" s="1608" t="str">
        <f>IF($U62="","",S_13!$C$15)</f>
        <v/>
      </c>
      <c r="AA62" s="747" t="str">
        <f t="shared" si="18"/>
        <v/>
      </c>
      <c r="AB62" s="1608" t="str">
        <f>IF($U62="","",S_13!$CM$15)</f>
        <v/>
      </c>
      <c r="AC62" s="747" t="str">
        <f t="shared" si="19"/>
        <v/>
      </c>
      <c r="AQ62" s="1608">
        <f>IF(S_13!$DF$15&gt;0,1,0)</f>
        <v>0</v>
      </c>
      <c r="AR62" s="1608">
        <f>IF(S_13!$DG$15&gt;0,1,0)</f>
        <v>0</v>
      </c>
      <c r="AS62" s="1608">
        <f>IF(S_13!$DH$15&gt;0,1,0)</f>
        <v>0</v>
      </c>
      <c r="AT62" s="1608">
        <f>IF(S_13!$DI$15&gt;0,1,0)</f>
        <v>0</v>
      </c>
      <c r="AU62" s="1608">
        <f>IF(S_13!$DJ$15&gt;0,1,0)</f>
        <v>0</v>
      </c>
      <c r="AV62" s="1608">
        <f>IF(S_13!$DK$15&gt;0,1,0)</f>
        <v>0</v>
      </c>
      <c r="AW62" s="1608">
        <f t="shared" si="22"/>
        <v>0</v>
      </c>
      <c r="AX62" s="1608" t="str">
        <f t="shared" si="5"/>
        <v/>
      </c>
      <c r="AY62" s="1106" t="str">
        <f t="shared" si="0"/>
        <v/>
      </c>
      <c r="AZ62" s="1106" t="str">
        <f t="shared" si="6"/>
        <v/>
      </c>
      <c r="BA62" s="2259" t="str">
        <f t="shared" si="7"/>
        <v/>
      </c>
      <c r="BB62" s="2259" t="str">
        <f t="shared" si="8"/>
        <v/>
      </c>
      <c r="BC62" s="1608">
        <f>IF(S_13!$DN$15&gt;0,1,0)</f>
        <v>0</v>
      </c>
      <c r="BD62" s="1608">
        <f>IF(S_13!$DO$15&gt;0,1,0)</f>
        <v>0</v>
      </c>
      <c r="BE62" s="1608">
        <f>IF(S_13!$DP$15&gt;0,1,0)</f>
        <v>0</v>
      </c>
      <c r="BF62" s="1608">
        <f>IF(S_13!$DQ$15&gt;0,1,0)</f>
        <v>0</v>
      </c>
      <c r="BG62" s="1608">
        <f>IF(S_13!$DR$15&gt;0,1,0)</f>
        <v>0</v>
      </c>
      <c r="BH62" s="1608">
        <f>IF(S_13!$DS$15&gt;0,1,0)</f>
        <v>0</v>
      </c>
      <c r="BI62" s="1608">
        <f t="shared" si="23"/>
        <v>0</v>
      </c>
      <c r="BJ62" s="1106" t="str">
        <f t="shared" si="10"/>
        <v/>
      </c>
      <c r="BK62" s="2259" t="str">
        <f t="shared" si="11"/>
        <v/>
      </c>
      <c r="BL62" s="2259" t="str">
        <f t="shared" si="12"/>
        <v/>
      </c>
      <c r="BN62" s="747">
        <f>S_13!$DE$15</f>
        <v>0</v>
      </c>
      <c r="BO62" s="747">
        <f>S_13!$DM$15</f>
        <v>0</v>
      </c>
      <c r="BP62" s="747">
        <f>S_13!$CP$15</f>
        <v>0</v>
      </c>
      <c r="BQ62" s="747">
        <f>S_13!$CQ$15</f>
        <v>0</v>
      </c>
      <c r="BR62" s="1610" t="e">
        <f>BP62/Betrieb!$E$23</f>
        <v>#DIV/0!</v>
      </c>
      <c r="BS62" s="1610" t="e">
        <f>BQ62/Betrieb!$E$24</f>
        <v>#DIV/0!</v>
      </c>
      <c r="BT62" s="1615" t="str">
        <f t="shared" si="13"/>
        <v/>
      </c>
      <c r="BU62" s="1615" t="str">
        <f t="shared" si="14"/>
        <v/>
      </c>
      <c r="BV62" s="2569"/>
      <c r="BW62" s="2570"/>
      <c r="BX62" s="2566"/>
      <c r="BY62" s="2566"/>
    </row>
    <row r="63" spans="1:77" ht="20.25" hidden="1" customHeight="1">
      <c r="C63" s="1654" t="str">
        <f t="array" ref="C63">IFERROR(IF(ROW($C$1)&gt;COUNTA($X$37:$X$96),"",INDEX($X:$X,SMALL(IF(X$37:X$96&lt;&gt;"",ROW($37:$96)),ROW(C27)))),"")</f>
        <v/>
      </c>
      <c r="D63" s="1656" t="str">
        <f t="array" ref="D63">IFERROR(IF(ROW($D$1)&gt;COUNTA($V$37:$V$96),"",INDEX($V:$V,SMALL(IF(V$37:V$96&lt;&gt;"",ROW($37:$96)),ROW(D27)))),"")</f>
        <v/>
      </c>
      <c r="E63" s="1652" t="str">
        <f t="array" ref="E63">IFERROR(IF(ROW($E$1)&gt;COUNTA($W$37:$W$96),"",INDEX($W:$W,SMALL(IF(W$37:W$96&lt;&gt;"",ROW($37:$96)),ROW(E27)))),"")</f>
        <v/>
      </c>
      <c r="F63" s="1655" t="str">
        <f t="array" ref="F63">IFERROR(IF(ROW($F$1)&gt;COUNTA($AA$37:$AA$96),"",INDEX($AA:$AA,SMALL(IF(AA$37:AA$96&lt;&gt;"",ROW($37:$96)),ROW(F27)))),"")</f>
        <v/>
      </c>
      <c r="G63" s="1651" t="str">
        <f t="array" ref="G63">IFERROR(IF(ROW($G$1)&gt;COUNTA($AC$37:$AC$96),"",INDEX($AC:$AC,SMALL(IF(AC$37:AC$96&lt;&gt;"",ROW($37:$96)),ROW(G27)))),"")</f>
        <v/>
      </c>
      <c r="H63" s="1652" t="str">
        <f t="array" ref="H63">IFERROR(IF(ROW($H$1)&gt;COUNTA($BT$37:$BT$96),"",INDEX($BT:$BT,SMALL(IF(BT$37:BT$96&lt;&gt;"",ROW($37:$96)),ROW(H27)))),"")</f>
        <v/>
      </c>
      <c r="I63" s="1653" t="str">
        <f t="array" ref="I63">IFERROR(IF(ROW($I$1)&gt;COUNTA($AZ$37:$AZ$96),"",INDEX($AZ:$AZ,SMALL(IF(AZ$37:AZ$96&lt;&gt;"",ROW($37:$96)),ROW(I27)))),"")</f>
        <v/>
      </c>
      <c r="J63" s="1652" t="str">
        <f t="array" ref="J63">IFERROR(IF(ROW($J$1)&gt;COUNTA($BA$37:$BA$96),"",INDEX($BA:$BA,SMALL(IF(BA$37:BA$96&lt;&gt;"",ROW($37:$96)),ROW(J27)))),"")</f>
        <v/>
      </c>
      <c r="K63" s="1649" t="str">
        <f t="array" ref="K63">IFERROR(IF(ROW($K$1)&gt;COUNTA($BB$37:$BB$96),"",INDEX($BB:$BB,SMALL(IF(BB$37:BB$96&lt;&gt;"",ROW($37:$96)),ROW(K27)))),"")</f>
        <v/>
      </c>
      <c r="M63" s="1652" t="str">
        <f t="array" ref="M63">IFERROR(IF(ROW($M$1)&gt;COUNTA($BU$37:$BU$96),"",INDEX($BU:$BU,SMALL(IF(BU$37:BU$96&lt;&gt;"",ROW($37:$96)),ROW(M27)))),"")</f>
        <v/>
      </c>
      <c r="N63" s="1653" t="str">
        <f t="array" ref="N63">IFERROR(IF(ROW($N$1)&gt;COUNTA($BJ$37:$BJ$96),"",INDEX($BJ:$BJ,SMALL(IF(BJ$37:BJ$96&lt;&gt;"",ROW($37:$96)),ROW(N27)))),"")</f>
        <v/>
      </c>
      <c r="O63" s="1652" t="str">
        <f t="array" ref="O63">IFERROR(IF(ROW($O$1)&gt;COUNTA($BK$37:$BK$96),"",INDEX($BK:$BK,SMALL(IF(BK$37:BK$96&lt;&gt;"",ROW($37:$96)),ROW(O27)))),"")</f>
        <v/>
      </c>
      <c r="P63" s="1649" t="str">
        <f t="array" ref="P63">IFERROR(IF(ROW($P$1)&gt;COUNTA($BL$37:$BL$96),"",INDEX($BL:$BL,SMALL(IF(BL$37:BL$96&lt;&gt;"",ROW($37:$96)),ROW(P27)))),"")</f>
        <v/>
      </c>
      <c r="S63" s="1775"/>
      <c r="T63" s="1775"/>
      <c r="U63" s="1608" t="str">
        <f>IF(AND(S_14!$G$8="ja",S_14!$K$8="ja"),S_14!$C$2,"")</f>
        <v/>
      </c>
      <c r="V63" s="747" t="str">
        <f t="shared" si="17"/>
        <v/>
      </c>
      <c r="W63" s="1106" t="str">
        <f>IF($U63="","",S_14!$B$14)</f>
        <v/>
      </c>
      <c r="X63" s="1608" t="str">
        <f>IF($U63="","",S_14!$A$14)</f>
        <v/>
      </c>
      <c r="Y63" s="2604" t="str">
        <f>IF($U63="","",Grünland!B18)</f>
        <v/>
      </c>
      <c r="Z63" s="1608" t="str">
        <f>IF($U63="","",S_14!$C$14)</f>
        <v/>
      </c>
      <c r="AA63" s="747" t="str">
        <f t="shared" si="18"/>
        <v/>
      </c>
      <c r="AB63" s="1608" t="str">
        <f>IF($U63="","",S_14!$CM$14)</f>
        <v/>
      </c>
      <c r="AC63" s="747" t="str">
        <f t="shared" si="19"/>
        <v/>
      </c>
      <c r="AQ63" s="1608">
        <f>IF(S_14!$DF$14&gt;0,1,0)</f>
        <v>0</v>
      </c>
      <c r="AR63" s="1608">
        <f>IF(S_14!$DG$14&gt;0,1,0)</f>
        <v>0</v>
      </c>
      <c r="AS63" s="1608">
        <f>IF(S_14!$DH$14&gt;0,1,0)</f>
        <v>0</v>
      </c>
      <c r="AT63" s="1608">
        <f>IF(S_14!$DI$14&gt;0,1,0)</f>
        <v>0</v>
      </c>
      <c r="AU63" s="1608">
        <f>IF(S_14!$DJ$14&gt;0,1,0)</f>
        <v>0</v>
      </c>
      <c r="AV63" s="1608">
        <f>IF(S_14!$DK$14&gt;0,1,0)</f>
        <v>0</v>
      </c>
      <c r="AW63" s="1608">
        <f t="shared" si="22"/>
        <v>0</v>
      </c>
      <c r="AX63" s="1608" t="str">
        <f t="shared" ref="AX63:AX96" si="46">IF(AND(AW63&gt;0,BI63&gt;0),"a",IF(AND(AW63&gt;0,BI63=0),"b",IF(AND(AW63=0,BI63&gt;0),"c","")))</f>
        <v/>
      </c>
      <c r="AY63" s="1106" t="str">
        <f t="shared" ref="AY63:AY68" si="47">IF(U63="","",AX63)</f>
        <v/>
      </c>
      <c r="AZ63" s="1106" t="str">
        <f t="shared" ref="AZ63:AZ96" si="48">IF(AY63="a","aufgeteilt auf",IF(AY63="b","aufgeteilt auf",IF(AY63="c","keine Gülle/Jauche","")))</f>
        <v/>
      </c>
      <c r="BA63" s="1793" t="str">
        <f t="shared" ref="BA63:BA96" si="49">IF(AY63="a",AW63,IF(AY63="b",AW63,IF(AY63="c","-","")))</f>
        <v/>
      </c>
      <c r="BB63" s="1793" t="str">
        <f t="shared" ref="BB63:BB96" si="50">IF(AY63="a","Teilgaben",IF(AY63="b","Teilgaben",IF(AY63="c","-","")))</f>
        <v/>
      </c>
      <c r="BC63" s="1608">
        <f>IF(S_14!$DN$14&gt;0,1,0)</f>
        <v>0</v>
      </c>
      <c r="BD63" s="1608">
        <f>IF(S_14!$DO$14&gt;0,1,0)</f>
        <v>0</v>
      </c>
      <c r="BE63" s="1608">
        <f>IF(S_14!$DP$14&gt;0,1,0)</f>
        <v>0</v>
      </c>
      <c r="BF63" s="1608">
        <f>IF(S_14!$DQ$14&gt;0,1,0)</f>
        <v>0</v>
      </c>
      <c r="BG63" s="1608">
        <f>IF(S_14!$DR$14&gt;0,1,0)</f>
        <v>0</v>
      </c>
      <c r="BH63" s="1608">
        <f>IF(S_14!$DS$14&gt;0,1,0)</f>
        <v>0</v>
      </c>
      <c r="BI63" s="1608">
        <f t="shared" si="23"/>
        <v>0</v>
      </c>
      <c r="BJ63" s="1106" t="str">
        <f t="shared" ref="BJ63:BJ68" si="51">IF(AY63="a","aufgeteilt auf",IF(AY63="b","kein Mist",IF(AY63="c","aufgeteilt auf",IF(AY63="d","keine Düngung",""))))</f>
        <v/>
      </c>
      <c r="BK63" s="1793" t="str">
        <f t="shared" ref="BK63:BK96" si="52">IF(AY63="a",BI63,IF(AY63="b","-",IF(AY63="c",BI63,"")))</f>
        <v/>
      </c>
      <c r="BL63" s="1793" t="str">
        <f t="shared" ref="BL63:BL96" si="53">IF(AY63="a","Teilgaben",IF(AY63="b","-",IF(AY63="c","Teilgaben","")))</f>
        <v/>
      </c>
      <c r="BN63" s="747">
        <f>S_14!$DE$14</f>
        <v>0</v>
      </c>
      <c r="BO63" s="747">
        <f>S_14!$DM$14</f>
        <v>0</v>
      </c>
      <c r="BP63" s="747">
        <f>S_14!$CP$14</f>
        <v>0</v>
      </c>
      <c r="BQ63" s="747">
        <f>S_14!$CQ$14</f>
        <v>0</v>
      </c>
      <c r="BR63" s="1610" t="e">
        <f>BP63/Betrieb!$E$23</f>
        <v>#DIV/0!</v>
      </c>
      <c r="BS63" s="1610" t="e">
        <f>BQ63/Betrieb!$E$24</f>
        <v>#DIV/0!</v>
      </c>
      <c r="BT63" s="1615" t="str">
        <f t="shared" ref="BT63:BT96" si="54">IF(AY63="a",BR63,IF(AY63="b",BR63,IF(AY63="c","-","")))</f>
        <v/>
      </c>
      <c r="BU63" s="1615" t="str">
        <f t="shared" ref="BU63:BU96" si="55">IF(AY63="a",BS63,IF(AY63="b","-",IF(AY63="c",BS63,"")))</f>
        <v/>
      </c>
      <c r="BV63" s="2569">
        <f>IF(AND(S_14!$G$8="JA",S_14!$K$8="JA"),S_14!$U$14,0)</f>
        <v>0</v>
      </c>
      <c r="BW63" s="2570">
        <f>IF(AND(S_14!$G$8="JA",S_14!$K$8="JA"),S_14!$V$14,0)</f>
        <v>0</v>
      </c>
      <c r="BX63" s="2566" t="str">
        <f t="shared" ref="BX63" si="56">IF(BV63="-",0-BW63,"")</f>
        <v/>
      </c>
      <c r="BY63" s="2566" t="str">
        <f t="shared" ref="BY63" si="57">IF(BV63="+",0+BW63,"")</f>
        <v/>
      </c>
    </row>
    <row r="64" spans="1:77" ht="20.25" hidden="1" customHeight="1">
      <c r="C64" s="1654" t="str">
        <f t="array" ref="C64">IFERROR(IF(ROW($C$1)&gt;COUNTA($X$37:$X$96),"",INDEX($X:$X,SMALL(IF(X$37:X$96&lt;&gt;"",ROW($37:$96)),ROW(C28)))),"")</f>
        <v/>
      </c>
      <c r="D64" s="1656" t="str">
        <f t="array" ref="D64">IFERROR(IF(ROW($D$1)&gt;COUNTA($V$37:$V$96),"",INDEX($V:$V,SMALL(IF(V$37:V$96&lt;&gt;"",ROW($37:$96)),ROW(D28)))),"")</f>
        <v/>
      </c>
      <c r="E64" s="1652" t="str">
        <f t="array" ref="E64">IFERROR(IF(ROW($E$1)&gt;COUNTA($W$37:$W$96),"",INDEX($W:$W,SMALL(IF(W$37:W$96&lt;&gt;"",ROW($37:$96)),ROW(E28)))),"")</f>
        <v/>
      </c>
      <c r="F64" s="1655" t="str">
        <f t="array" ref="F64">IFERROR(IF(ROW($F$1)&gt;COUNTA($AA$37:$AA$96),"",INDEX($AA:$AA,SMALL(IF(AA$37:AA$96&lt;&gt;"",ROW($37:$96)),ROW(F28)))),"")</f>
        <v/>
      </c>
      <c r="G64" s="1651" t="str">
        <f t="array" ref="G64">IFERROR(IF(ROW($G$1)&gt;COUNTA($AC$37:$AC$96),"",INDEX($AC:$AC,SMALL(IF(AC$37:AC$96&lt;&gt;"",ROW($37:$96)),ROW(G28)))),"")</f>
        <v/>
      </c>
      <c r="H64" s="1652" t="str">
        <f t="array" ref="H64">IFERROR(IF(ROW($H$1)&gt;COUNTA($BT$37:$BT$96),"",INDEX($BT:$BT,SMALL(IF(BT$37:BT$96&lt;&gt;"",ROW($37:$96)),ROW(H28)))),"")</f>
        <v/>
      </c>
      <c r="I64" s="1653" t="str">
        <f t="array" ref="I64">IFERROR(IF(ROW($I$1)&gt;COUNTA($AZ$37:$AZ$96),"",INDEX($AZ:$AZ,SMALL(IF(AZ$37:AZ$96&lt;&gt;"",ROW($37:$96)),ROW(I28)))),"")</f>
        <v/>
      </c>
      <c r="J64" s="1652" t="str">
        <f t="array" ref="J64">IFERROR(IF(ROW($J$1)&gt;COUNTA($BA$37:$BA$96),"",INDEX($BA:$BA,SMALL(IF(BA$37:BA$96&lt;&gt;"",ROW($37:$96)),ROW(J28)))),"")</f>
        <v/>
      </c>
      <c r="K64" s="1649" t="str">
        <f t="array" ref="K64">IFERROR(IF(ROW($K$1)&gt;COUNTA($BB$37:$BB$96),"",INDEX($BB:$BB,SMALL(IF(BB$37:BB$96&lt;&gt;"",ROW($37:$96)),ROW(K28)))),"")</f>
        <v/>
      </c>
      <c r="M64" s="1652" t="str">
        <f t="array" ref="M64">IFERROR(IF(ROW($M$1)&gt;COUNTA($BU$37:$BU$96),"",INDEX($BU:$BU,SMALL(IF(BU$37:BU$96&lt;&gt;"",ROW($37:$96)),ROW(M28)))),"")</f>
        <v/>
      </c>
      <c r="N64" s="1653" t="str">
        <f t="array" ref="N64">IFERROR(IF(ROW($N$1)&gt;COUNTA($BJ$37:$BJ$96),"",INDEX($BJ:$BJ,SMALL(IF(BJ$37:BJ$96&lt;&gt;"",ROW($37:$96)),ROW(N28)))),"")</f>
        <v/>
      </c>
      <c r="O64" s="1652" t="str">
        <f t="array" ref="O64">IFERROR(IF(ROW($O$1)&gt;COUNTA($BK$37:$BK$96),"",INDEX($BK:$BK,SMALL(IF(BK$37:BK$96&lt;&gt;"",ROW($37:$96)),ROW(O28)))),"")</f>
        <v/>
      </c>
      <c r="P64" s="1649" t="str">
        <f t="array" ref="P64">IFERROR(IF(ROW($P$1)&gt;COUNTA($BL$37:$BL$96),"",INDEX($BL:$BL,SMALL(IF(BL$37:BL$96&lt;&gt;"",ROW($37:$96)),ROW(P28)))),"")</f>
        <v/>
      </c>
      <c r="S64" s="1775"/>
      <c r="T64" s="1775"/>
      <c r="U64" s="1608" t="str">
        <f>IF(AND(S_14!$G$8="ja",S_14!$K$8="ja"),S_14!$C$2,"")</f>
        <v/>
      </c>
      <c r="V64" s="747" t="str">
        <f t="shared" si="17"/>
        <v/>
      </c>
      <c r="W64" s="1106" t="str">
        <f>IF($U64="","",S_14!$B$15)</f>
        <v/>
      </c>
      <c r="X64" s="1608" t="str">
        <f>IF($U64="","",S_14!$A$15)</f>
        <v/>
      </c>
      <c r="Y64" s="2604"/>
      <c r="Z64" s="1608" t="str">
        <f>IF($U64="","",S_14!$C$15)</f>
        <v/>
      </c>
      <c r="AA64" s="747" t="str">
        <f t="shared" si="18"/>
        <v/>
      </c>
      <c r="AB64" s="1608" t="str">
        <f>IF($U64="","",S_14!$CM$15)</f>
        <v/>
      </c>
      <c r="AC64" s="747" t="str">
        <f t="shared" si="19"/>
        <v/>
      </c>
      <c r="AQ64" s="1608">
        <f>IF(S_14!$DF$15&gt;0,1,0)</f>
        <v>0</v>
      </c>
      <c r="AR64" s="1608">
        <f>IF(S_14!$DG$15&gt;0,1,0)</f>
        <v>0</v>
      </c>
      <c r="AS64" s="1608">
        <f>IF(S_14!$DH$15&gt;0,1,0)</f>
        <v>0</v>
      </c>
      <c r="AT64" s="1608">
        <f>IF(S_14!$DI$15&gt;0,1,0)</f>
        <v>0</v>
      </c>
      <c r="AU64" s="1608">
        <f>IF(S_14!$DJ$15&gt;0,1,0)</f>
        <v>0</v>
      </c>
      <c r="AV64" s="1608">
        <f>IF(S_14!$DK$15&gt;0,1,0)</f>
        <v>0</v>
      </c>
      <c r="AW64" s="1608">
        <f t="shared" si="22"/>
        <v>0</v>
      </c>
      <c r="AX64" s="1608" t="str">
        <f t="shared" si="46"/>
        <v/>
      </c>
      <c r="AY64" s="1106" t="str">
        <f t="shared" si="47"/>
        <v/>
      </c>
      <c r="AZ64" s="1106" t="str">
        <f t="shared" si="48"/>
        <v/>
      </c>
      <c r="BA64" s="1793" t="str">
        <f t="shared" si="49"/>
        <v/>
      </c>
      <c r="BB64" s="1793" t="str">
        <f t="shared" si="50"/>
        <v/>
      </c>
      <c r="BC64" s="1608">
        <f>IF(S_14!$DN$15&gt;0,1,0)</f>
        <v>0</v>
      </c>
      <c r="BD64" s="1608">
        <f>IF(S_14!$DO$15&gt;0,1,0)</f>
        <v>0</v>
      </c>
      <c r="BE64" s="1608">
        <f>IF(S_14!$DP$15&gt;0,1,0)</f>
        <v>0</v>
      </c>
      <c r="BF64" s="1608">
        <f>IF(S_14!$DQ$15&gt;0,1,0)</f>
        <v>0</v>
      </c>
      <c r="BG64" s="1608">
        <f>IF(S_14!$DR$15&gt;0,1,0)</f>
        <v>0</v>
      </c>
      <c r="BH64" s="1608">
        <f>IF(S_14!$DS$15&gt;0,1,0)</f>
        <v>0</v>
      </c>
      <c r="BI64" s="1608">
        <f t="shared" si="23"/>
        <v>0</v>
      </c>
      <c r="BJ64" s="1106" t="str">
        <f t="shared" si="51"/>
        <v/>
      </c>
      <c r="BK64" s="1793" t="str">
        <f t="shared" si="52"/>
        <v/>
      </c>
      <c r="BL64" s="1793" t="str">
        <f t="shared" si="53"/>
        <v/>
      </c>
      <c r="BN64" s="747">
        <f>S_14!$DE$15</f>
        <v>0</v>
      </c>
      <c r="BO64" s="747">
        <f>S_14!$DM$15</f>
        <v>0</v>
      </c>
      <c r="BP64" s="747">
        <f>S_14!$CP$15</f>
        <v>0</v>
      </c>
      <c r="BQ64" s="747">
        <f>S_14!$CQ$15</f>
        <v>0</v>
      </c>
      <c r="BR64" s="1610" t="e">
        <f>BP64/Betrieb!$E$23</f>
        <v>#DIV/0!</v>
      </c>
      <c r="BS64" s="1610" t="e">
        <f>BQ64/Betrieb!$E$24</f>
        <v>#DIV/0!</v>
      </c>
      <c r="BT64" s="1615" t="str">
        <f t="shared" si="54"/>
        <v/>
      </c>
      <c r="BU64" s="1615" t="str">
        <f t="shared" si="55"/>
        <v/>
      </c>
      <c r="BV64" s="2569"/>
      <c r="BW64" s="2570"/>
      <c r="BX64" s="2566"/>
      <c r="BY64" s="2566"/>
    </row>
    <row r="65" spans="3:77" ht="20.25" hidden="1" customHeight="1">
      <c r="C65" s="1654" t="str">
        <f t="array" ref="C65">IFERROR(IF(ROW($C$1)&gt;COUNTA($X$37:$X$96),"",INDEX($X:$X,SMALL(IF(X$37:X$96&lt;&gt;"",ROW($37:$96)),ROW(C29)))),"")</f>
        <v/>
      </c>
      <c r="D65" s="1656" t="str">
        <f t="array" ref="D65">IFERROR(IF(ROW($D$1)&gt;COUNTA($V$37:$V$96),"",INDEX($V:$V,SMALL(IF(V$37:V$96&lt;&gt;"",ROW($37:$96)),ROW(D29)))),"")</f>
        <v/>
      </c>
      <c r="E65" s="1652" t="str">
        <f t="array" ref="E65">IFERROR(IF(ROW($E$1)&gt;COUNTA($W$37:$W$96),"",INDEX($W:$W,SMALL(IF(W$37:W$96&lt;&gt;"",ROW($37:$96)),ROW(E29)))),"")</f>
        <v/>
      </c>
      <c r="F65" s="1655" t="str">
        <f t="array" ref="F65">IFERROR(IF(ROW($F$1)&gt;COUNTA($AA$37:$AA$96),"",INDEX($AA:$AA,SMALL(IF(AA$37:AA$96&lt;&gt;"",ROW($37:$96)),ROW(F29)))),"")</f>
        <v/>
      </c>
      <c r="G65" s="1651" t="str">
        <f t="array" ref="G65">IFERROR(IF(ROW($G$1)&gt;COUNTA($AC$37:$AC$96),"",INDEX($AC:$AC,SMALL(IF(AC$37:AC$96&lt;&gt;"",ROW($37:$96)),ROW(G29)))),"")</f>
        <v/>
      </c>
      <c r="H65" s="1652" t="str">
        <f t="array" ref="H65">IFERROR(IF(ROW($H$1)&gt;COUNTA($BT$37:$BT$96),"",INDEX($BT:$BT,SMALL(IF(BT$37:BT$96&lt;&gt;"",ROW($37:$96)),ROW(H29)))),"")</f>
        <v/>
      </c>
      <c r="I65" s="1653" t="str">
        <f t="array" ref="I65">IFERROR(IF(ROW($I$1)&gt;COUNTA($AZ$37:$AZ$96),"",INDEX($AZ:$AZ,SMALL(IF(AZ$37:AZ$96&lt;&gt;"",ROW($37:$96)),ROW(I29)))),"")</f>
        <v/>
      </c>
      <c r="J65" s="1652" t="str">
        <f t="array" ref="J65">IFERROR(IF(ROW($J$1)&gt;COUNTA($BA$37:$BA$96),"",INDEX($BA:$BA,SMALL(IF(BA$37:BA$96&lt;&gt;"",ROW($37:$96)),ROW(J29)))),"")</f>
        <v/>
      </c>
      <c r="K65" s="1649" t="str">
        <f t="array" ref="K65">IFERROR(IF(ROW($K$1)&gt;COUNTA($BB$37:$BB$96),"",INDEX($BB:$BB,SMALL(IF(BB$37:BB$96&lt;&gt;"",ROW($37:$96)),ROW(K29)))),"")</f>
        <v/>
      </c>
      <c r="M65" s="1652" t="str">
        <f t="array" ref="M65">IFERROR(IF(ROW($M$1)&gt;COUNTA($BU$37:$BU$96),"",INDEX($BU:$BU,SMALL(IF(BU$37:BU$96&lt;&gt;"",ROW($37:$96)),ROW(M29)))),"")</f>
        <v/>
      </c>
      <c r="N65" s="1653" t="str">
        <f t="array" ref="N65">IFERROR(IF(ROW($N$1)&gt;COUNTA($BJ$37:$BJ$96),"",INDEX($BJ:$BJ,SMALL(IF(BJ$37:BJ$96&lt;&gt;"",ROW($37:$96)),ROW(N29)))),"")</f>
        <v/>
      </c>
      <c r="O65" s="1652" t="str">
        <f t="array" ref="O65">IFERROR(IF(ROW($O$1)&gt;COUNTA($BK$37:$BK$96),"",INDEX($BK:$BK,SMALL(IF(BK$37:BK$96&lt;&gt;"",ROW($37:$96)),ROW(O29)))),"")</f>
        <v/>
      </c>
      <c r="P65" s="1649" t="str">
        <f t="array" ref="P65">IFERROR(IF(ROW($P$1)&gt;COUNTA($BL$37:$BL$96),"",INDEX($BL:$BL,SMALL(IF(BL$37:BL$96&lt;&gt;"",ROW($37:$96)),ROW(P29)))),"")</f>
        <v/>
      </c>
      <c r="S65" s="1775"/>
      <c r="T65" s="1775"/>
      <c r="U65" s="1608" t="str">
        <f>IF(AND(S_15!$G$8="ja",S_15!$K$8="ja"),S_15!$C$2,"")</f>
        <v/>
      </c>
      <c r="V65" s="747" t="str">
        <f t="shared" si="17"/>
        <v/>
      </c>
      <c r="W65" s="1106" t="str">
        <f>IF($U65="","",S_15!$B$14)</f>
        <v/>
      </c>
      <c r="X65" s="1608" t="str">
        <f>IF($U65="","",S_15!$A$14)</f>
        <v/>
      </c>
      <c r="Y65" s="2604" t="str">
        <f>IF($U65="","",Grünland!B19)</f>
        <v/>
      </c>
      <c r="Z65" s="1608" t="str">
        <f>IF($U65="","",S_15!$C$14)</f>
        <v/>
      </c>
      <c r="AA65" s="747" t="str">
        <f t="shared" si="18"/>
        <v/>
      </c>
      <c r="AB65" s="1608" t="str">
        <f>IF($U65="","",S_15!$CM$14)</f>
        <v/>
      </c>
      <c r="AC65" s="747" t="str">
        <f t="shared" si="19"/>
        <v/>
      </c>
      <c r="AQ65" s="1608">
        <f>IF(S_15!$DF$14&gt;0,1,0)</f>
        <v>0</v>
      </c>
      <c r="AR65" s="1608">
        <f>IF(S_15!$DG$14&gt;0,1,0)</f>
        <v>0</v>
      </c>
      <c r="AS65" s="1608">
        <f>IF(S_15!$DH$14&gt;0,1,0)</f>
        <v>0</v>
      </c>
      <c r="AT65" s="1608">
        <f>IF(S_15!$DI$14&gt;0,1,0)</f>
        <v>0</v>
      </c>
      <c r="AU65" s="1608">
        <f>IF(S_15!$DJ$14&gt;0,1,0)</f>
        <v>0</v>
      </c>
      <c r="AV65" s="1608">
        <f>IF(S_15!$DK$14&gt;0,1,0)</f>
        <v>0</v>
      </c>
      <c r="AW65" s="1608">
        <f t="shared" si="22"/>
        <v>0</v>
      </c>
      <c r="AX65" s="1608" t="str">
        <f t="shared" si="46"/>
        <v/>
      </c>
      <c r="AY65" s="1106" t="str">
        <f t="shared" si="47"/>
        <v/>
      </c>
      <c r="AZ65" s="1106" t="str">
        <f t="shared" si="48"/>
        <v/>
      </c>
      <c r="BA65" s="1793" t="str">
        <f t="shared" si="49"/>
        <v/>
      </c>
      <c r="BB65" s="1793" t="str">
        <f t="shared" si="50"/>
        <v/>
      </c>
      <c r="BC65" s="1608">
        <f>IF(S_15!$DN$14&gt;0,1,0)</f>
        <v>0</v>
      </c>
      <c r="BD65" s="1608">
        <f>IF(S_15!$DO$14&gt;0,1,0)</f>
        <v>0</v>
      </c>
      <c r="BE65" s="1608">
        <f>IF(S_15!$DP$14&gt;0,1,0)</f>
        <v>0</v>
      </c>
      <c r="BF65" s="1608">
        <f>IF(S_15!$DQ$14&gt;0,1,0)</f>
        <v>0</v>
      </c>
      <c r="BG65" s="1608">
        <f>IF(S_15!$DR$14&gt;0,1,0)</f>
        <v>0</v>
      </c>
      <c r="BH65" s="1608">
        <f>IF(S_15!$DS$14&gt;0,1,0)</f>
        <v>0</v>
      </c>
      <c r="BI65" s="1608">
        <f t="shared" si="23"/>
        <v>0</v>
      </c>
      <c r="BJ65" s="1106" t="str">
        <f t="shared" si="51"/>
        <v/>
      </c>
      <c r="BK65" s="1793" t="str">
        <f t="shared" si="52"/>
        <v/>
      </c>
      <c r="BL65" s="1793" t="str">
        <f t="shared" si="53"/>
        <v/>
      </c>
      <c r="BN65" s="747">
        <f>S_15!$DE$14</f>
        <v>0</v>
      </c>
      <c r="BO65" s="747">
        <f>S_15!$DM$14</f>
        <v>0</v>
      </c>
      <c r="BP65" s="747">
        <f>S_15!$CP$14</f>
        <v>0</v>
      </c>
      <c r="BQ65" s="747">
        <f>S_15!$CQ$14</f>
        <v>0</v>
      </c>
      <c r="BR65" s="1610" t="e">
        <f>BP65/Betrieb!$E$23</f>
        <v>#DIV/0!</v>
      </c>
      <c r="BS65" s="1610" t="e">
        <f>BQ65/Betrieb!$E$24</f>
        <v>#DIV/0!</v>
      </c>
      <c r="BT65" s="1615" t="str">
        <f t="shared" si="54"/>
        <v/>
      </c>
      <c r="BU65" s="1615" t="str">
        <f t="shared" si="55"/>
        <v/>
      </c>
      <c r="BV65" s="2569">
        <f>IF(AND(S_15!$G$8="JA",S_15!$K$8="JA"),S_15!$U$14,0)</f>
        <v>0</v>
      </c>
      <c r="BW65" s="2570">
        <f>IF(AND(S_15!$G$8="JA",S_15!$K$8="JA"),S_15!$V$14,0)</f>
        <v>0</v>
      </c>
      <c r="BX65" s="2566" t="str">
        <f t="shared" ref="BX65" si="58">IF(BV65="-",0-BW65,"")</f>
        <v/>
      </c>
      <c r="BY65" s="2566" t="str">
        <f t="shared" ref="BY65" si="59">IF(BV65="+",0+BW65,"")</f>
        <v/>
      </c>
    </row>
    <row r="66" spans="3:77" ht="20.25" hidden="1" customHeight="1">
      <c r="C66" s="1654" t="str">
        <f t="array" ref="C66">IFERROR(IF(ROW($C$1)&gt;COUNTA($X$37:$X$96),"",INDEX($X:$X,SMALL(IF(X$37:X$96&lt;&gt;"",ROW($37:$96)),ROW(C30)))),"")</f>
        <v/>
      </c>
      <c r="D66" s="1656" t="str">
        <f t="array" ref="D66">IFERROR(IF(ROW($D$1)&gt;COUNTA($V$37:$V$96),"",INDEX($V:$V,SMALL(IF(V$37:V$96&lt;&gt;"",ROW($37:$96)),ROW(D30)))),"")</f>
        <v/>
      </c>
      <c r="E66" s="1652" t="str">
        <f t="array" ref="E66">IFERROR(IF(ROW($E$1)&gt;COUNTA($W$37:$W$96),"",INDEX($W:$W,SMALL(IF(W$37:W$96&lt;&gt;"",ROW($37:$96)),ROW(E30)))),"")</f>
        <v/>
      </c>
      <c r="F66" s="1655" t="str">
        <f t="array" ref="F66">IFERROR(IF(ROW($F$1)&gt;COUNTA($AA$37:$AA$96),"",INDEX($AA:$AA,SMALL(IF(AA$37:AA$96&lt;&gt;"",ROW($37:$96)),ROW(F30)))),"")</f>
        <v/>
      </c>
      <c r="G66" s="1651" t="str">
        <f t="array" ref="G66">IFERROR(IF(ROW($G$1)&gt;COUNTA($AC$37:$AC$96),"",INDEX($AC:$AC,SMALL(IF(AC$37:AC$96&lt;&gt;"",ROW($37:$96)),ROW(G30)))),"")</f>
        <v/>
      </c>
      <c r="H66" s="1652" t="str">
        <f t="array" ref="H66">IFERROR(IF(ROW($H$1)&gt;COUNTA($BT$37:$BT$96),"",INDEX($BT:$BT,SMALL(IF(BT$37:BT$96&lt;&gt;"",ROW($37:$96)),ROW(H30)))),"")</f>
        <v/>
      </c>
      <c r="I66" s="1653" t="str">
        <f t="array" ref="I66">IFERROR(IF(ROW($I$1)&gt;COUNTA($AZ$37:$AZ$96),"",INDEX($AZ:$AZ,SMALL(IF(AZ$37:AZ$96&lt;&gt;"",ROW($37:$96)),ROW(I30)))),"")</f>
        <v/>
      </c>
      <c r="J66" s="1652" t="str">
        <f t="array" ref="J66">IFERROR(IF(ROW($J$1)&gt;COUNTA($BA$37:$BA$96),"",INDEX($BA:$BA,SMALL(IF(BA$37:BA$96&lt;&gt;"",ROW($37:$96)),ROW(J30)))),"")</f>
        <v/>
      </c>
      <c r="K66" s="1649" t="str">
        <f t="array" ref="K66">IFERROR(IF(ROW($K$1)&gt;COUNTA($BB$37:$BB$96),"",INDEX($BB:$BB,SMALL(IF(BB$37:BB$96&lt;&gt;"",ROW($37:$96)),ROW(K30)))),"")</f>
        <v/>
      </c>
      <c r="M66" s="1652" t="str">
        <f t="array" ref="M66">IFERROR(IF(ROW($M$1)&gt;COUNTA($BU$37:$BU$96),"",INDEX($BU:$BU,SMALL(IF(BU$37:BU$96&lt;&gt;"",ROW($37:$96)),ROW(M30)))),"")</f>
        <v/>
      </c>
      <c r="N66" s="1653" t="str">
        <f t="array" ref="N66">IFERROR(IF(ROW($N$1)&gt;COUNTA($BJ$37:$BJ$96),"",INDEX($BJ:$BJ,SMALL(IF(BJ$37:BJ$96&lt;&gt;"",ROW($37:$96)),ROW(N30)))),"")</f>
        <v/>
      </c>
      <c r="O66" s="1652" t="str">
        <f t="array" ref="O66">IFERROR(IF(ROW($O$1)&gt;COUNTA($BK$37:$BK$96),"",INDEX($BK:$BK,SMALL(IF(BK$37:BK$96&lt;&gt;"",ROW($37:$96)),ROW(O30)))),"")</f>
        <v/>
      </c>
      <c r="P66" s="1649" t="str">
        <f t="array" ref="P66">IFERROR(IF(ROW($P$1)&gt;COUNTA($BL$37:$BL$96),"",INDEX($BL:$BL,SMALL(IF(BL$37:BL$96&lt;&gt;"",ROW($37:$96)),ROW(P30)))),"")</f>
        <v/>
      </c>
      <c r="S66" s="1775"/>
      <c r="T66" s="1775"/>
      <c r="U66" s="1608" t="str">
        <f>IF(AND(S_15!$G$8="ja",S_15!$K$8="ja"),S_15!$C$2,"")</f>
        <v/>
      </c>
      <c r="V66" s="747" t="str">
        <f t="shared" si="17"/>
        <v/>
      </c>
      <c r="W66" s="1106" t="str">
        <f>IF($U66="","",S_15!$B$15)</f>
        <v/>
      </c>
      <c r="X66" s="1608" t="str">
        <f>IF($U66="","",S_15!$A$15)</f>
        <v/>
      </c>
      <c r="Y66" s="2604"/>
      <c r="Z66" s="1608" t="str">
        <f>IF($U66="","",S_15!$C$15)</f>
        <v/>
      </c>
      <c r="AA66" s="747" t="str">
        <f t="shared" si="18"/>
        <v/>
      </c>
      <c r="AB66" s="1608" t="str">
        <f>IF($U66="","",S_15!$CM$15)</f>
        <v/>
      </c>
      <c r="AC66" s="747" t="str">
        <f t="shared" si="19"/>
        <v/>
      </c>
      <c r="AQ66" s="1608">
        <f>IF(S_15!$DF$15&gt;0,1,0)</f>
        <v>0</v>
      </c>
      <c r="AR66" s="1608">
        <f>IF(S_15!$DG$15&gt;0,1,0)</f>
        <v>0</v>
      </c>
      <c r="AS66" s="1608">
        <f>IF(S_15!$DH$15&gt;0,1,0)</f>
        <v>0</v>
      </c>
      <c r="AT66" s="1608">
        <f>IF(S_15!$DI$15&gt;0,1,0)</f>
        <v>0</v>
      </c>
      <c r="AU66" s="1608">
        <f>IF(S_15!$DJ$15&gt;0,1,0)</f>
        <v>0</v>
      </c>
      <c r="AV66" s="1608">
        <f>IF(S_15!$DK$15&gt;0,1,0)</f>
        <v>0</v>
      </c>
      <c r="AW66" s="1608">
        <f t="shared" si="22"/>
        <v>0</v>
      </c>
      <c r="AX66" s="1608" t="str">
        <f t="shared" si="46"/>
        <v/>
      </c>
      <c r="AY66" s="1106" t="str">
        <f t="shared" si="47"/>
        <v/>
      </c>
      <c r="AZ66" s="1106" t="str">
        <f t="shared" si="48"/>
        <v/>
      </c>
      <c r="BA66" s="1793" t="str">
        <f t="shared" si="49"/>
        <v/>
      </c>
      <c r="BB66" s="1793" t="str">
        <f t="shared" si="50"/>
        <v/>
      </c>
      <c r="BC66" s="1608">
        <f>IF(S_15!$DN$15&gt;0,1,0)</f>
        <v>0</v>
      </c>
      <c r="BD66" s="1608">
        <f>IF(S_15!$DO$15&gt;0,1,0)</f>
        <v>0</v>
      </c>
      <c r="BE66" s="1608">
        <f>IF(S_15!$DP$15&gt;0,1,0)</f>
        <v>0</v>
      </c>
      <c r="BF66" s="1608">
        <f>IF(S_15!$DQ$15&gt;0,1,0)</f>
        <v>0</v>
      </c>
      <c r="BG66" s="1608">
        <f>IF(S_15!$DR$15&gt;0,1,0)</f>
        <v>0</v>
      </c>
      <c r="BH66" s="1608">
        <f>IF(S_15!$DS$15&gt;0,1,0)</f>
        <v>0</v>
      </c>
      <c r="BI66" s="1608">
        <f t="shared" si="23"/>
        <v>0</v>
      </c>
      <c r="BJ66" s="1106" t="str">
        <f t="shared" si="51"/>
        <v/>
      </c>
      <c r="BK66" s="1793" t="str">
        <f t="shared" si="52"/>
        <v/>
      </c>
      <c r="BL66" s="1793" t="str">
        <f t="shared" si="53"/>
        <v/>
      </c>
      <c r="BN66" s="747">
        <f>S_15!$DE$15</f>
        <v>0</v>
      </c>
      <c r="BO66" s="747">
        <f>S_15!$DM$15</f>
        <v>0</v>
      </c>
      <c r="BP66" s="747">
        <f>S_15!$CP$15</f>
        <v>0</v>
      </c>
      <c r="BQ66" s="747">
        <f>S_15!$CQ$15</f>
        <v>0</v>
      </c>
      <c r="BR66" s="1610" t="e">
        <f>BP66/Betrieb!$E$23</f>
        <v>#DIV/0!</v>
      </c>
      <c r="BS66" s="1610" t="e">
        <f>BQ66/Betrieb!$E$24</f>
        <v>#DIV/0!</v>
      </c>
      <c r="BT66" s="1615" t="str">
        <f t="shared" si="54"/>
        <v/>
      </c>
      <c r="BU66" s="1615" t="str">
        <f t="shared" si="55"/>
        <v/>
      </c>
      <c r="BV66" s="2569"/>
      <c r="BW66" s="2570"/>
      <c r="BX66" s="2566"/>
      <c r="BY66" s="2566"/>
    </row>
    <row r="67" spans="3:77" ht="20.25" hidden="1" customHeight="1">
      <c r="C67" s="1654" t="str">
        <f t="array" ref="C67">IFERROR(IF(ROW($C$1)&gt;COUNTA($X$37:$X$96),"",INDEX($X:$X,SMALL(IF(X$37:X$96&lt;&gt;"",ROW($37:$96)),ROW(C31)))),"")</f>
        <v/>
      </c>
      <c r="D67" s="1656" t="str">
        <f t="array" ref="D67">IFERROR(IF(ROW($D$1)&gt;COUNTA($V$37:$V$96),"",INDEX($V:$V,SMALL(IF(V$37:V$96&lt;&gt;"",ROW($37:$96)),ROW(D31)))),"")</f>
        <v/>
      </c>
      <c r="E67" s="1652" t="str">
        <f t="array" ref="E67">IFERROR(IF(ROW($E$1)&gt;COUNTA($W$37:$W$96),"",INDEX($W:$W,SMALL(IF(W$37:W$96&lt;&gt;"",ROW($37:$96)),ROW(E31)))),"")</f>
        <v/>
      </c>
      <c r="F67" s="1655" t="str">
        <f t="array" ref="F67">IFERROR(IF(ROW($F$1)&gt;COUNTA($AA$37:$AA$96),"",INDEX($AA:$AA,SMALL(IF(AA$37:AA$96&lt;&gt;"",ROW($37:$96)),ROW(F31)))),"")</f>
        <v/>
      </c>
      <c r="G67" s="1651" t="str">
        <f t="array" ref="G67">IFERROR(IF(ROW($G$1)&gt;COUNTA($AC$37:$AC$96),"",INDEX($AC:$AC,SMALL(IF(AC$37:AC$96&lt;&gt;"",ROW($37:$96)),ROW(G31)))),"")</f>
        <v/>
      </c>
      <c r="H67" s="1652" t="str">
        <f t="array" ref="H67">IFERROR(IF(ROW($H$1)&gt;COUNTA($BT$37:$BT$96),"",INDEX($BT:$BT,SMALL(IF(BT$37:BT$96&lt;&gt;"",ROW($37:$96)),ROW(H31)))),"")</f>
        <v/>
      </c>
      <c r="I67" s="1653" t="str">
        <f t="array" ref="I67">IFERROR(IF(ROW($I$1)&gt;COUNTA($AZ$37:$AZ$96),"",INDEX($AZ:$AZ,SMALL(IF(AZ$37:AZ$96&lt;&gt;"",ROW($37:$96)),ROW(I31)))),"")</f>
        <v/>
      </c>
      <c r="J67" s="1652" t="str">
        <f t="array" ref="J67">IFERROR(IF(ROW($J$1)&gt;COUNTA($BA$37:$BA$96),"",INDEX($BA:$BA,SMALL(IF(BA$37:BA$96&lt;&gt;"",ROW($37:$96)),ROW(J31)))),"")</f>
        <v/>
      </c>
      <c r="K67" s="1649" t="str">
        <f t="array" ref="K67">IFERROR(IF(ROW($K$1)&gt;COUNTA($BB$37:$BB$96),"",INDEX($BB:$BB,SMALL(IF(BB$37:BB$96&lt;&gt;"",ROW($37:$96)),ROW(K31)))),"")</f>
        <v/>
      </c>
      <c r="M67" s="1652" t="str">
        <f t="array" ref="M67">IFERROR(IF(ROW($M$1)&gt;COUNTA($BU$37:$BU$96),"",INDEX($BU:$BU,SMALL(IF(BU$37:BU$96&lt;&gt;"",ROW($37:$96)),ROW(M31)))),"")</f>
        <v/>
      </c>
      <c r="N67" s="1653" t="str">
        <f t="array" ref="N67">IFERROR(IF(ROW($N$1)&gt;COUNTA($BJ$37:$BJ$96),"",INDEX($BJ:$BJ,SMALL(IF(BJ$37:BJ$96&lt;&gt;"",ROW($37:$96)),ROW(N31)))),"")</f>
        <v/>
      </c>
      <c r="O67" s="1652" t="str">
        <f t="array" ref="O67">IFERROR(IF(ROW($O$1)&gt;COUNTA($BK$37:$BK$96),"",INDEX($BK:$BK,SMALL(IF(BK$37:BK$96&lt;&gt;"",ROW($37:$96)),ROW(O31)))),"")</f>
        <v/>
      </c>
      <c r="P67" s="1649" t="str">
        <f t="array" ref="P67">IFERROR(IF(ROW($P$1)&gt;COUNTA($BL$37:$BL$96),"",INDEX($BL:$BL,SMALL(IF(BL$37:BL$96&lt;&gt;"",ROW($37:$96)),ROW(P31)))),"")</f>
        <v/>
      </c>
      <c r="S67" s="1775"/>
      <c r="T67" s="1775"/>
      <c r="U67" s="1608" t="str">
        <f>IF(AND(S_16!$G$8="ja",S_16!$K$8="ja"),S_16!$C$2,"")</f>
        <v/>
      </c>
      <c r="V67" s="747" t="str">
        <f t="shared" si="17"/>
        <v/>
      </c>
      <c r="W67" s="1106" t="str">
        <f>IF($U67="","",S_16!$B$14)</f>
        <v/>
      </c>
      <c r="X67" s="1608" t="str">
        <f>IF($U67="","",S_16!$A$14)</f>
        <v/>
      </c>
      <c r="Y67" s="2604" t="str">
        <f>IF($U67="","",Grünland!B20)</f>
        <v/>
      </c>
      <c r="Z67" s="1608" t="str">
        <f>IF($U67="","",S_16!$C$14)</f>
        <v/>
      </c>
      <c r="AA67" s="747" t="str">
        <f t="shared" si="18"/>
        <v/>
      </c>
      <c r="AB67" s="1608" t="str">
        <f>IF($U67="","",S_16!$CM$14)</f>
        <v/>
      </c>
      <c r="AC67" s="747" t="str">
        <f t="shared" si="19"/>
        <v/>
      </c>
      <c r="AQ67" s="1608">
        <f>IF(S_16!$DF$14&gt;0,1,0)</f>
        <v>0</v>
      </c>
      <c r="AR67" s="1608">
        <f>IF(S_16!$DG$14&gt;0,1,0)</f>
        <v>0</v>
      </c>
      <c r="AS67" s="1608">
        <f>IF(S_16!$DH$14&gt;0,1,0)</f>
        <v>0</v>
      </c>
      <c r="AT67" s="1608">
        <f>IF(S_16!$DI$14&gt;0,1,0)</f>
        <v>0</v>
      </c>
      <c r="AU67" s="1608">
        <f>IF(S_16!$DJ$14&gt;0,1,0)</f>
        <v>0</v>
      </c>
      <c r="AV67" s="1608">
        <f>IF(S_16!$DK$14&gt;0,1,0)</f>
        <v>0</v>
      </c>
      <c r="AW67" s="1608">
        <f t="shared" si="22"/>
        <v>0</v>
      </c>
      <c r="AX67" s="1608" t="str">
        <f t="shared" si="46"/>
        <v/>
      </c>
      <c r="AY67" s="1106" t="str">
        <f t="shared" si="47"/>
        <v/>
      </c>
      <c r="AZ67" s="1106" t="str">
        <f t="shared" si="48"/>
        <v/>
      </c>
      <c r="BA67" s="1793" t="str">
        <f t="shared" si="49"/>
        <v/>
      </c>
      <c r="BB67" s="1793" t="str">
        <f t="shared" si="50"/>
        <v/>
      </c>
      <c r="BC67" s="1608">
        <f>IF(S_16!$DN$14&gt;0,1,0)</f>
        <v>0</v>
      </c>
      <c r="BD67" s="1608">
        <f>IF(S_16!$DO$14&gt;0,1,0)</f>
        <v>0</v>
      </c>
      <c r="BE67" s="1608">
        <f>IF(S_16!$DP$14&gt;0,1,0)</f>
        <v>0</v>
      </c>
      <c r="BF67" s="1608">
        <f>IF(S_16!$DQ$14&gt;0,1,0)</f>
        <v>0</v>
      </c>
      <c r="BG67" s="1608">
        <f>IF(S_16!$DR$14&gt;0,1,0)</f>
        <v>0</v>
      </c>
      <c r="BH67" s="1608">
        <f>IF(S_16!$DS$14&gt;0,1,0)</f>
        <v>0</v>
      </c>
      <c r="BI67" s="1608">
        <f t="shared" si="23"/>
        <v>0</v>
      </c>
      <c r="BJ67" s="1106" t="str">
        <f t="shared" si="51"/>
        <v/>
      </c>
      <c r="BK67" s="1793" t="str">
        <f t="shared" si="52"/>
        <v/>
      </c>
      <c r="BL67" s="1793" t="str">
        <f t="shared" si="53"/>
        <v/>
      </c>
      <c r="BN67" s="747">
        <f>S_16!$DE$14</f>
        <v>0</v>
      </c>
      <c r="BO67" s="747">
        <f>S_16!$DM$14</f>
        <v>0</v>
      </c>
      <c r="BP67" s="747">
        <f>S_16!$CP$14</f>
        <v>0</v>
      </c>
      <c r="BQ67" s="747">
        <f>S_16!$CQ$14</f>
        <v>0</v>
      </c>
      <c r="BR67" s="1610" t="e">
        <f>BP67/Betrieb!$E$23</f>
        <v>#DIV/0!</v>
      </c>
      <c r="BS67" s="1610" t="e">
        <f>BQ67/Betrieb!$E$24</f>
        <v>#DIV/0!</v>
      </c>
      <c r="BT67" s="1615" t="str">
        <f t="shared" si="54"/>
        <v/>
      </c>
      <c r="BU67" s="1615" t="str">
        <f t="shared" si="55"/>
        <v/>
      </c>
      <c r="BV67" s="2569">
        <f>IF(AND(S_16!$G$8="JA",S_16!$K$8="JA"),S_16!$U$14,0)</f>
        <v>0</v>
      </c>
      <c r="BW67" s="2570">
        <f>IF(AND(S_16!$G$8="JA",S_16!$K$8="JA"),S_16!$V$14,0)</f>
        <v>0</v>
      </c>
      <c r="BX67" s="2566" t="str">
        <f t="shared" ref="BX67" si="60">IF(BV67="-",0-BW67,"")</f>
        <v/>
      </c>
      <c r="BY67" s="2566" t="str">
        <f t="shared" ref="BY67" si="61">IF(BV67="+",0+BW67,"")</f>
        <v/>
      </c>
    </row>
    <row r="68" spans="3:77" ht="20.25" hidden="1" customHeight="1">
      <c r="C68" s="1654" t="str">
        <f t="array" ref="C68">IFERROR(IF(ROW($C$1)&gt;COUNTA($X$37:$X$96),"",INDEX($X:$X,SMALL(IF(X$37:X$96&lt;&gt;"",ROW($37:$96)),ROW(C32)))),"")</f>
        <v/>
      </c>
      <c r="D68" s="1656" t="str">
        <f t="array" ref="D68">IFERROR(IF(ROW($D$1)&gt;COUNTA($V$37:$V$96),"",INDEX($V:$V,SMALL(IF(V$37:V$96&lt;&gt;"",ROW($37:$96)),ROW(D32)))),"")</f>
        <v/>
      </c>
      <c r="E68" s="1652" t="str">
        <f t="array" ref="E68">IFERROR(IF(ROW($E$1)&gt;COUNTA($W$37:$W$96),"",INDEX($W:$W,SMALL(IF(W$37:W$96&lt;&gt;"",ROW($37:$96)),ROW(E32)))),"")</f>
        <v/>
      </c>
      <c r="F68" s="1655" t="str">
        <f t="array" ref="F68">IFERROR(IF(ROW($F$1)&gt;COUNTA($AA$37:$AA$96),"",INDEX($AA:$AA,SMALL(IF(AA$37:AA$96&lt;&gt;"",ROW($37:$96)),ROW(F32)))),"")</f>
        <v/>
      </c>
      <c r="G68" s="1651" t="str">
        <f t="array" ref="G68">IFERROR(IF(ROW($G$1)&gt;COUNTA($AC$37:$AC$96),"",INDEX($AC:$AC,SMALL(IF(AC$37:AC$96&lt;&gt;"",ROW($37:$96)),ROW(G32)))),"")</f>
        <v/>
      </c>
      <c r="H68" s="1652" t="str">
        <f t="array" ref="H68">IFERROR(IF(ROW($H$1)&gt;COUNTA($BT$37:$BT$96),"",INDEX($BT:$BT,SMALL(IF(BT$37:BT$96&lt;&gt;"",ROW($37:$96)),ROW(H32)))),"")</f>
        <v/>
      </c>
      <c r="I68" s="1653" t="str">
        <f t="array" ref="I68">IFERROR(IF(ROW($I$1)&gt;COUNTA($AZ$37:$AZ$96),"",INDEX($AZ:$AZ,SMALL(IF(AZ$37:AZ$96&lt;&gt;"",ROW($37:$96)),ROW(I32)))),"")</f>
        <v/>
      </c>
      <c r="J68" s="1652" t="str">
        <f t="array" ref="J68">IFERROR(IF(ROW($J$1)&gt;COUNTA($BA$37:$BA$96),"",INDEX($BA:$BA,SMALL(IF(BA$37:BA$96&lt;&gt;"",ROW($37:$96)),ROW(J32)))),"")</f>
        <v/>
      </c>
      <c r="K68" s="1649" t="str">
        <f t="array" ref="K68">IFERROR(IF(ROW($K$1)&gt;COUNTA($BB$37:$BB$96),"",INDEX($BB:$BB,SMALL(IF(BB$37:BB$96&lt;&gt;"",ROW($37:$96)),ROW(K32)))),"")</f>
        <v/>
      </c>
      <c r="M68" s="1652" t="str">
        <f t="array" ref="M68">IFERROR(IF(ROW($M$1)&gt;COUNTA($BU$37:$BU$96),"",INDEX($BU:$BU,SMALL(IF(BU$37:BU$96&lt;&gt;"",ROW($37:$96)),ROW(M32)))),"")</f>
        <v/>
      </c>
      <c r="N68" s="1653" t="str">
        <f t="array" ref="N68">IFERROR(IF(ROW($N$1)&gt;COUNTA($BJ$37:$BJ$96),"",INDEX($BJ:$BJ,SMALL(IF(BJ$37:BJ$96&lt;&gt;"",ROW($37:$96)),ROW(N32)))),"")</f>
        <v/>
      </c>
      <c r="O68" s="1652" t="str">
        <f t="array" ref="O68">IFERROR(IF(ROW($O$1)&gt;COUNTA($BK$37:$BK$96),"",INDEX($BK:$BK,SMALL(IF(BK$37:BK$96&lt;&gt;"",ROW($37:$96)),ROW(O32)))),"")</f>
        <v/>
      </c>
      <c r="P68" s="1649" t="str">
        <f t="array" ref="P68">IFERROR(IF(ROW($P$1)&gt;COUNTA($BL$37:$BL$96),"",INDEX($BL:$BL,SMALL(IF(BL$37:BL$96&lt;&gt;"",ROW($37:$96)),ROW(P32)))),"")</f>
        <v/>
      </c>
      <c r="S68" s="1775"/>
      <c r="T68" s="1775"/>
      <c r="U68" s="1608" t="str">
        <f>IF(AND(S_16!$G$8="ja",S_16!$K$8="ja"),S_16!$C$2,"")</f>
        <v/>
      </c>
      <c r="V68" s="747" t="str">
        <f t="shared" si="17"/>
        <v/>
      </c>
      <c r="W68" s="1106" t="str">
        <f>IF($U68="","",S_16!$B$15)</f>
        <v/>
      </c>
      <c r="X68" s="1608" t="str">
        <f>IF($U68="","",S_16!$A$15)</f>
        <v/>
      </c>
      <c r="Y68" s="2604"/>
      <c r="Z68" s="1608" t="str">
        <f>IF($U68="","",S_16!$C$15)</f>
        <v/>
      </c>
      <c r="AA68" s="747" t="str">
        <f t="shared" si="18"/>
        <v/>
      </c>
      <c r="AB68" s="1608" t="str">
        <f>IF($U68="","",S_16!$CM$15)</f>
        <v/>
      </c>
      <c r="AC68" s="747" t="str">
        <f t="shared" si="19"/>
        <v/>
      </c>
      <c r="AQ68" s="1608">
        <f>IF(S_16!$DF$15&gt;0,1,0)</f>
        <v>0</v>
      </c>
      <c r="AR68" s="1608">
        <f>IF(S_16!$DG$15&gt;0,1,0)</f>
        <v>0</v>
      </c>
      <c r="AS68" s="1608">
        <f>IF(S_16!$DH$15&gt;0,1,0)</f>
        <v>0</v>
      </c>
      <c r="AT68" s="1608">
        <f>IF(S_16!$DI$15&gt;0,1,0)</f>
        <v>0</v>
      </c>
      <c r="AU68" s="1608">
        <f>IF(S_16!$DJ$15&gt;0,1,0)</f>
        <v>0</v>
      </c>
      <c r="AV68" s="1608">
        <f>IF(S_16!$DK$15&gt;0,1,0)</f>
        <v>0</v>
      </c>
      <c r="AW68" s="1608">
        <f t="shared" si="22"/>
        <v>0</v>
      </c>
      <c r="AX68" s="1608" t="str">
        <f t="shared" si="46"/>
        <v/>
      </c>
      <c r="AY68" s="1106" t="str">
        <f t="shared" si="47"/>
        <v/>
      </c>
      <c r="AZ68" s="1106" t="str">
        <f t="shared" si="48"/>
        <v/>
      </c>
      <c r="BA68" s="1793" t="str">
        <f t="shared" si="49"/>
        <v/>
      </c>
      <c r="BB68" s="1793" t="str">
        <f t="shared" si="50"/>
        <v/>
      </c>
      <c r="BC68" s="1608">
        <f>IF(S_16!$DN$15&gt;0,1,0)</f>
        <v>0</v>
      </c>
      <c r="BD68" s="1608">
        <f>IF(S_16!$DO$15&gt;0,1,0)</f>
        <v>0</v>
      </c>
      <c r="BE68" s="1608">
        <f>IF(S_16!$DP$15&gt;0,1,0)</f>
        <v>0</v>
      </c>
      <c r="BF68" s="1608">
        <f>IF(S_16!$DQ$15&gt;0,1,0)</f>
        <v>0</v>
      </c>
      <c r="BG68" s="1608">
        <f>IF(S_16!$DR$15&gt;0,1,0)</f>
        <v>0</v>
      </c>
      <c r="BH68" s="1608">
        <f>IF(S_16!$DS$15&gt;0,1,0)</f>
        <v>0</v>
      </c>
      <c r="BI68" s="1608">
        <f t="shared" si="23"/>
        <v>0</v>
      </c>
      <c r="BJ68" s="1106" t="str">
        <f t="shared" si="51"/>
        <v/>
      </c>
      <c r="BK68" s="1793" t="str">
        <f t="shared" si="52"/>
        <v/>
      </c>
      <c r="BL68" s="1793" t="str">
        <f t="shared" si="53"/>
        <v/>
      </c>
      <c r="BN68" s="747">
        <f>S_16!$DE$15</f>
        <v>0</v>
      </c>
      <c r="BO68" s="747">
        <f>S_16!$DM$15</f>
        <v>0</v>
      </c>
      <c r="BP68" s="747">
        <f>S_16!$CP$15</f>
        <v>0</v>
      </c>
      <c r="BQ68" s="747">
        <f>S_16!$CQ$15</f>
        <v>0</v>
      </c>
      <c r="BR68" s="1610" t="e">
        <f>BP68/Betrieb!$E$23</f>
        <v>#DIV/0!</v>
      </c>
      <c r="BS68" s="1610" t="e">
        <f>BQ68/Betrieb!$E$24</f>
        <v>#DIV/0!</v>
      </c>
      <c r="BT68" s="1615" t="str">
        <f t="shared" si="54"/>
        <v/>
      </c>
      <c r="BU68" s="1615" t="str">
        <f t="shared" si="55"/>
        <v/>
      </c>
      <c r="BV68" s="2569"/>
      <c r="BW68" s="2570"/>
      <c r="BX68" s="2566"/>
      <c r="BY68" s="2566"/>
    </row>
    <row r="69" spans="3:77" ht="20.25" hidden="1" customHeight="1">
      <c r="C69" s="1654" t="str">
        <f t="array" ref="C69">IFERROR(IF(ROW($C$1)&gt;COUNTA($X$37:$X$96),"",INDEX($X:$X,SMALL(IF(X$37:X$96&lt;&gt;"",ROW($37:$96)),ROW(C33)))),"")</f>
        <v/>
      </c>
      <c r="D69" s="1656" t="str">
        <f t="array" ref="D69">IFERROR(IF(ROW($D$1)&gt;COUNTA($V$37:$V$96),"",INDEX($V:$V,SMALL(IF(V$37:V$96&lt;&gt;"",ROW($37:$96)),ROW(D33)))),"")</f>
        <v/>
      </c>
      <c r="E69" s="1652" t="str">
        <f t="array" ref="E69">IFERROR(IF(ROW($E$1)&gt;COUNTA($W$37:$W$96),"",INDEX($W:$W,SMALL(IF(W$37:W$96&lt;&gt;"",ROW($37:$96)),ROW(E33)))),"")</f>
        <v/>
      </c>
      <c r="F69" s="1655" t="str">
        <f t="array" ref="F69">IFERROR(IF(ROW($F$1)&gt;COUNTA($AA$37:$AA$96),"",INDEX($AA:$AA,SMALL(IF(AA$37:AA$96&lt;&gt;"",ROW($37:$96)),ROW(F33)))),"")</f>
        <v/>
      </c>
      <c r="G69" s="1651" t="str">
        <f t="array" ref="G69">IFERROR(IF(ROW($G$1)&gt;COUNTA($AC$37:$AC$96),"",INDEX($AC:$AC,SMALL(IF(AC$37:AC$96&lt;&gt;"",ROW($37:$96)),ROW(G33)))),"")</f>
        <v/>
      </c>
      <c r="H69" s="1652" t="str">
        <f t="array" ref="H69">IFERROR(IF(ROW($H$1)&gt;COUNTA($BT$37:$BT$96),"",INDEX($BT:$BT,SMALL(IF(BT$37:BT$96&lt;&gt;"",ROW($37:$96)),ROW(H33)))),"")</f>
        <v/>
      </c>
      <c r="I69" s="1653" t="str">
        <f t="array" ref="I69">IFERROR(IF(ROW($I$1)&gt;COUNTA($AZ$37:$AZ$96),"",INDEX($AZ:$AZ,SMALL(IF(AZ$37:AZ$96&lt;&gt;"",ROW($37:$96)),ROW(I33)))),"")</f>
        <v/>
      </c>
      <c r="J69" s="1652" t="str">
        <f t="array" ref="J69">IFERROR(IF(ROW($J$1)&gt;COUNTA($BA$37:$BA$96),"",INDEX($BA:$BA,SMALL(IF(BA$37:BA$96&lt;&gt;"",ROW($37:$96)),ROW(J33)))),"")</f>
        <v/>
      </c>
      <c r="K69" s="1649" t="str">
        <f t="array" ref="K69">IFERROR(IF(ROW($K$1)&gt;COUNTA($BB$37:$BB$96),"",INDEX($BB:$BB,SMALL(IF(BB$37:BB$96&lt;&gt;"",ROW($37:$96)),ROW(K33)))),"")</f>
        <v/>
      </c>
      <c r="M69" s="1652" t="str">
        <f t="array" ref="M69">IFERROR(IF(ROW($M$1)&gt;COUNTA($BU$37:$BU$96),"",INDEX($BU:$BU,SMALL(IF(BU$37:BU$96&lt;&gt;"",ROW($37:$96)),ROW(M33)))),"")</f>
        <v/>
      </c>
      <c r="N69" s="1653" t="str">
        <f t="array" ref="N69">IFERROR(IF(ROW($N$1)&gt;COUNTA($BJ$37:$BJ$96),"",INDEX($BJ:$BJ,SMALL(IF(BJ$37:BJ$96&lt;&gt;"",ROW($37:$96)),ROW(N33)))),"")</f>
        <v/>
      </c>
      <c r="O69" s="1652" t="str">
        <f t="array" ref="O69">IFERROR(IF(ROW($O$1)&gt;COUNTA($BK$37:$BK$96),"",INDEX($BK:$BK,SMALL(IF(BK$37:BK$96&lt;&gt;"",ROW($37:$96)),ROW(O33)))),"")</f>
        <v/>
      </c>
      <c r="P69" s="1649" t="str">
        <f t="array" ref="P69">IFERROR(IF(ROW($P$1)&gt;COUNTA($BL$37:$BL$96),"",INDEX($BL:$BL,SMALL(IF(BL$37:BL$96&lt;&gt;"",ROW($37:$96)),ROW(P33)))),"")</f>
        <v/>
      </c>
      <c r="S69" s="1775"/>
      <c r="T69" s="1775"/>
      <c r="U69" s="1608" t="str">
        <f>IF(AND(S_17!$G$8="ja",S_17!$K$8="ja"),S_17!$C$2,"")</f>
        <v/>
      </c>
      <c r="V69" s="747" t="str">
        <f t="shared" si="17"/>
        <v/>
      </c>
      <c r="W69" s="1106" t="str">
        <f>IF($U69="","",S_17!$B$14)</f>
        <v/>
      </c>
      <c r="X69" s="1608" t="str">
        <f>IF($U69="","",S_17!$A$14)</f>
        <v/>
      </c>
      <c r="Y69" s="2604" t="str">
        <f>IF($U69="","",Grünland!B21)</f>
        <v/>
      </c>
      <c r="Z69" s="1608" t="str">
        <f>IF($U69="","",S_17!$C$14)</f>
        <v/>
      </c>
      <c r="AA69" s="747" t="str">
        <f t="shared" si="18"/>
        <v/>
      </c>
      <c r="AB69" s="1608" t="str">
        <f>IF($U69="","",S_17!$CM$14)</f>
        <v/>
      </c>
      <c r="AC69" s="747" t="str">
        <f t="shared" si="19"/>
        <v/>
      </c>
      <c r="AQ69" s="1608">
        <f>IF(S_17!$DF$14&gt;0,1,0)</f>
        <v>0</v>
      </c>
      <c r="AR69" s="1608">
        <f>IF(S_17!$DG$14&gt;0,1,0)</f>
        <v>0</v>
      </c>
      <c r="AS69" s="1608">
        <f>IF(S_17!$DH$14&gt;0,1,0)</f>
        <v>0</v>
      </c>
      <c r="AT69" s="1608">
        <f>IF(S_17!$DI$14&gt;0,1,0)</f>
        <v>0</v>
      </c>
      <c r="AU69" s="1608">
        <f>IF(S_17!$DJ$14&gt;0,1,0)</f>
        <v>0</v>
      </c>
      <c r="AV69" s="1608">
        <f>IF(S_17!$DK$14&gt;0,1,0)</f>
        <v>0</v>
      </c>
      <c r="AW69" s="1608">
        <f t="shared" si="22"/>
        <v>0</v>
      </c>
      <c r="AX69" s="1608" t="str">
        <f t="shared" si="46"/>
        <v/>
      </c>
      <c r="AY69" s="1106" t="str">
        <f t="shared" ref="AY69:AY96" si="62">IF(U69="","",AX69)</f>
        <v/>
      </c>
      <c r="AZ69" s="1106" t="str">
        <f t="shared" si="48"/>
        <v/>
      </c>
      <c r="BA69" s="1793" t="str">
        <f t="shared" si="49"/>
        <v/>
      </c>
      <c r="BB69" s="1793" t="str">
        <f t="shared" si="50"/>
        <v/>
      </c>
      <c r="BC69" s="1608">
        <f>IF(S_17!$DN$14&gt;0,1,0)</f>
        <v>0</v>
      </c>
      <c r="BD69" s="1608">
        <f>IF(S_17!$DO$14&gt;0,1,0)</f>
        <v>0</v>
      </c>
      <c r="BE69" s="1608">
        <f>IF(S_17!$DP$14&gt;0,1,0)</f>
        <v>0</v>
      </c>
      <c r="BF69" s="1608">
        <f>IF(S_17!$DQ$14&gt;0,1,0)</f>
        <v>0</v>
      </c>
      <c r="BG69" s="1608">
        <f>IF(S_17!$DR$14&gt;0,1,0)</f>
        <v>0</v>
      </c>
      <c r="BH69" s="1608">
        <f>IF(S_17!$DS$14&gt;0,1,0)</f>
        <v>0</v>
      </c>
      <c r="BI69" s="1608">
        <f t="shared" si="23"/>
        <v>0</v>
      </c>
      <c r="BJ69" s="1106" t="str">
        <f t="shared" ref="BJ69:BJ97" si="63">IF(AY69="a","aufgeteilt auf",IF(AY69="b","kein Mist",IF(AY69="c","aufgeteilt auf",IF(AY69="d","keine Düngung",""))))</f>
        <v/>
      </c>
      <c r="BK69" s="1793" t="str">
        <f t="shared" si="52"/>
        <v/>
      </c>
      <c r="BL69" s="1793" t="str">
        <f t="shared" si="53"/>
        <v/>
      </c>
      <c r="BN69" s="747">
        <f>S_17!$DE$14</f>
        <v>0</v>
      </c>
      <c r="BO69" s="747">
        <f>S_17!$DM$14</f>
        <v>0</v>
      </c>
      <c r="BP69" s="747">
        <f>S_17!$CP$14</f>
        <v>0</v>
      </c>
      <c r="BQ69" s="747">
        <f>S_17!$CQ$14</f>
        <v>0</v>
      </c>
      <c r="BR69" s="1610" t="e">
        <f>BP69/Betrieb!$E$23</f>
        <v>#DIV/0!</v>
      </c>
      <c r="BS69" s="1610" t="e">
        <f>BQ69/Betrieb!$E$24</f>
        <v>#DIV/0!</v>
      </c>
      <c r="BT69" s="1615" t="str">
        <f t="shared" si="54"/>
        <v/>
      </c>
      <c r="BU69" s="1615" t="str">
        <f t="shared" si="55"/>
        <v/>
      </c>
      <c r="BV69" s="2569">
        <f>IF(AND(S_17!$G$8="JA",S_17!$K$8="JA"),S_17!$U$14,0)</f>
        <v>0</v>
      </c>
      <c r="BW69" s="2570">
        <f>IF(AND(S_17!$G$8="JA",S_17!$K$8="JA"),S_17!$V$14,0)</f>
        <v>0</v>
      </c>
      <c r="BX69" s="2566" t="str">
        <f t="shared" ref="BX69" si="64">IF(BV69="-",0-BW69,"")</f>
        <v/>
      </c>
      <c r="BY69" s="2566" t="str">
        <f t="shared" ref="BY69" si="65">IF(BV69="+",0+BW69,"")</f>
        <v/>
      </c>
    </row>
    <row r="70" spans="3:77" ht="20.25" hidden="1" customHeight="1">
      <c r="C70" s="1654" t="str">
        <f t="array" ref="C70">IFERROR(IF(ROW($C$1)&gt;COUNTA($X$37:$X$96),"",INDEX($X:$X,SMALL(IF(X$37:X$96&lt;&gt;"",ROW($37:$96)),ROW(C34)))),"")</f>
        <v/>
      </c>
      <c r="D70" s="1656" t="str">
        <f t="array" ref="D70">IFERROR(IF(ROW($D$1)&gt;COUNTA($V$37:$V$96),"",INDEX($V:$V,SMALL(IF(V$37:V$96&lt;&gt;"",ROW($37:$96)),ROW(D34)))),"")</f>
        <v/>
      </c>
      <c r="E70" s="1652" t="str">
        <f t="array" ref="E70">IFERROR(IF(ROW($E$1)&gt;COUNTA($W$37:$W$96),"",INDEX($W:$W,SMALL(IF(W$37:W$96&lt;&gt;"",ROW($37:$96)),ROW(E34)))),"")</f>
        <v/>
      </c>
      <c r="F70" s="1655" t="str">
        <f t="array" ref="F70">IFERROR(IF(ROW($F$1)&gt;COUNTA($AA$37:$AA$96),"",INDEX($AA:$AA,SMALL(IF(AA$37:AA$96&lt;&gt;"",ROW($37:$96)),ROW(F34)))),"")</f>
        <v/>
      </c>
      <c r="G70" s="1651" t="str">
        <f t="array" ref="G70">IFERROR(IF(ROW($G$1)&gt;COUNTA($AC$37:$AC$96),"",INDEX($AC:$AC,SMALL(IF(AC$37:AC$96&lt;&gt;"",ROW($37:$96)),ROW(G34)))),"")</f>
        <v/>
      </c>
      <c r="H70" s="1652" t="str">
        <f t="array" ref="H70">IFERROR(IF(ROW($H$1)&gt;COUNTA($BT$37:$BT$96),"",INDEX($BT:$BT,SMALL(IF(BT$37:BT$96&lt;&gt;"",ROW($37:$96)),ROW(H34)))),"")</f>
        <v/>
      </c>
      <c r="I70" s="1653" t="str">
        <f t="array" ref="I70">IFERROR(IF(ROW($I$1)&gt;COUNTA($AZ$37:$AZ$96),"",INDEX($AZ:$AZ,SMALL(IF(AZ$37:AZ$96&lt;&gt;"",ROW($37:$96)),ROW(I34)))),"")</f>
        <v/>
      </c>
      <c r="J70" s="1652" t="str">
        <f t="array" ref="J70">IFERROR(IF(ROW($J$1)&gt;COUNTA($BA$37:$BA$96),"",INDEX($BA:$BA,SMALL(IF(BA$37:BA$96&lt;&gt;"",ROW($37:$96)),ROW(J34)))),"")</f>
        <v/>
      </c>
      <c r="K70" s="1649" t="str">
        <f t="array" ref="K70">IFERROR(IF(ROW($K$1)&gt;COUNTA($BB$37:$BB$96),"",INDEX($BB:$BB,SMALL(IF(BB$37:BB$96&lt;&gt;"",ROW($37:$96)),ROW(K34)))),"")</f>
        <v/>
      </c>
      <c r="M70" s="1652" t="str">
        <f t="array" ref="M70">IFERROR(IF(ROW($M$1)&gt;COUNTA($BU$37:$BU$96),"",INDEX($BU:$BU,SMALL(IF(BU$37:BU$96&lt;&gt;"",ROW($37:$96)),ROW(M34)))),"")</f>
        <v/>
      </c>
      <c r="N70" s="1653" t="str">
        <f t="array" ref="N70">IFERROR(IF(ROW($N$1)&gt;COUNTA($BJ$37:$BJ$96),"",INDEX($BJ:$BJ,SMALL(IF(BJ$37:BJ$96&lt;&gt;"",ROW($37:$96)),ROW(N34)))),"")</f>
        <v/>
      </c>
      <c r="O70" s="1652" t="str">
        <f t="array" ref="O70">IFERROR(IF(ROW($O$1)&gt;COUNTA($BK$37:$BK$96),"",INDEX($BK:$BK,SMALL(IF(BK$37:BK$96&lt;&gt;"",ROW($37:$96)),ROW(O34)))),"")</f>
        <v/>
      </c>
      <c r="P70" s="1649" t="str">
        <f t="array" ref="P70">IFERROR(IF(ROW($P$1)&gt;COUNTA($BL$37:$BL$96),"",INDEX($BL:$BL,SMALL(IF(BL$37:BL$96&lt;&gt;"",ROW($37:$96)),ROW(P34)))),"")</f>
        <v/>
      </c>
      <c r="S70" s="1775"/>
      <c r="T70" s="1775"/>
      <c r="U70" s="1608" t="str">
        <f>IF(AND(S_17!$G$8="ja",S_17!$K$8="ja"),S_17!$C$2,"")</f>
        <v/>
      </c>
      <c r="V70" s="747" t="str">
        <f t="shared" si="17"/>
        <v/>
      </c>
      <c r="W70" s="1106" t="str">
        <f>IF($U70="","",S_17!$B$15)</f>
        <v/>
      </c>
      <c r="X70" s="1608" t="str">
        <f>IF($U70="","",S_17!$A$15)</f>
        <v/>
      </c>
      <c r="Y70" s="2604"/>
      <c r="Z70" s="1608" t="str">
        <f>IF($U70="","",S_17!$C$15)</f>
        <v/>
      </c>
      <c r="AA70" s="747" t="str">
        <f t="shared" si="18"/>
        <v/>
      </c>
      <c r="AB70" s="1608" t="str">
        <f>IF($U70="","",S_17!$CM$15)</f>
        <v/>
      </c>
      <c r="AC70" s="747" t="str">
        <f t="shared" si="19"/>
        <v/>
      </c>
      <c r="AQ70" s="1608">
        <f>IF(S_17!$DF$15&gt;0,1,0)</f>
        <v>0</v>
      </c>
      <c r="AR70" s="1608">
        <f>IF(S_17!$DG$15&gt;0,1,0)</f>
        <v>0</v>
      </c>
      <c r="AS70" s="1608">
        <f>IF(S_17!$DH$15&gt;0,1,0)</f>
        <v>0</v>
      </c>
      <c r="AT70" s="1608">
        <f>IF(S_17!$DI$15&gt;0,1,0)</f>
        <v>0</v>
      </c>
      <c r="AU70" s="1608">
        <f>IF(S_17!$DJ$15&gt;0,1,0)</f>
        <v>0</v>
      </c>
      <c r="AV70" s="1608">
        <f>IF(S_17!$DK$15&gt;0,1,0)</f>
        <v>0</v>
      </c>
      <c r="AW70" s="1608">
        <f t="shared" si="22"/>
        <v>0</v>
      </c>
      <c r="AX70" s="1608" t="str">
        <f t="shared" si="46"/>
        <v/>
      </c>
      <c r="AY70" s="1106" t="str">
        <f t="shared" si="62"/>
        <v/>
      </c>
      <c r="AZ70" s="1106" t="str">
        <f t="shared" si="48"/>
        <v/>
      </c>
      <c r="BA70" s="1793" t="str">
        <f t="shared" si="49"/>
        <v/>
      </c>
      <c r="BB70" s="1793" t="str">
        <f t="shared" si="50"/>
        <v/>
      </c>
      <c r="BC70" s="1608">
        <f>IF(S_17!$DN$15&gt;0,1,0)</f>
        <v>0</v>
      </c>
      <c r="BD70" s="1608">
        <f>IF(S_17!$DO$15&gt;0,1,0)</f>
        <v>0</v>
      </c>
      <c r="BE70" s="1608">
        <f>IF(S_17!$DP$15&gt;0,1,0)</f>
        <v>0</v>
      </c>
      <c r="BF70" s="1608">
        <f>IF(S_17!$DQ$15&gt;0,1,0)</f>
        <v>0</v>
      </c>
      <c r="BG70" s="1608">
        <f>IF(S_17!$DR$15&gt;0,1,0)</f>
        <v>0</v>
      </c>
      <c r="BH70" s="1608">
        <f>IF(S_17!$DS$15&gt;0,1,0)</f>
        <v>0</v>
      </c>
      <c r="BI70" s="1608">
        <f t="shared" si="23"/>
        <v>0</v>
      </c>
      <c r="BJ70" s="1106" t="str">
        <f t="shared" si="63"/>
        <v/>
      </c>
      <c r="BK70" s="1793" t="str">
        <f t="shared" si="52"/>
        <v/>
      </c>
      <c r="BL70" s="1793" t="str">
        <f t="shared" si="53"/>
        <v/>
      </c>
      <c r="BN70" s="747">
        <f>S_17!$DE$15</f>
        <v>0</v>
      </c>
      <c r="BO70" s="747">
        <f>S_17!$DM$15</f>
        <v>0</v>
      </c>
      <c r="BP70" s="747">
        <f>S_17!$CP$15</f>
        <v>0</v>
      </c>
      <c r="BQ70" s="747">
        <f>S_17!$CQ$15</f>
        <v>0</v>
      </c>
      <c r="BR70" s="1610" t="e">
        <f>BP70/Betrieb!$E$23</f>
        <v>#DIV/0!</v>
      </c>
      <c r="BS70" s="1610" t="e">
        <f>BQ70/Betrieb!$E$24</f>
        <v>#DIV/0!</v>
      </c>
      <c r="BT70" s="1615" t="str">
        <f t="shared" si="54"/>
        <v/>
      </c>
      <c r="BU70" s="1615" t="str">
        <f t="shared" si="55"/>
        <v/>
      </c>
      <c r="BV70" s="2569"/>
      <c r="BW70" s="2570"/>
      <c r="BX70" s="2566"/>
      <c r="BY70" s="2566"/>
    </row>
    <row r="71" spans="3:77" ht="20.25" hidden="1" customHeight="1">
      <c r="C71" s="1654" t="str">
        <f t="array" ref="C71">IFERROR(IF(ROW($C$1)&gt;COUNTA($X$37:$X$96),"",INDEX($X:$X,SMALL(IF(X$37:X$96&lt;&gt;"",ROW($37:$96)),ROW(C35)))),"")</f>
        <v/>
      </c>
      <c r="D71" s="1656" t="str">
        <f t="array" ref="D71">IFERROR(IF(ROW($D$1)&gt;COUNTA($V$37:$V$96),"",INDEX($V:$V,SMALL(IF(V$37:V$96&lt;&gt;"",ROW($37:$96)),ROW(D35)))),"")</f>
        <v/>
      </c>
      <c r="E71" s="1652" t="str">
        <f t="array" ref="E71">IFERROR(IF(ROW($E$1)&gt;COUNTA($W$37:$W$96),"",INDEX($W:$W,SMALL(IF(W$37:W$96&lt;&gt;"",ROW($37:$96)),ROW(E35)))),"")</f>
        <v/>
      </c>
      <c r="F71" s="1655" t="str">
        <f t="array" ref="F71">IFERROR(IF(ROW($F$1)&gt;COUNTA($AA$37:$AA$96),"",INDEX($AA:$AA,SMALL(IF(AA$37:AA$96&lt;&gt;"",ROW($37:$96)),ROW(F35)))),"")</f>
        <v/>
      </c>
      <c r="G71" s="1651" t="str">
        <f t="array" ref="G71">IFERROR(IF(ROW($G$1)&gt;COUNTA($AC$37:$AC$96),"",INDEX($AC:$AC,SMALL(IF(AC$37:AC$96&lt;&gt;"",ROW($37:$96)),ROW(G35)))),"")</f>
        <v/>
      </c>
      <c r="H71" s="1652" t="str">
        <f t="array" ref="H71">IFERROR(IF(ROW($H$1)&gt;COUNTA($BT$37:$BT$96),"",INDEX($BT:$BT,SMALL(IF(BT$37:BT$96&lt;&gt;"",ROW($37:$96)),ROW(H35)))),"")</f>
        <v/>
      </c>
      <c r="I71" s="1653" t="str">
        <f t="array" ref="I71">IFERROR(IF(ROW($I$1)&gt;COUNTA($AZ$37:$AZ$96),"",INDEX($AZ:$AZ,SMALL(IF(AZ$37:AZ$96&lt;&gt;"",ROW($37:$96)),ROW(I35)))),"")</f>
        <v/>
      </c>
      <c r="J71" s="1652" t="str">
        <f t="array" ref="J71">IFERROR(IF(ROW($J$1)&gt;COUNTA($BA$37:$BA$96),"",INDEX($BA:$BA,SMALL(IF(BA$37:BA$96&lt;&gt;"",ROW($37:$96)),ROW(J35)))),"")</f>
        <v/>
      </c>
      <c r="K71" s="1649" t="str">
        <f t="array" ref="K71">IFERROR(IF(ROW($K$1)&gt;COUNTA($BB$37:$BB$96),"",INDEX($BB:$BB,SMALL(IF(BB$37:BB$96&lt;&gt;"",ROW($37:$96)),ROW(K35)))),"")</f>
        <v/>
      </c>
      <c r="M71" s="1652" t="str">
        <f t="array" ref="M71">IFERROR(IF(ROW($M$1)&gt;COUNTA($BU$37:$BU$96),"",INDEX($BU:$BU,SMALL(IF(BU$37:BU$96&lt;&gt;"",ROW($37:$96)),ROW(M35)))),"")</f>
        <v/>
      </c>
      <c r="N71" s="1653" t="str">
        <f t="array" ref="N71">IFERROR(IF(ROW($N$1)&gt;COUNTA($BJ$37:$BJ$96),"",INDEX($BJ:$BJ,SMALL(IF(BJ$37:BJ$96&lt;&gt;"",ROW($37:$96)),ROW(N35)))),"")</f>
        <v/>
      </c>
      <c r="O71" s="1652" t="str">
        <f t="array" ref="O71">IFERROR(IF(ROW($O$1)&gt;COUNTA($BK$37:$BK$96),"",INDEX($BK:$BK,SMALL(IF(BK$37:BK$96&lt;&gt;"",ROW($37:$96)),ROW(O35)))),"")</f>
        <v/>
      </c>
      <c r="P71" s="1649" t="str">
        <f t="array" ref="P71">IFERROR(IF(ROW($P$1)&gt;COUNTA($BL$37:$BL$96),"",INDEX($BL:$BL,SMALL(IF(BL$37:BL$96&lt;&gt;"",ROW($37:$96)),ROW(P35)))),"")</f>
        <v/>
      </c>
      <c r="S71" s="1775"/>
      <c r="T71" s="1775"/>
      <c r="U71" s="1608" t="str">
        <f>IF(AND(S_18!$G$8="ja",S_18!$K$8="ja"),S_18!$C$2,"")</f>
        <v/>
      </c>
      <c r="V71" s="747" t="str">
        <f t="shared" si="17"/>
        <v/>
      </c>
      <c r="W71" s="1106" t="str">
        <f>IF($U71="","",S_18!$B$14)</f>
        <v/>
      </c>
      <c r="X71" s="1608" t="str">
        <f>IF($U71="","",S_18!$A$14)</f>
        <v/>
      </c>
      <c r="Y71" s="2604" t="str">
        <f>IF($U71="","",Grünland!B22)</f>
        <v/>
      </c>
      <c r="Z71" s="1608" t="str">
        <f>IF($U71="","",S_18!$C$14)</f>
        <v/>
      </c>
      <c r="AA71" s="747" t="str">
        <f t="shared" si="18"/>
        <v/>
      </c>
      <c r="AB71" s="1608" t="str">
        <f>IF($U71="","",S_18!$CM$14)</f>
        <v/>
      </c>
      <c r="AC71" s="747" t="str">
        <f t="shared" si="19"/>
        <v/>
      </c>
      <c r="AQ71" s="1608">
        <f>IF(S_18!$DF$14&gt;0,1,0)</f>
        <v>0</v>
      </c>
      <c r="AR71" s="1608">
        <f>IF(S_18!$DG$14&gt;0,1,0)</f>
        <v>0</v>
      </c>
      <c r="AS71" s="1608">
        <f>IF(S_18!$DH$14&gt;0,1,0)</f>
        <v>0</v>
      </c>
      <c r="AT71" s="1608">
        <f>IF(S_18!$DI$14&gt;0,1,0)</f>
        <v>0</v>
      </c>
      <c r="AU71" s="1608">
        <f>IF(S_18!$DJ$14&gt;0,1,0)</f>
        <v>0</v>
      </c>
      <c r="AV71" s="1608">
        <f>IF(S_18!$DK$14&gt;0,1,0)</f>
        <v>0</v>
      </c>
      <c r="AW71" s="1608">
        <f t="shared" si="22"/>
        <v>0</v>
      </c>
      <c r="AX71" s="1608" t="str">
        <f t="shared" si="46"/>
        <v/>
      </c>
      <c r="AY71" s="1106" t="str">
        <f t="shared" si="62"/>
        <v/>
      </c>
      <c r="AZ71" s="1106" t="str">
        <f t="shared" si="48"/>
        <v/>
      </c>
      <c r="BA71" s="1793" t="str">
        <f t="shared" si="49"/>
        <v/>
      </c>
      <c r="BB71" s="1793" t="str">
        <f t="shared" si="50"/>
        <v/>
      </c>
      <c r="BC71" s="1608">
        <f>IF(S_18!$DN$14&gt;0,1,0)</f>
        <v>0</v>
      </c>
      <c r="BD71" s="1608">
        <f>IF(S_18!$DO$14&gt;0,1,0)</f>
        <v>0</v>
      </c>
      <c r="BE71" s="1608">
        <f>IF(S_18!$DP$14&gt;0,1,0)</f>
        <v>0</v>
      </c>
      <c r="BF71" s="1608">
        <f>IF(S_18!$DQ$14&gt;0,1,0)</f>
        <v>0</v>
      </c>
      <c r="BG71" s="1608">
        <f>IF(S_18!$DR$14&gt;0,1,0)</f>
        <v>0</v>
      </c>
      <c r="BH71" s="1608">
        <f>IF(S_18!$DS$14&gt;0,1,0)</f>
        <v>0</v>
      </c>
      <c r="BI71" s="1608">
        <f t="shared" si="23"/>
        <v>0</v>
      </c>
      <c r="BJ71" s="1106" t="str">
        <f t="shared" si="63"/>
        <v/>
      </c>
      <c r="BK71" s="1793" t="str">
        <f t="shared" si="52"/>
        <v/>
      </c>
      <c r="BL71" s="1793" t="str">
        <f t="shared" si="53"/>
        <v/>
      </c>
      <c r="BN71" s="747">
        <f>S_18!$DE$14</f>
        <v>0</v>
      </c>
      <c r="BO71" s="747">
        <f>S_18!$DM$14</f>
        <v>0</v>
      </c>
      <c r="BP71" s="747">
        <f>S_18!$CP$14</f>
        <v>0</v>
      </c>
      <c r="BQ71" s="747">
        <f>S_18!$CQ$14</f>
        <v>0</v>
      </c>
      <c r="BR71" s="1610" t="e">
        <f>BP71/Betrieb!$E$23</f>
        <v>#DIV/0!</v>
      </c>
      <c r="BS71" s="1610" t="e">
        <f>BQ71/Betrieb!$E$24</f>
        <v>#DIV/0!</v>
      </c>
      <c r="BT71" s="1615" t="str">
        <f t="shared" si="54"/>
        <v/>
      </c>
      <c r="BU71" s="1615" t="str">
        <f t="shared" si="55"/>
        <v/>
      </c>
      <c r="BV71" s="2569">
        <f>IF(AND(S_18!$G$8="JA",S_18!$K$8="JA"),S_18!$U$14,0)</f>
        <v>0</v>
      </c>
      <c r="BW71" s="2570">
        <f>IF(AND(S_18!$G$8="JA",S_18!$K$8="JA"),S_18!$V$14,0)</f>
        <v>0</v>
      </c>
      <c r="BX71" s="2566" t="str">
        <f t="shared" ref="BX71" si="66">IF(BV71="-",0-BW71,"")</f>
        <v/>
      </c>
      <c r="BY71" s="2566" t="str">
        <f t="shared" ref="BY71" si="67">IF(BV71="+",0+BW71,"")</f>
        <v/>
      </c>
    </row>
    <row r="72" spans="3:77" ht="20.25" hidden="1" customHeight="1">
      <c r="C72" s="1654" t="str">
        <f t="array" ref="C72">IFERROR(IF(ROW($C$1)&gt;COUNTA($X$37:$X$96),"",INDEX($X:$X,SMALL(IF(X$37:X$96&lt;&gt;"",ROW($37:$96)),ROW(A36)))),"")</f>
        <v/>
      </c>
      <c r="D72" s="1656" t="str">
        <f t="array" ref="D72">IFERROR(IF(ROW($D$1)&gt;COUNTA($V$37:$V$96),"",INDEX($V:$V,SMALL(IF(V$37:V$96&lt;&gt;"",ROW($37:$96)),ROW(D36)))),"")</f>
        <v/>
      </c>
      <c r="E72" s="1652" t="str">
        <f t="array" ref="E72">IFERROR(IF(ROW($E$1)&gt;COUNTA($W$37:$W$96),"",INDEX($W:$W,SMALL(IF(W$37:W$96&lt;&gt;"",ROW($37:$96)),ROW(E36)))),"")</f>
        <v/>
      </c>
      <c r="F72" s="1655" t="str">
        <f t="array" ref="F72">IFERROR(IF(ROW($F$1)&gt;COUNTA($AA$37:$AA$96),"",INDEX($AA:$AA,SMALL(IF(AA$37:AA$96&lt;&gt;"",ROW($37:$96)),ROW(F36)))),"")</f>
        <v/>
      </c>
      <c r="G72" s="1651" t="str">
        <f t="array" ref="G72">IFERROR(IF(ROW($G$1)&gt;COUNTA($AC$37:$AC$96),"",INDEX($AC:$AC,SMALL(IF(AC$37:AC$96&lt;&gt;"",ROW($37:$96)),ROW(G36)))),"")</f>
        <v/>
      </c>
      <c r="H72" s="1652" t="str">
        <f t="array" ref="H72">IFERROR(IF(ROW($H$1)&gt;COUNTA($BT$37:$BT$96),"",INDEX($BT:$BT,SMALL(IF(BT$37:BT$96&lt;&gt;"",ROW($37:$96)),ROW(H36)))),"")</f>
        <v/>
      </c>
      <c r="I72" s="1653" t="str">
        <f t="array" ref="I72">IFERROR(IF(ROW($I$1)&gt;COUNTA($AZ$37:$AZ$96),"",INDEX($AZ:$AZ,SMALL(IF(AZ$37:AZ$96&lt;&gt;"",ROW($37:$96)),ROW(I36)))),"")</f>
        <v/>
      </c>
      <c r="J72" s="1652" t="str">
        <f t="array" ref="J72">IFERROR(IF(ROW($J$1)&gt;COUNTA($BA$37:$BA$96),"",INDEX($BA:$BA,SMALL(IF(BA$37:BA$96&lt;&gt;"",ROW($37:$96)),ROW(J36)))),"")</f>
        <v/>
      </c>
      <c r="K72" s="1649" t="str">
        <f t="array" ref="K72">IFERROR(IF(ROW($K$1)&gt;COUNTA($BB$37:$BB$96),"",INDEX($BB:$BB,SMALL(IF(BB$37:BB$96&lt;&gt;"",ROW($37:$96)),ROW(K36)))),"")</f>
        <v/>
      </c>
      <c r="M72" s="1652" t="str">
        <f t="array" ref="M72">IFERROR(IF(ROW($M$1)&gt;COUNTA($BU$37:$BU$96),"",INDEX($BU:$BU,SMALL(IF(BU$37:BU$96&lt;&gt;"",ROW($37:$96)),ROW(M36)))),"")</f>
        <v/>
      </c>
      <c r="N72" s="1653" t="str">
        <f t="array" ref="N72">IFERROR(IF(ROW($N$1)&gt;COUNTA($BJ$37:$BJ$96),"",INDEX($BJ:$BJ,SMALL(IF(BJ$37:BJ$96&lt;&gt;"",ROW($37:$96)),ROW(N36)))),"")</f>
        <v/>
      </c>
      <c r="O72" s="1652" t="str">
        <f t="array" ref="O72">IFERROR(IF(ROW($O$1)&gt;COUNTA($BK$37:$BK$96),"",INDEX($BK:$BK,SMALL(IF(BK$37:BK$96&lt;&gt;"",ROW($37:$96)),ROW(O36)))),"")</f>
        <v/>
      </c>
      <c r="P72" s="1649" t="str">
        <f t="array" ref="P72">IFERROR(IF(ROW($P$1)&gt;COUNTA($BL$37:$BL$96),"",INDEX($BL:$BL,SMALL(IF(BL$37:BL$96&lt;&gt;"",ROW($37:$96)),ROW(P36)))),"")</f>
        <v/>
      </c>
      <c r="S72" s="1775"/>
      <c r="T72" s="1775"/>
      <c r="U72" s="1608" t="str">
        <f>IF(AND(S_18!$G$8="ja",S_18!$K$8="ja"),S_18!$C$2,"")</f>
        <v/>
      </c>
      <c r="V72" s="747" t="str">
        <f t="shared" si="17"/>
        <v/>
      </c>
      <c r="W72" s="1106" t="str">
        <f>IF($U72="","",S_18!$B$15)</f>
        <v/>
      </c>
      <c r="X72" s="1608" t="str">
        <f>IF($U72="","",S_18!$A$15)</f>
        <v/>
      </c>
      <c r="Y72" s="2604"/>
      <c r="Z72" s="1608" t="str">
        <f>IF($U72="","",S_18!$C$15)</f>
        <v/>
      </c>
      <c r="AA72" s="747" t="str">
        <f t="shared" si="18"/>
        <v/>
      </c>
      <c r="AB72" s="1608" t="str">
        <f>IF($U72="","",S_18!$CM$15)</f>
        <v/>
      </c>
      <c r="AC72" s="747" t="str">
        <f t="shared" si="19"/>
        <v/>
      </c>
      <c r="AQ72" s="1608">
        <f>IF(S_18!$DF$15&gt;0,1,0)</f>
        <v>0</v>
      </c>
      <c r="AR72" s="1608">
        <f>IF(S_18!$DG$15&gt;0,1,0)</f>
        <v>0</v>
      </c>
      <c r="AS72" s="1608">
        <f>IF(S_18!$DH$15&gt;0,1,0)</f>
        <v>0</v>
      </c>
      <c r="AT72" s="1608">
        <f>IF(S_18!$DI$15&gt;0,1,0)</f>
        <v>0</v>
      </c>
      <c r="AU72" s="1608">
        <f>IF(S_18!$DJ$15&gt;0,1,0)</f>
        <v>0</v>
      </c>
      <c r="AV72" s="1608">
        <f>IF(S_18!$DK$15&gt;0,1,0)</f>
        <v>0</v>
      </c>
      <c r="AW72" s="1608">
        <f t="shared" si="22"/>
        <v>0</v>
      </c>
      <c r="AX72" s="1608" t="str">
        <f t="shared" si="46"/>
        <v/>
      </c>
      <c r="AY72" s="1106" t="str">
        <f t="shared" si="62"/>
        <v/>
      </c>
      <c r="AZ72" s="1106" t="str">
        <f t="shared" si="48"/>
        <v/>
      </c>
      <c r="BA72" s="1793" t="str">
        <f t="shared" si="49"/>
        <v/>
      </c>
      <c r="BB72" s="1793" t="str">
        <f t="shared" si="50"/>
        <v/>
      </c>
      <c r="BC72" s="1608">
        <f>IF(S_18!$DN$15&gt;0,1,0)</f>
        <v>0</v>
      </c>
      <c r="BD72" s="1608">
        <f>IF(S_18!$DO$15&gt;0,1,0)</f>
        <v>0</v>
      </c>
      <c r="BE72" s="1608">
        <f>IF(S_18!$DP$15&gt;0,1,0)</f>
        <v>0</v>
      </c>
      <c r="BF72" s="1608">
        <f>IF(S_18!$DQ$15&gt;0,1,0)</f>
        <v>0</v>
      </c>
      <c r="BG72" s="1608">
        <f>IF(S_18!$DR$15&gt;0,1,0)</f>
        <v>0</v>
      </c>
      <c r="BH72" s="1608">
        <f>IF(S_18!$DS$15&gt;0,1,0)</f>
        <v>0</v>
      </c>
      <c r="BI72" s="1608">
        <f t="shared" si="23"/>
        <v>0</v>
      </c>
      <c r="BJ72" s="1106" t="str">
        <f t="shared" si="63"/>
        <v/>
      </c>
      <c r="BK72" s="1793" t="str">
        <f t="shared" si="52"/>
        <v/>
      </c>
      <c r="BL72" s="1793" t="str">
        <f t="shared" si="53"/>
        <v/>
      </c>
      <c r="BN72" s="747">
        <f>S_18!$DE$15</f>
        <v>0</v>
      </c>
      <c r="BO72" s="747">
        <f>S_18!$DM$15</f>
        <v>0</v>
      </c>
      <c r="BP72" s="747">
        <f>S_18!$CP$15</f>
        <v>0</v>
      </c>
      <c r="BQ72" s="747">
        <f>S_18!$CQ$15</f>
        <v>0</v>
      </c>
      <c r="BR72" s="1610" t="e">
        <f>BP72/Betrieb!$E$23</f>
        <v>#DIV/0!</v>
      </c>
      <c r="BS72" s="1610" t="e">
        <f>BQ72/Betrieb!$E$24</f>
        <v>#DIV/0!</v>
      </c>
      <c r="BT72" s="1615" t="str">
        <f t="shared" si="54"/>
        <v/>
      </c>
      <c r="BU72" s="1615" t="str">
        <f t="shared" si="55"/>
        <v/>
      </c>
      <c r="BV72" s="2569"/>
      <c r="BW72" s="2570"/>
      <c r="BX72" s="2566"/>
      <c r="BY72" s="2566"/>
    </row>
    <row r="73" spans="3:77" ht="20.25" hidden="1" customHeight="1">
      <c r="C73" s="1654" t="str">
        <f t="array" ref="C73">IFERROR(IF(ROW($C$1)&gt;COUNTA($X$37:$X$96),"",INDEX($X:$X,SMALL(IF(X$37:X$96&lt;&gt;"",ROW($37:$96)),ROW(A37)))),"")</f>
        <v/>
      </c>
      <c r="D73" s="1656" t="str">
        <f t="array" ref="D73">IFERROR(IF(ROW($D$1)&gt;COUNTA($V$37:$V$96),"",INDEX($V:$V,SMALL(IF(V$37:V$96&lt;&gt;"",ROW($37:$96)),ROW(D37)))),"")</f>
        <v/>
      </c>
      <c r="E73" s="1652" t="str">
        <f t="array" ref="E73">IFERROR(IF(ROW($E$1)&gt;COUNTA($W$37:$W$96),"",INDEX($W:$W,SMALL(IF(W$37:W$96&lt;&gt;"",ROW($37:$96)),ROW(E37)))),"")</f>
        <v/>
      </c>
      <c r="F73" s="1655" t="str">
        <f t="array" ref="F73">IFERROR(IF(ROW($F$1)&gt;COUNTA($AA$37:$AA$96),"",INDEX($AA:$AA,SMALL(IF(AA$37:AA$96&lt;&gt;"",ROW($37:$96)),ROW(F37)))),"")</f>
        <v/>
      </c>
      <c r="G73" s="1651" t="str">
        <f t="array" ref="G73">IFERROR(IF(ROW($G$1)&gt;COUNTA($AC$37:$AC$96),"",INDEX($AC:$AC,SMALL(IF(AC$37:AC$96&lt;&gt;"",ROW($37:$96)),ROW(G37)))),"")</f>
        <v/>
      </c>
      <c r="H73" s="1652" t="str">
        <f t="array" ref="H73">IFERROR(IF(ROW($H$1)&gt;COUNTA($BT$37:$BT$96),"",INDEX($BT:$BT,SMALL(IF(BT$37:BT$96&lt;&gt;"",ROW($37:$96)),ROW(H37)))),"")</f>
        <v/>
      </c>
      <c r="I73" s="1653" t="str">
        <f t="array" ref="I73">IFERROR(IF(ROW($I$1)&gt;COUNTA($AZ$37:$AZ$96),"",INDEX($AZ:$AZ,SMALL(IF(AZ$37:AZ$96&lt;&gt;"",ROW($37:$96)),ROW(I37)))),"")</f>
        <v/>
      </c>
      <c r="J73" s="1652" t="str">
        <f t="array" ref="J73">IFERROR(IF(ROW($J$1)&gt;COUNTA($BA$37:$BA$96),"",INDEX($BA:$BA,SMALL(IF(BA$37:BA$96&lt;&gt;"",ROW($37:$96)),ROW(J37)))),"")</f>
        <v/>
      </c>
      <c r="K73" s="1649" t="str">
        <f t="array" ref="K73">IFERROR(IF(ROW($K$1)&gt;COUNTA($BB$37:$BB$96),"",INDEX($BB:$BB,SMALL(IF(BB$37:BB$96&lt;&gt;"",ROW($37:$96)),ROW(K37)))),"")</f>
        <v/>
      </c>
      <c r="M73" s="1652" t="str">
        <f t="array" ref="M73">IFERROR(IF(ROW($M$1)&gt;COUNTA($BU$37:$BU$96),"",INDEX($BU:$BU,SMALL(IF(BU$37:BU$96&lt;&gt;"",ROW($37:$96)),ROW(M37)))),"")</f>
        <v/>
      </c>
      <c r="N73" s="1653" t="str">
        <f t="array" ref="N73">IFERROR(IF(ROW($N$1)&gt;COUNTA($BJ$37:$BJ$96),"",INDEX($BJ:$BJ,SMALL(IF(BJ$37:BJ$96&lt;&gt;"",ROW($37:$96)),ROW(N37)))),"")</f>
        <v/>
      </c>
      <c r="O73" s="1652" t="str">
        <f t="array" ref="O73">IFERROR(IF(ROW($O$1)&gt;COUNTA($BK$37:$BK$96),"",INDEX($BK:$BK,SMALL(IF(BK$37:BK$96&lt;&gt;"",ROW($37:$96)),ROW(O37)))),"")</f>
        <v/>
      </c>
      <c r="P73" s="1649" t="str">
        <f t="array" ref="P73">IFERROR(IF(ROW($P$1)&gt;COUNTA($BL$37:$BL$96),"",INDEX($BL:$BL,SMALL(IF(BL$37:BL$96&lt;&gt;"",ROW($37:$96)),ROW(P37)))),"")</f>
        <v/>
      </c>
      <c r="S73" s="1775"/>
      <c r="T73" s="1775"/>
      <c r="U73" s="1608" t="str">
        <f>IF(AND(S_19!$G$8="ja",S_19!$K$8="ja"),S_19!$C$2,"")</f>
        <v/>
      </c>
      <c r="V73" s="747" t="str">
        <f t="shared" si="17"/>
        <v/>
      </c>
      <c r="W73" s="1106" t="str">
        <f>IF($U73="","",S_19!$B$14)</f>
        <v/>
      </c>
      <c r="X73" s="1608" t="str">
        <f>IF($U73="","",S_19!$A$14)</f>
        <v/>
      </c>
      <c r="Y73" s="2604" t="str">
        <f>IF($U73="","",Grünland!B23)</f>
        <v/>
      </c>
      <c r="Z73" s="1608" t="str">
        <f>IF($U73="","",S_19!$C$14)</f>
        <v/>
      </c>
      <c r="AA73" s="747" t="str">
        <f t="shared" si="18"/>
        <v/>
      </c>
      <c r="AB73" s="1608" t="str">
        <f>IF($U73="","",S_19!$CM$14)</f>
        <v/>
      </c>
      <c r="AC73" s="747" t="str">
        <f t="shared" si="19"/>
        <v/>
      </c>
      <c r="AQ73" s="1608">
        <f>IF(S_19!$DF$14&gt;0,1,0)</f>
        <v>0</v>
      </c>
      <c r="AR73" s="1608">
        <f>IF(S_19!$DG$14&gt;0,1,0)</f>
        <v>0</v>
      </c>
      <c r="AS73" s="1608">
        <f>IF(S_19!$DH$14&gt;0,1,0)</f>
        <v>0</v>
      </c>
      <c r="AT73" s="1608">
        <f>IF(S_19!$DI$14&gt;0,1,0)</f>
        <v>0</v>
      </c>
      <c r="AU73" s="1608">
        <f>IF(S_19!$DJ$14&gt;0,1,0)</f>
        <v>0</v>
      </c>
      <c r="AV73" s="1608">
        <f>IF(S_19!$DK$14&gt;0,1,0)</f>
        <v>0</v>
      </c>
      <c r="AW73" s="1608">
        <f t="shared" si="22"/>
        <v>0</v>
      </c>
      <c r="AX73" s="1608" t="str">
        <f t="shared" si="46"/>
        <v/>
      </c>
      <c r="AY73" s="1106" t="str">
        <f t="shared" si="62"/>
        <v/>
      </c>
      <c r="AZ73" s="1106" t="str">
        <f t="shared" si="48"/>
        <v/>
      </c>
      <c r="BA73" s="1793" t="str">
        <f t="shared" si="49"/>
        <v/>
      </c>
      <c r="BB73" s="1793" t="str">
        <f t="shared" si="50"/>
        <v/>
      </c>
      <c r="BC73" s="1608">
        <f>IF(S_19!$DN$14&gt;0,1,0)</f>
        <v>0</v>
      </c>
      <c r="BD73" s="1608">
        <f>IF(S_19!$DO$14&gt;0,1,0)</f>
        <v>0</v>
      </c>
      <c r="BE73" s="1608">
        <f>IF(S_19!$DP$14&gt;0,1,0)</f>
        <v>0</v>
      </c>
      <c r="BF73" s="1608">
        <f>IF(S_19!$DQ$14&gt;0,1,0)</f>
        <v>0</v>
      </c>
      <c r="BG73" s="1608">
        <f>IF(S_19!$DR$14&gt;0,1,0)</f>
        <v>0</v>
      </c>
      <c r="BH73" s="1608">
        <f>IF(S_19!$DS$14&gt;0,1,0)</f>
        <v>0</v>
      </c>
      <c r="BI73" s="1608">
        <f t="shared" si="23"/>
        <v>0</v>
      </c>
      <c r="BJ73" s="1106" t="str">
        <f t="shared" si="63"/>
        <v/>
      </c>
      <c r="BK73" s="1793" t="str">
        <f t="shared" si="52"/>
        <v/>
      </c>
      <c r="BL73" s="1793" t="str">
        <f t="shared" si="53"/>
        <v/>
      </c>
      <c r="BN73" s="747">
        <f>S_19!$DE$14</f>
        <v>0</v>
      </c>
      <c r="BO73" s="747">
        <f>S_19!$DM$14</f>
        <v>0</v>
      </c>
      <c r="BP73" s="747">
        <f>S_19!$CP$14</f>
        <v>0</v>
      </c>
      <c r="BQ73" s="747">
        <f>S_19!$CQ$14</f>
        <v>0</v>
      </c>
      <c r="BR73" s="1610" t="e">
        <f>BP73/Betrieb!$E$23</f>
        <v>#DIV/0!</v>
      </c>
      <c r="BS73" s="1610" t="e">
        <f>BQ73/Betrieb!$E$24</f>
        <v>#DIV/0!</v>
      </c>
      <c r="BT73" s="1615" t="str">
        <f t="shared" si="54"/>
        <v/>
      </c>
      <c r="BU73" s="1615" t="str">
        <f t="shared" si="55"/>
        <v/>
      </c>
      <c r="BV73" s="2569">
        <f>IF(AND(S_19!$G$8="JA",S_19!$K$8="JA"),S_19!$U$14,0)</f>
        <v>0</v>
      </c>
      <c r="BW73" s="2570">
        <f>IF(AND(S_19!$G$8="JA",S_19!$K$8="JA"),S_19!$V$14,0)</f>
        <v>0</v>
      </c>
      <c r="BX73" s="2566" t="str">
        <f t="shared" ref="BX73" si="68">IF(BV73="-",0-BW73,"")</f>
        <v/>
      </c>
      <c r="BY73" s="2566" t="str">
        <f t="shared" ref="BY73" si="69">IF(BV73="+",0+BW73,"")</f>
        <v/>
      </c>
    </row>
    <row r="74" spans="3:77" ht="20.25" hidden="1" customHeight="1">
      <c r="C74" s="1654" t="str">
        <f t="array" ref="C74">IFERROR(IF(ROW($C$1)&gt;COUNTA($X$37:$X$96),"",INDEX($X:$X,SMALL(IF(X$37:X$96&lt;&gt;"",ROW($37:$96)),ROW(A38)))),"")</f>
        <v/>
      </c>
      <c r="D74" s="1656" t="str">
        <f t="array" ref="D74">IFERROR(IF(ROW($D$1)&gt;COUNTA($V$37:$V$96),"",INDEX($V:$V,SMALL(IF(V$37:V$96&lt;&gt;"",ROW($37:$96)),ROW(D38)))),"")</f>
        <v/>
      </c>
      <c r="E74" s="1652" t="str">
        <f t="array" ref="E74">IFERROR(IF(ROW($E$1)&gt;COUNTA($W$37:$W$96),"",INDEX($W:$W,SMALL(IF(W$37:W$96&lt;&gt;"",ROW($37:$96)),ROW(E38)))),"")</f>
        <v/>
      </c>
      <c r="F74" s="1655" t="str">
        <f t="array" ref="F74">IFERROR(IF(ROW($F$1)&gt;COUNTA($AA$37:$AA$96),"",INDEX($AA:$AA,SMALL(IF(AA$37:AA$96&lt;&gt;"",ROW($37:$96)),ROW(F38)))),"")</f>
        <v/>
      </c>
      <c r="G74" s="1651" t="str">
        <f t="array" ref="G74">IFERROR(IF(ROW($G$1)&gt;COUNTA($AC$37:$AC$96),"",INDEX($AC:$AC,SMALL(IF(AC$37:AC$96&lt;&gt;"",ROW($37:$96)),ROW(G38)))),"")</f>
        <v/>
      </c>
      <c r="H74" s="1652" t="str">
        <f t="array" ref="H74">IFERROR(IF(ROW($H$1)&gt;COUNTA($BT$37:$BT$96),"",INDEX($BT:$BT,SMALL(IF(BT$37:BT$96&lt;&gt;"",ROW($37:$96)),ROW(H38)))),"")</f>
        <v/>
      </c>
      <c r="I74" s="1653" t="str">
        <f t="array" ref="I74">IFERROR(IF(ROW($I$1)&gt;COUNTA($AZ$37:$AZ$96),"",INDEX($AZ:$AZ,SMALL(IF(AZ$37:AZ$96&lt;&gt;"",ROW($37:$96)),ROW(I38)))),"")</f>
        <v/>
      </c>
      <c r="J74" s="1652" t="str">
        <f t="array" ref="J74">IFERROR(IF(ROW($J$1)&gt;COUNTA($BA$37:$BA$96),"",INDEX($BA:$BA,SMALL(IF(BA$37:BA$96&lt;&gt;"",ROW($37:$96)),ROW(J38)))),"")</f>
        <v/>
      </c>
      <c r="K74" s="1649" t="str">
        <f t="array" ref="K74">IFERROR(IF(ROW($K$1)&gt;COUNTA($BB$37:$BB$96),"",INDEX($BB:$BB,SMALL(IF(BB$37:BB$96&lt;&gt;"",ROW($37:$96)),ROW(K38)))),"")</f>
        <v/>
      </c>
      <c r="M74" s="1652" t="str">
        <f t="array" ref="M74">IFERROR(IF(ROW($M$1)&gt;COUNTA($BU$37:$BU$96),"",INDEX($BU:$BU,SMALL(IF(BU$37:BU$96&lt;&gt;"",ROW($37:$96)),ROW(M38)))),"")</f>
        <v/>
      </c>
      <c r="N74" s="1653" t="str">
        <f t="array" ref="N74">IFERROR(IF(ROW($N$1)&gt;COUNTA($BJ$37:$BJ$96),"",INDEX($BJ:$BJ,SMALL(IF(BJ$37:BJ$96&lt;&gt;"",ROW($37:$96)),ROW(N38)))),"")</f>
        <v/>
      </c>
      <c r="O74" s="1652" t="str">
        <f t="array" ref="O74">IFERROR(IF(ROW($O$1)&gt;COUNTA($BK$37:$BK$96),"",INDEX($BK:$BK,SMALL(IF(BK$37:BK$96&lt;&gt;"",ROW($37:$96)),ROW(O38)))),"")</f>
        <v/>
      </c>
      <c r="P74" s="1649" t="str">
        <f t="array" ref="P74">IFERROR(IF(ROW($P$1)&gt;COUNTA($BL$37:$BL$96),"",INDEX($BL:$BL,SMALL(IF(BL$37:BL$96&lt;&gt;"",ROW($37:$96)),ROW(P38)))),"")</f>
        <v/>
      </c>
      <c r="S74" s="1775"/>
      <c r="T74" s="1775"/>
      <c r="U74" s="1608" t="str">
        <f>IF(AND(S_19!$G$8="ja",S_19!$K$8="ja"),S_19!$C$2,"")</f>
        <v/>
      </c>
      <c r="V74" s="747" t="str">
        <f t="shared" si="17"/>
        <v/>
      </c>
      <c r="W74" s="1106" t="str">
        <f>IF($U74="","",S_19!$B$15)</f>
        <v/>
      </c>
      <c r="X74" s="1608" t="str">
        <f>IF($U74="","",S_19!$A$15)</f>
        <v/>
      </c>
      <c r="Y74" s="2604"/>
      <c r="Z74" s="1608" t="str">
        <f>IF($U74="","",S_19!$C$15)</f>
        <v/>
      </c>
      <c r="AA74" s="747" t="str">
        <f t="shared" si="18"/>
        <v/>
      </c>
      <c r="AB74" s="1608" t="str">
        <f>IF($U74="","",S_19!$CM$15)</f>
        <v/>
      </c>
      <c r="AC74" s="747" t="str">
        <f t="shared" si="19"/>
        <v/>
      </c>
      <c r="AQ74" s="1608">
        <f>IF(S_19!$DF$15&gt;0,1,0)</f>
        <v>0</v>
      </c>
      <c r="AR74" s="1608">
        <f>IF(S_19!$DG$15&gt;0,1,0)</f>
        <v>0</v>
      </c>
      <c r="AS74" s="1608">
        <f>IF(S_19!$DH$15&gt;0,1,0)</f>
        <v>0</v>
      </c>
      <c r="AT74" s="1608">
        <f>IF(S_19!$DI$15&gt;0,1,0)</f>
        <v>0</v>
      </c>
      <c r="AU74" s="1608">
        <f>IF(S_19!$DJ$15&gt;0,1,0)</f>
        <v>0</v>
      </c>
      <c r="AV74" s="1608">
        <f>IF(S_19!$DK$15&gt;0,1,0)</f>
        <v>0</v>
      </c>
      <c r="AW74" s="1608">
        <f t="shared" si="22"/>
        <v>0</v>
      </c>
      <c r="AX74" s="1608" t="str">
        <f t="shared" si="46"/>
        <v/>
      </c>
      <c r="AY74" s="1106" t="str">
        <f t="shared" si="62"/>
        <v/>
      </c>
      <c r="AZ74" s="1106" t="str">
        <f t="shared" si="48"/>
        <v/>
      </c>
      <c r="BA74" s="1793" t="str">
        <f t="shared" si="49"/>
        <v/>
      </c>
      <c r="BB74" s="1793" t="str">
        <f t="shared" si="50"/>
        <v/>
      </c>
      <c r="BC74" s="1608">
        <f>IF(S_19!$DN$15&gt;0,1,0)</f>
        <v>0</v>
      </c>
      <c r="BD74" s="1608">
        <f>IF(S_19!$DO$15&gt;0,1,0)</f>
        <v>0</v>
      </c>
      <c r="BE74" s="1608">
        <f>IF(S_19!$DP$15&gt;0,1,0)</f>
        <v>0</v>
      </c>
      <c r="BF74" s="1608">
        <f>IF(S_19!$DQ$15&gt;0,1,0)</f>
        <v>0</v>
      </c>
      <c r="BG74" s="1608">
        <f>IF(S_19!$DR$15&gt;0,1,0)</f>
        <v>0</v>
      </c>
      <c r="BH74" s="1608">
        <f>IF(S_19!$DS$15&gt;0,1,0)</f>
        <v>0</v>
      </c>
      <c r="BI74" s="1608">
        <f t="shared" si="23"/>
        <v>0</v>
      </c>
      <c r="BJ74" s="1106" t="str">
        <f t="shared" si="63"/>
        <v/>
      </c>
      <c r="BK74" s="1793" t="str">
        <f t="shared" si="52"/>
        <v/>
      </c>
      <c r="BL74" s="1793" t="str">
        <f t="shared" si="53"/>
        <v/>
      </c>
      <c r="BN74" s="747">
        <f>S_19!$DE$15</f>
        <v>0</v>
      </c>
      <c r="BO74" s="747">
        <f>S_19!$DM$15</f>
        <v>0</v>
      </c>
      <c r="BP74" s="747">
        <f>S_19!$CP$15</f>
        <v>0</v>
      </c>
      <c r="BQ74" s="747">
        <f>S_19!$CQ$15</f>
        <v>0</v>
      </c>
      <c r="BR74" s="1610" t="e">
        <f>BP74/Betrieb!$E$23</f>
        <v>#DIV/0!</v>
      </c>
      <c r="BS74" s="1610" t="e">
        <f>BQ74/Betrieb!$E$24</f>
        <v>#DIV/0!</v>
      </c>
      <c r="BT74" s="1615" t="str">
        <f t="shared" si="54"/>
        <v/>
      </c>
      <c r="BU74" s="1615" t="str">
        <f t="shared" si="55"/>
        <v/>
      </c>
      <c r="BV74" s="2569"/>
      <c r="BW74" s="2570"/>
      <c r="BX74" s="2566"/>
      <c r="BY74" s="2566"/>
    </row>
    <row r="75" spans="3:77" ht="20.25" hidden="1" customHeight="1">
      <c r="C75" s="1654" t="str">
        <f t="array" ref="C75">IFERROR(IF(ROW($C$1)&gt;COUNTA($X$37:$X$96),"",INDEX($X:$X,SMALL(IF(X$37:X$96&lt;&gt;"",ROW($37:$96)),ROW(A39)))),"")</f>
        <v/>
      </c>
      <c r="D75" s="1656" t="str">
        <f t="array" ref="D75">IFERROR(IF(ROW($D$1)&gt;COUNTA($V$37:$V$96),"",INDEX($V:$V,SMALL(IF(V$37:V$96&lt;&gt;"",ROW($37:$96)),ROW(D39)))),"")</f>
        <v/>
      </c>
      <c r="E75" s="1652" t="str">
        <f t="array" ref="E75">IFERROR(IF(ROW($E$1)&gt;COUNTA($W$37:$W$96),"",INDEX($W:$W,SMALL(IF(W$37:W$96&lt;&gt;"",ROW($37:$96)),ROW(E39)))),"")</f>
        <v/>
      </c>
      <c r="F75" s="1655" t="str">
        <f t="array" ref="F75">IFERROR(IF(ROW($F$1)&gt;COUNTA($AA$37:$AA$96),"",INDEX($AA:$AA,SMALL(IF(AA$37:AA$96&lt;&gt;"",ROW($37:$96)),ROW(F39)))),"")</f>
        <v/>
      </c>
      <c r="G75" s="1651" t="str">
        <f t="array" ref="G75">IFERROR(IF(ROW($G$1)&gt;COUNTA($AC$37:$AC$96),"",INDEX($AC:$AC,SMALL(IF(AC$37:AC$96&lt;&gt;"",ROW($37:$96)),ROW(G39)))),"")</f>
        <v/>
      </c>
      <c r="H75" s="1652" t="str">
        <f t="array" ref="H75">IFERROR(IF(ROW($H$1)&gt;COUNTA($BT$37:$BT$96),"",INDEX($BT:$BT,SMALL(IF(BT$37:BT$96&lt;&gt;"",ROW($37:$96)),ROW(H39)))),"")</f>
        <v/>
      </c>
      <c r="I75" s="1653" t="str">
        <f t="array" ref="I75">IFERROR(IF(ROW($I$1)&gt;COUNTA($AZ$37:$AZ$96),"",INDEX($AZ:$AZ,SMALL(IF(AZ$37:AZ$96&lt;&gt;"",ROW($37:$96)),ROW(I39)))),"")</f>
        <v/>
      </c>
      <c r="J75" s="1652" t="str">
        <f t="array" ref="J75">IFERROR(IF(ROW($J$1)&gt;COUNTA($BA$37:$BA$96),"",INDEX($BA:$BA,SMALL(IF(BA$37:BA$96&lt;&gt;"",ROW($37:$96)),ROW(J39)))),"")</f>
        <v/>
      </c>
      <c r="K75" s="1649" t="str">
        <f t="array" ref="K75">IFERROR(IF(ROW($K$1)&gt;COUNTA($BB$37:$BB$96),"",INDEX($BB:$BB,SMALL(IF(BB$37:BB$96&lt;&gt;"",ROW($37:$96)),ROW(K39)))),"")</f>
        <v/>
      </c>
      <c r="M75" s="1652" t="str">
        <f t="array" ref="M75">IFERROR(IF(ROW($M$1)&gt;COUNTA($BU$37:$BU$96),"",INDEX($BU:$BU,SMALL(IF(BU$37:BU$96&lt;&gt;"",ROW($37:$96)),ROW(M39)))),"")</f>
        <v/>
      </c>
      <c r="N75" s="1653" t="str">
        <f t="array" ref="N75">IFERROR(IF(ROW($N$1)&gt;COUNTA($BJ$37:$BJ$96),"",INDEX($BJ:$BJ,SMALL(IF(BJ$37:BJ$96&lt;&gt;"",ROW($37:$96)),ROW(N39)))),"")</f>
        <v/>
      </c>
      <c r="O75" s="1652" t="str">
        <f t="array" ref="O75">IFERROR(IF(ROW($O$1)&gt;COUNTA($BK$37:$BK$96),"",INDEX($BK:$BK,SMALL(IF(BK$37:BK$96&lt;&gt;"",ROW($37:$96)),ROW(O39)))),"")</f>
        <v/>
      </c>
      <c r="P75" s="1649" t="str">
        <f t="array" ref="P75">IFERROR(IF(ROW($P$1)&gt;COUNTA($BL$37:$BL$96),"",INDEX($BL:$BL,SMALL(IF(BL$37:BL$96&lt;&gt;"",ROW($37:$96)),ROW(P39)))),"")</f>
        <v/>
      </c>
      <c r="S75" s="1775"/>
      <c r="T75" s="1775"/>
      <c r="U75" s="1608" t="str">
        <f>IF(AND(S_20!$G$8="ja",S_20!$K$8="ja"),S_20!$C$2,"")</f>
        <v/>
      </c>
      <c r="V75" s="747" t="str">
        <f t="shared" si="17"/>
        <v/>
      </c>
      <c r="W75" s="1106" t="str">
        <f>IF($U75="","",S_20!$B$14)</f>
        <v/>
      </c>
      <c r="X75" s="1608" t="str">
        <f>IF($U75="","",S_20!$A$14)</f>
        <v/>
      </c>
      <c r="Y75" s="2604" t="str">
        <f>IF($U75="","",Grünland!B24)</f>
        <v/>
      </c>
      <c r="Z75" s="1608" t="str">
        <f>IF($U75="","",S_20!$C$14)</f>
        <v/>
      </c>
      <c r="AA75" s="747" t="str">
        <f t="shared" si="18"/>
        <v/>
      </c>
      <c r="AB75" s="1608" t="str">
        <f>IF($U75="","",S_20!$CM$14)</f>
        <v/>
      </c>
      <c r="AC75" s="747" t="str">
        <f t="shared" si="19"/>
        <v/>
      </c>
      <c r="AQ75" s="1608">
        <f>IF(S_20!$DF$14&gt;0,1,0)</f>
        <v>0</v>
      </c>
      <c r="AR75" s="1608">
        <f>IF(S_20!$DG$14&gt;0,1,0)</f>
        <v>0</v>
      </c>
      <c r="AS75" s="1608">
        <f>IF(S_20!$DH$14&gt;0,1,0)</f>
        <v>0</v>
      </c>
      <c r="AT75" s="1608">
        <f>IF(S_20!$DI$14&gt;0,1,0)</f>
        <v>0</v>
      </c>
      <c r="AU75" s="1608">
        <f>IF(S_20!$DJ$14&gt;0,1,0)</f>
        <v>0</v>
      </c>
      <c r="AV75" s="1608">
        <f>IF(S_20!$DK$14&gt;0,1,0)</f>
        <v>0</v>
      </c>
      <c r="AW75" s="1608">
        <f t="shared" si="22"/>
        <v>0</v>
      </c>
      <c r="AX75" s="1608" t="str">
        <f t="shared" si="46"/>
        <v/>
      </c>
      <c r="AY75" s="1106" t="str">
        <f t="shared" si="62"/>
        <v/>
      </c>
      <c r="AZ75" s="1106" t="str">
        <f t="shared" si="48"/>
        <v/>
      </c>
      <c r="BA75" s="1793" t="str">
        <f t="shared" si="49"/>
        <v/>
      </c>
      <c r="BB75" s="1793" t="str">
        <f t="shared" si="50"/>
        <v/>
      </c>
      <c r="BC75" s="1608">
        <f>IF(S_20!$DN$14&gt;0,1,0)</f>
        <v>0</v>
      </c>
      <c r="BD75" s="1608">
        <f>IF(S_20!$DO$14&gt;0,1,0)</f>
        <v>0</v>
      </c>
      <c r="BE75" s="1608">
        <f>IF(S_20!$DP$14&gt;0,1,0)</f>
        <v>0</v>
      </c>
      <c r="BF75" s="1608">
        <f>IF(S_20!$DQ$14&gt;0,1,0)</f>
        <v>0</v>
      </c>
      <c r="BG75" s="1608">
        <f>IF(S_20!$DR$14&gt;0,1,0)</f>
        <v>0</v>
      </c>
      <c r="BH75" s="1608">
        <f>IF(S_20!$DS$14&gt;0,1,0)</f>
        <v>0</v>
      </c>
      <c r="BI75" s="1608">
        <f t="shared" si="23"/>
        <v>0</v>
      </c>
      <c r="BJ75" s="1106" t="str">
        <f t="shared" si="63"/>
        <v/>
      </c>
      <c r="BK75" s="1793" t="str">
        <f t="shared" si="52"/>
        <v/>
      </c>
      <c r="BL75" s="1793" t="str">
        <f t="shared" si="53"/>
        <v/>
      </c>
      <c r="BN75" s="747">
        <f>S_20!$DE$14</f>
        <v>0</v>
      </c>
      <c r="BO75" s="747">
        <f>S_20!$DM$14</f>
        <v>0</v>
      </c>
      <c r="BP75" s="747">
        <f>S_20!$CP$14</f>
        <v>0</v>
      </c>
      <c r="BQ75" s="747">
        <f>S_20!$CQ$14</f>
        <v>0</v>
      </c>
      <c r="BR75" s="1610" t="e">
        <f>BP75/Betrieb!$E$23</f>
        <v>#DIV/0!</v>
      </c>
      <c r="BS75" s="1610" t="e">
        <f>BQ75/Betrieb!$E$24</f>
        <v>#DIV/0!</v>
      </c>
      <c r="BT75" s="1615" t="str">
        <f t="shared" si="54"/>
        <v/>
      </c>
      <c r="BU75" s="1615" t="str">
        <f t="shared" si="55"/>
        <v/>
      </c>
      <c r="BV75" s="2569">
        <f>IF(AND(S_20!$G$8="JA",S_20!$K$8="JA"),S_20!$U$14,0)</f>
        <v>0</v>
      </c>
      <c r="BW75" s="2570">
        <f>IF(AND(S_20!$G$8="JA",S_20!$K$8="JA"),S_20!$V$14,0)</f>
        <v>0</v>
      </c>
      <c r="BX75" s="2566" t="str">
        <f t="shared" ref="BX75" si="70">IF(BV75="-",0-BW75,"")</f>
        <v/>
      </c>
      <c r="BY75" s="2566" t="str">
        <f t="shared" ref="BY75" si="71">IF(BV75="+",0+BW75,"")</f>
        <v/>
      </c>
    </row>
    <row r="76" spans="3:77" ht="20.25" hidden="1" customHeight="1">
      <c r="C76" s="1654" t="str">
        <f t="array" ref="C76">IFERROR(IF(ROW($C$1)&gt;COUNTA($X$37:$X$96),"",INDEX($X:$X,SMALL(IF(X$37:X$96&lt;&gt;"",ROW($37:$96)),ROW(A40)))),"")</f>
        <v/>
      </c>
      <c r="D76" s="1656" t="str">
        <f t="array" ref="D76">IFERROR(IF(ROW($D$1)&gt;COUNTA($V$37:$V$96),"",INDEX($V:$V,SMALL(IF(V$37:V$96&lt;&gt;"",ROW($37:$96)),ROW(D40)))),"")</f>
        <v/>
      </c>
      <c r="E76" s="1652" t="str">
        <f t="array" ref="E76">IFERROR(IF(ROW($E$1)&gt;COUNTA($W$37:$W$96),"",INDEX($W:$W,SMALL(IF(W$37:W$96&lt;&gt;"",ROW($37:$96)),ROW(E40)))),"")</f>
        <v/>
      </c>
      <c r="F76" s="1655" t="str">
        <f t="array" ref="F76">IFERROR(IF(ROW($F$1)&gt;COUNTA($AA$37:$AA$96),"",INDEX($AA:$AA,SMALL(IF(AA$37:AA$96&lt;&gt;"",ROW($37:$96)),ROW(F40)))),"")</f>
        <v/>
      </c>
      <c r="G76" s="1651" t="str">
        <f t="array" ref="G76">IFERROR(IF(ROW($G$1)&gt;COUNTA($AC$37:$AC$96),"",INDEX($AC:$AC,SMALL(IF(AC$37:AC$96&lt;&gt;"",ROW($37:$96)),ROW(G40)))),"")</f>
        <v/>
      </c>
      <c r="H76" s="1652" t="str">
        <f t="array" ref="H76">IFERROR(IF(ROW($H$1)&gt;COUNTA($BT$37:$BT$96),"",INDEX($BT:$BT,SMALL(IF(BT$37:BT$96&lt;&gt;"",ROW($37:$96)),ROW(H40)))),"")</f>
        <v/>
      </c>
      <c r="I76" s="1653" t="str">
        <f t="array" ref="I76">IFERROR(IF(ROW($I$1)&gt;COUNTA($AZ$37:$AZ$96),"",INDEX($AZ:$AZ,SMALL(IF(AZ$37:AZ$96&lt;&gt;"",ROW($37:$96)),ROW(I40)))),"")</f>
        <v/>
      </c>
      <c r="J76" s="1652" t="str">
        <f t="array" ref="J76">IFERROR(IF(ROW($J$1)&gt;COUNTA($BA$37:$BA$96),"",INDEX($BA:$BA,SMALL(IF(BA$37:BA$96&lt;&gt;"",ROW($37:$96)),ROW(J40)))),"")</f>
        <v/>
      </c>
      <c r="K76" s="1649" t="str">
        <f t="array" ref="K76">IFERROR(IF(ROW($K$1)&gt;COUNTA($BB$37:$BB$96),"",INDEX($BB:$BB,SMALL(IF(BB$37:BB$96&lt;&gt;"",ROW($37:$96)),ROW(K40)))),"")</f>
        <v/>
      </c>
      <c r="M76" s="1652" t="str">
        <f t="array" ref="M76">IFERROR(IF(ROW($M$1)&gt;COUNTA($BU$37:$BU$96),"",INDEX($BU:$BU,SMALL(IF(BU$37:BU$96&lt;&gt;"",ROW($37:$96)),ROW(M40)))),"")</f>
        <v/>
      </c>
      <c r="N76" s="1653" t="str">
        <f t="array" ref="N76">IFERROR(IF(ROW($N$1)&gt;COUNTA($BJ$37:$BJ$96),"",INDEX($BJ:$BJ,SMALL(IF(BJ$37:BJ$96&lt;&gt;"",ROW($37:$96)),ROW(N40)))),"")</f>
        <v/>
      </c>
      <c r="O76" s="1652" t="str">
        <f t="array" ref="O76">IFERROR(IF(ROW($O$1)&gt;COUNTA($BK$37:$BK$96),"",INDEX($BK:$BK,SMALL(IF(BK$37:BK$96&lt;&gt;"",ROW($37:$96)),ROW(O40)))),"")</f>
        <v/>
      </c>
      <c r="P76" s="1649" t="str">
        <f t="array" ref="P76">IFERROR(IF(ROW($P$1)&gt;COUNTA($BL$37:$BL$96),"",INDEX($BL:$BL,SMALL(IF(BL$37:BL$96&lt;&gt;"",ROW($37:$96)),ROW(P40)))),"")</f>
        <v/>
      </c>
      <c r="S76" s="1775"/>
      <c r="T76" s="1775"/>
      <c r="U76" s="1608" t="str">
        <f>IF(AND(S_20!$G$8="ja",S_20!$K$8="ja"),S_20!$C$2,"")</f>
        <v/>
      </c>
      <c r="V76" s="747" t="str">
        <f t="shared" si="17"/>
        <v/>
      </c>
      <c r="W76" s="1106" t="str">
        <f>IF($U76="","",S_20!$B$15)</f>
        <v/>
      </c>
      <c r="X76" s="1608" t="str">
        <f>IF($U76="","",S_20!$A$15)</f>
        <v/>
      </c>
      <c r="Y76" s="2604"/>
      <c r="Z76" s="1608" t="str">
        <f>IF($U76="","",S_20!$C$15)</f>
        <v/>
      </c>
      <c r="AA76" s="747" t="str">
        <f t="shared" si="18"/>
        <v/>
      </c>
      <c r="AB76" s="1608" t="str">
        <f>IF($U76="","",S_20!$CM$15)</f>
        <v/>
      </c>
      <c r="AC76" s="747" t="str">
        <f t="shared" si="19"/>
        <v/>
      </c>
      <c r="AQ76" s="1608">
        <f>IF(S_20!$DF$15&gt;0,1,0)</f>
        <v>0</v>
      </c>
      <c r="AR76" s="1608">
        <f>IF(S_20!$DG$15&gt;0,1,0)</f>
        <v>0</v>
      </c>
      <c r="AS76" s="1608">
        <f>IF(S_20!$DH$15&gt;0,1,0)</f>
        <v>0</v>
      </c>
      <c r="AT76" s="1608">
        <f>IF(S_20!$DI$15&gt;0,1,0)</f>
        <v>0</v>
      </c>
      <c r="AU76" s="1608">
        <f>IF(S_20!$DJ$15&gt;0,1,0)</f>
        <v>0</v>
      </c>
      <c r="AV76" s="1608">
        <f>IF(S_20!$DK$15&gt;0,1,0)</f>
        <v>0</v>
      </c>
      <c r="AW76" s="1608">
        <f t="shared" si="22"/>
        <v>0</v>
      </c>
      <c r="AX76" s="1608" t="str">
        <f t="shared" si="46"/>
        <v/>
      </c>
      <c r="AY76" s="1106" t="str">
        <f t="shared" si="62"/>
        <v/>
      </c>
      <c r="AZ76" s="1106" t="str">
        <f t="shared" si="48"/>
        <v/>
      </c>
      <c r="BA76" s="1793" t="str">
        <f t="shared" si="49"/>
        <v/>
      </c>
      <c r="BB76" s="1793" t="str">
        <f t="shared" si="50"/>
        <v/>
      </c>
      <c r="BC76" s="1608">
        <f>IF(S_20!$DN$15&gt;0,1,0)</f>
        <v>0</v>
      </c>
      <c r="BD76" s="1608">
        <f>IF(S_20!$DO$15&gt;0,1,0)</f>
        <v>0</v>
      </c>
      <c r="BE76" s="1608">
        <f>IF(S_20!$DP$15&gt;0,1,0)</f>
        <v>0</v>
      </c>
      <c r="BF76" s="1608">
        <f>IF(S_20!$DQ$15&gt;0,1,0)</f>
        <v>0</v>
      </c>
      <c r="BG76" s="1608">
        <f>IF(S_20!$DR$15&gt;0,1,0)</f>
        <v>0</v>
      </c>
      <c r="BH76" s="1608">
        <f>IF(S_20!$DS$15&gt;0,1,0)</f>
        <v>0</v>
      </c>
      <c r="BI76" s="1608">
        <f t="shared" si="23"/>
        <v>0</v>
      </c>
      <c r="BJ76" s="1106" t="str">
        <f t="shared" si="63"/>
        <v/>
      </c>
      <c r="BK76" s="1793" t="str">
        <f t="shared" si="52"/>
        <v/>
      </c>
      <c r="BL76" s="1793" t="str">
        <f t="shared" si="53"/>
        <v/>
      </c>
      <c r="BN76" s="747">
        <f>S_20!$DE$15</f>
        <v>0</v>
      </c>
      <c r="BO76" s="747">
        <f>S_20!$DM$15</f>
        <v>0</v>
      </c>
      <c r="BP76" s="747">
        <f>S_20!$CP$15</f>
        <v>0</v>
      </c>
      <c r="BQ76" s="747">
        <f>S_20!$CQ$15</f>
        <v>0</v>
      </c>
      <c r="BR76" s="1610" t="e">
        <f>BP76/Betrieb!$E$23</f>
        <v>#DIV/0!</v>
      </c>
      <c r="BS76" s="1610" t="e">
        <f>BQ76/Betrieb!$E$24</f>
        <v>#DIV/0!</v>
      </c>
      <c r="BT76" s="1615" t="str">
        <f t="shared" si="54"/>
        <v/>
      </c>
      <c r="BU76" s="1615" t="str">
        <f t="shared" si="55"/>
        <v/>
      </c>
      <c r="BV76" s="2569"/>
      <c r="BW76" s="2570"/>
      <c r="BX76" s="2566"/>
      <c r="BY76" s="2566"/>
    </row>
    <row r="77" spans="3:77" ht="20.25" hidden="1" customHeight="1">
      <c r="C77" s="1654" t="str">
        <f t="array" ref="C77">IFERROR(IF(ROW($C$1)&gt;COUNTA($X$37:$X$96),"",INDEX($X:$X,SMALL(IF(X$37:X$96&lt;&gt;"",ROW($37:$96)),ROW(A41)))),"")</f>
        <v/>
      </c>
      <c r="D77" s="1656" t="str">
        <f t="array" ref="D77">IFERROR(IF(ROW($D$1)&gt;COUNTA($V$37:$V$96),"",INDEX($V:$V,SMALL(IF(V$37:V$96&lt;&gt;"",ROW($37:$96)),ROW(D41)))),"")</f>
        <v/>
      </c>
      <c r="E77" s="1652" t="str">
        <f t="array" ref="E77">IFERROR(IF(ROW($E$1)&gt;COUNTA($W$37:$W$96),"",INDEX($W:$W,SMALL(IF(W$37:W$96&lt;&gt;"",ROW($37:$96)),ROW(E41)))),"")</f>
        <v/>
      </c>
      <c r="F77" s="1655" t="str">
        <f t="array" ref="F77">IFERROR(IF(ROW($F$1)&gt;COUNTA($AA$37:$AA$96),"",INDEX($AA:$AA,SMALL(IF(AA$37:AA$96&lt;&gt;"",ROW($37:$96)),ROW(F41)))),"")</f>
        <v/>
      </c>
      <c r="G77" s="1651" t="str">
        <f t="array" ref="G77">IFERROR(IF(ROW($G$1)&gt;COUNTA($AC$37:$AC$96),"",INDEX($AC:$AC,SMALL(IF(AC$37:AC$96&lt;&gt;"",ROW($37:$96)),ROW(G41)))),"")</f>
        <v/>
      </c>
      <c r="H77" s="1652" t="str">
        <f t="array" ref="H77">IFERROR(IF(ROW($H$1)&gt;COUNTA($BT$37:$BT$96),"",INDEX($BT:$BT,SMALL(IF(BT$37:BT$96&lt;&gt;"",ROW($37:$96)),ROW(H41)))),"")</f>
        <v/>
      </c>
      <c r="I77" s="1653" t="str">
        <f t="array" ref="I77">IFERROR(IF(ROW($I$1)&gt;COUNTA($AZ$37:$AZ$96),"",INDEX($AZ:$AZ,SMALL(IF(AZ$37:AZ$96&lt;&gt;"",ROW($37:$96)),ROW(I41)))),"")</f>
        <v/>
      </c>
      <c r="J77" s="1652" t="str">
        <f t="array" ref="J77">IFERROR(IF(ROW($J$1)&gt;COUNTA($BA$37:$BA$96),"",INDEX($BA:$BA,SMALL(IF(BA$37:BA$96&lt;&gt;"",ROW($37:$96)),ROW(J41)))),"")</f>
        <v/>
      </c>
      <c r="K77" s="1649" t="str">
        <f t="array" ref="K77">IFERROR(IF(ROW($K$1)&gt;COUNTA($BB$37:$BB$96),"",INDEX($BB:$BB,SMALL(IF(BB$37:BB$96&lt;&gt;"",ROW($37:$96)),ROW(K41)))),"")</f>
        <v/>
      </c>
      <c r="M77" s="1652" t="str">
        <f t="array" ref="M77">IFERROR(IF(ROW($M$1)&gt;COUNTA($BU$37:$BU$96),"",INDEX($BU:$BU,SMALL(IF(BU$37:BU$96&lt;&gt;"",ROW($37:$96)),ROW(M41)))),"")</f>
        <v/>
      </c>
      <c r="N77" s="1653" t="str">
        <f t="array" ref="N77">IFERROR(IF(ROW($N$1)&gt;COUNTA($BJ$37:$BJ$96),"",INDEX($BJ:$BJ,SMALL(IF(BJ$37:BJ$96&lt;&gt;"",ROW($37:$96)),ROW(N41)))),"")</f>
        <v/>
      </c>
      <c r="O77" s="1652" t="str">
        <f t="array" ref="O77">IFERROR(IF(ROW($O$1)&gt;COUNTA($BK$37:$BK$96),"",INDEX($BK:$BK,SMALL(IF(BK$37:BK$96&lt;&gt;"",ROW($37:$96)),ROW(O41)))),"")</f>
        <v/>
      </c>
      <c r="P77" s="1649" t="str">
        <f t="array" ref="P77">IFERROR(IF(ROW($P$1)&gt;COUNTA($BL$37:$BL$96),"",INDEX($BL:$BL,SMALL(IF(BL$37:BL$96&lt;&gt;"",ROW($37:$96)),ROW(P41)))),"")</f>
        <v/>
      </c>
      <c r="S77" s="1775"/>
      <c r="T77" s="1775"/>
      <c r="U77" s="1608" t="str">
        <f>IF(AND(S_21!$G$8="ja",S_21!$K$8="ja"),S_21!$C$2,"")</f>
        <v/>
      </c>
      <c r="V77" s="747" t="str">
        <f t="shared" si="17"/>
        <v/>
      </c>
      <c r="W77" s="1106" t="str">
        <f>IF($U77="","",S_21!$B$14)</f>
        <v/>
      </c>
      <c r="X77" s="1608" t="str">
        <f>IF($U77="","",S_21!$A$14)</f>
        <v/>
      </c>
      <c r="Y77" s="2604" t="str">
        <f>IF($U77="","",Grünland!B25)</f>
        <v/>
      </c>
      <c r="Z77" s="1608" t="str">
        <f>IF($U77="","",S_21!$C$14)</f>
        <v/>
      </c>
      <c r="AA77" s="747" t="str">
        <f t="shared" si="18"/>
        <v/>
      </c>
      <c r="AB77" s="1608" t="str">
        <f>IF($U77="","",S_21!$CM$14)</f>
        <v/>
      </c>
      <c r="AC77" s="747" t="str">
        <f t="shared" si="19"/>
        <v/>
      </c>
      <c r="AQ77" s="1608">
        <f>IF(S_21!$DF$14&gt;0,1,0)</f>
        <v>0</v>
      </c>
      <c r="AR77" s="1608">
        <f>IF(S_21!$DG$14&gt;0,1,0)</f>
        <v>0</v>
      </c>
      <c r="AS77" s="1608">
        <f>IF(S_21!$DH$14&gt;0,1,0)</f>
        <v>0</v>
      </c>
      <c r="AT77" s="1608">
        <f>IF(S_21!$DI$14&gt;0,1,0)</f>
        <v>0</v>
      </c>
      <c r="AU77" s="1608">
        <f>IF(S_21!$DJ$14&gt;0,1,0)</f>
        <v>0</v>
      </c>
      <c r="AV77" s="1608">
        <f>IF(S_21!$DK$14&gt;0,1,0)</f>
        <v>0</v>
      </c>
      <c r="AW77" s="1608">
        <f t="shared" si="22"/>
        <v>0</v>
      </c>
      <c r="AX77" s="1608" t="str">
        <f t="shared" si="46"/>
        <v/>
      </c>
      <c r="AY77" s="1106" t="str">
        <f t="shared" si="62"/>
        <v/>
      </c>
      <c r="AZ77" s="1106" t="str">
        <f t="shared" si="48"/>
        <v/>
      </c>
      <c r="BA77" s="1793" t="str">
        <f t="shared" si="49"/>
        <v/>
      </c>
      <c r="BB77" s="1793" t="str">
        <f t="shared" si="50"/>
        <v/>
      </c>
      <c r="BC77" s="1608">
        <f>IF(S_21!$DN$14&gt;0,1,0)</f>
        <v>0</v>
      </c>
      <c r="BD77" s="1608">
        <f>IF(S_21!$DO$14&gt;0,1,0)</f>
        <v>0</v>
      </c>
      <c r="BE77" s="1608">
        <f>IF(S_21!$DP$14&gt;0,1,0)</f>
        <v>0</v>
      </c>
      <c r="BF77" s="1608">
        <f>IF(S_21!$DQ$14&gt;0,1,0)</f>
        <v>0</v>
      </c>
      <c r="BG77" s="1608">
        <f>IF(S_21!$DR$14&gt;0,1,0)</f>
        <v>0</v>
      </c>
      <c r="BH77" s="1608">
        <f>IF(S_21!$DS$14&gt;0,1,0)</f>
        <v>0</v>
      </c>
      <c r="BI77" s="1608">
        <f t="shared" si="23"/>
        <v>0</v>
      </c>
      <c r="BJ77" s="1106" t="str">
        <f t="shared" si="63"/>
        <v/>
      </c>
      <c r="BK77" s="1793" t="str">
        <f t="shared" si="52"/>
        <v/>
      </c>
      <c r="BL77" s="1793" t="str">
        <f t="shared" si="53"/>
        <v/>
      </c>
      <c r="BN77" s="747">
        <f>S_21!$DE$14</f>
        <v>0</v>
      </c>
      <c r="BO77" s="747">
        <f>S_21!$DM$14</f>
        <v>0</v>
      </c>
      <c r="BP77" s="747">
        <f>S_21!$CP$14</f>
        <v>0</v>
      </c>
      <c r="BQ77" s="747">
        <f>S_21!$CQ$14</f>
        <v>0</v>
      </c>
      <c r="BR77" s="1610" t="e">
        <f>BP77/Betrieb!$E$23</f>
        <v>#DIV/0!</v>
      </c>
      <c r="BS77" s="1610" t="e">
        <f>BQ77/Betrieb!$E$24</f>
        <v>#DIV/0!</v>
      </c>
      <c r="BT77" s="1615" t="str">
        <f t="shared" si="54"/>
        <v/>
      </c>
      <c r="BU77" s="1615" t="str">
        <f t="shared" si="55"/>
        <v/>
      </c>
      <c r="BV77" s="2569">
        <f>IF(AND(S_21!$G$8="JA",S_21!$K$8="JA"),S_21!$U$14,0)</f>
        <v>0</v>
      </c>
      <c r="BW77" s="2570">
        <f>IF(AND(S_21!$G$8="JA",S_21!$K$8="JA"),S_21!$V$14,0)</f>
        <v>0</v>
      </c>
      <c r="BX77" s="2566" t="str">
        <f t="shared" ref="BX77" si="72">IF(BV77="-",0-BW77,"")</f>
        <v/>
      </c>
      <c r="BY77" s="2566" t="str">
        <f t="shared" ref="BY77" si="73">IF(BV77="+",0+BW77,"")</f>
        <v/>
      </c>
    </row>
    <row r="78" spans="3:77" ht="20.25" hidden="1" customHeight="1">
      <c r="C78" s="1654" t="str">
        <f t="array" ref="C78">IFERROR(IF(ROW($C$1)&gt;COUNTA($X$37:$X$96),"",INDEX($X:$X,SMALL(IF(X$37:X$96&lt;&gt;"",ROW($37:$96)),ROW(A42)))),"")</f>
        <v/>
      </c>
      <c r="D78" s="1656" t="str">
        <f t="array" ref="D78">IFERROR(IF(ROW($D$1)&gt;COUNTA($V$37:$V$96),"",INDEX($V:$V,SMALL(IF(V$37:V$96&lt;&gt;"",ROW($37:$96)),ROW(D42)))),"")</f>
        <v/>
      </c>
      <c r="E78" s="1652" t="str">
        <f t="array" ref="E78">IFERROR(IF(ROW($E$1)&gt;COUNTA($W$37:$W$96),"",INDEX($W:$W,SMALL(IF(W$37:W$96&lt;&gt;"",ROW($37:$96)),ROW(E42)))),"")</f>
        <v/>
      </c>
      <c r="F78" s="1655" t="str">
        <f t="array" ref="F78">IFERROR(IF(ROW($F$1)&gt;COUNTA($AA$37:$AA$96),"",INDEX($AA:$AA,SMALL(IF(AA$37:AA$96&lt;&gt;"",ROW($37:$96)),ROW(F42)))),"")</f>
        <v/>
      </c>
      <c r="G78" s="1651" t="str">
        <f t="array" ref="G78">IFERROR(IF(ROW($G$1)&gt;COUNTA($AC$37:$AC$96),"",INDEX($AC:$AC,SMALL(IF(AC$37:AC$96&lt;&gt;"",ROW($37:$96)),ROW(G42)))),"")</f>
        <v/>
      </c>
      <c r="H78" s="1652" t="str">
        <f t="array" ref="H78">IFERROR(IF(ROW($H$1)&gt;COUNTA($BT$37:$BT$96),"",INDEX($BT:$BT,SMALL(IF(BT$37:BT$96&lt;&gt;"",ROW($37:$96)),ROW(H42)))),"")</f>
        <v/>
      </c>
      <c r="I78" s="1653" t="str">
        <f t="array" ref="I78">IFERROR(IF(ROW($I$1)&gt;COUNTA($AZ$37:$AZ$96),"",INDEX($AZ:$AZ,SMALL(IF(AZ$37:AZ$96&lt;&gt;"",ROW($37:$96)),ROW(I42)))),"")</f>
        <v/>
      </c>
      <c r="J78" s="1652" t="str">
        <f t="array" ref="J78">IFERROR(IF(ROW($J$1)&gt;COUNTA($BA$37:$BA$96),"",INDEX($BA:$BA,SMALL(IF(BA$37:BA$96&lt;&gt;"",ROW($37:$96)),ROW(J42)))),"")</f>
        <v/>
      </c>
      <c r="K78" s="1649" t="str">
        <f t="array" ref="K78">IFERROR(IF(ROW($K$1)&gt;COUNTA($BB$37:$BB$96),"",INDEX($BB:$BB,SMALL(IF(BB$37:BB$96&lt;&gt;"",ROW($37:$96)),ROW(K42)))),"")</f>
        <v/>
      </c>
      <c r="M78" s="1652" t="str">
        <f t="array" ref="M78">IFERROR(IF(ROW($M$1)&gt;COUNTA($BU$37:$BU$96),"",INDEX($BU:$BU,SMALL(IF(BU$37:BU$96&lt;&gt;"",ROW($37:$96)),ROW(M42)))),"")</f>
        <v/>
      </c>
      <c r="N78" s="1653" t="str">
        <f t="array" ref="N78">IFERROR(IF(ROW($N$1)&gt;COUNTA($BJ$37:$BJ$96),"",INDEX($BJ:$BJ,SMALL(IF(BJ$37:BJ$96&lt;&gt;"",ROW($37:$96)),ROW(N42)))),"")</f>
        <v/>
      </c>
      <c r="O78" s="1652" t="str">
        <f t="array" ref="O78">IFERROR(IF(ROW($O$1)&gt;COUNTA($BK$37:$BK$96),"",INDEX($BK:$BK,SMALL(IF(BK$37:BK$96&lt;&gt;"",ROW($37:$96)),ROW(O42)))),"")</f>
        <v/>
      </c>
      <c r="P78" s="1649" t="str">
        <f t="array" ref="P78">IFERROR(IF(ROW($P$1)&gt;COUNTA($BL$37:$BL$96),"",INDEX($BL:$BL,SMALL(IF(BL$37:BL$96&lt;&gt;"",ROW($37:$96)),ROW(P42)))),"")</f>
        <v/>
      </c>
      <c r="S78" s="1775"/>
      <c r="T78" s="1775"/>
      <c r="U78" s="1608" t="str">
        <f>IF(AND(S_21!$G$8="ja",S_21!$K$8="ja"),S_21!$C$2,"")</f>
        <v/>
      </c>
      <c r="V78" s="747" t="str">
        <f t="shared" si="17"/>
        <v/>
      </c>
      <c r="W78" s="1106" t="str">
        <f>IF($U78="","",S_21!$B$15)</f>
        <v/>
      </c>
      <c r="X78" s="1608" t="str">
        <f>IF($U78="","",S_21!$A$15)</f>
        <v/>
      </c>
      <c r="Y78" s="2604"/>
      <c r="Z78" s="1608" t="str">
        <f>IF($U78="","",S_21!$C$15)</f>
        <v/>
      </c>
      <c r="AA78" s="747" t="str">
        <f t="shared" si="18"/>
        <v/>
      </c>
      <c r="AB78" s="1608" t="str">
        <f>IF($U78="","",S_21!$CM$15)</f>
        <v/>
      </c>
      <c r="AC78" s="747" t="str">
        <f t="shared" si="19"/>
        <v/>
      </c>
      <c r="AQ78" s="1608">
        <f>IF(S_21!$DF$15&gt;0,1,0)</f>
        <v>0</v>
      </c>
      <c r="AR78" s="1608">
        <f>IF(S_21!$DG$15&gt;0,1,0)</f>
        <v>0</v>
      </c>
      <c r="AS78" s="1608">
        <f>IF(S_21!$DH$15&gt;0,1,0)</f>
        <v>0</v>
      </c>
      <c r="AT78" s="1608">
        <f>IF(S_21!$DI$15&gt;0,1,0)</f>
        <v>0</v>
      </c>
      <c r="AU78" s="1608">
        <f>IF(S_21!$DJ$15&gt;0,1,0)</f>
        <v>0</v>
      </c>
      <c r="AV78" s="1608">
        <f>IF(S_21!$DK$15&gt;0,1,0)</f>
        <v>0</v>
      </c>
      <c r="AW78" s="1608">
        <f t="shared" si="22"/>
        <v>0</v>
      </c>
      <c r="AX78" s="1608" t="str">
        <f t="shared" si="46"/>
        <v/>
      </c>
      <c r="AY78" s="1106" t="str">
        <f t="shared" si="62"/>
        <v/>
      </c>
      <c r="AZ78" s="1106" t="str">
        <f t="shared" si="48"/>
        <v/>
      </c>
      <c r="BA78" s="1793" t="str">
        <f t="shared" si="49"/>
        <v/>
      </c>
      <c r="BB78" s="1793" t="str">
        <f t="shared" si="50"/>
        <v/>
      </c>
      <c r="BC78" s="1608">
        <f>IF(S_21!$DN$15&gt;0,1,0)</f>
        <v>0</v>
      </c>
      <c r="BD78" s="1608">
        <f>IF(S_21!$DO$15&gt;0,1,0)</f>
        <v>0</v>
      </c>
      <c r="BE78" s="1608">
        <f>IF(S_21!$DP$15&gt;0,1,0)</f>
        <v>0</v>
      </c>
      <c r="BF78" s="1608">
        <f>IF(S_21!$DQ$15&gt;0,1,0)</f>
        <v>0</v>
      </c>
      <c r="BG78" s="1608">
        <f>IF(S_21!$DR$15&gt;0,1,0)</f>
        <v>0</v>
      </c>
      <c r="BH78" s="1608">
        <f>IF(S_21!$DS$15&gt;0,1,0)</f>
        <v>0</v>
      </c>
      <c r="BI78" s="1608">
        <f t="shared" si="23"/>
        <v>0</v>
      </c>
      <c r="BJ78" s="1106" t="str">
        <f t="shared" si="63"/>
        <v/>
      </c>
      <c r="BK78" s="1793" t="str">
        <f t="shared" si="52"/>
        <v/>
      </c>
      <c r="BL78" s="1793" t="str">
        <f t="shared" si="53"/>
        <v/>
      </c>
      <c r="BN78" s="747">
        <f>S_21!$DE$15</f>
        <v>0</v>
      </c>
      <c r="BO78" s="747">
        <f>S_21!$DM$15</f>
        <v>0</v>
      </c>
      <c r="BP78" s="747">
        <f>S_21!$CP$15</f>
        <v>0</v>
      </c>
      <c r="BQ78" s="747">
        <f>S_21!$CQ$15</f>
        <v>0</v>
      </c>
      <c r="BR78" s="1610" t="e">
        <f>BP78/Betrieb!$E$23</f>
        <v>#DIV/0!</v>
      </c>
      <c r="BS78" s="1610" t="e">
        <f>BQ78/Betrieb!$E$24</f>
        <v>#DIV/0!</v>
      </c>
      <c r="BT78" s="1615" t="str">
        <f t="shared" si="54"/>
        <v/>
      </c>
      <c r="BU78" s="1615" t="str">
        <f t="shared" si="55"/>
        <v/>
      </c>
      <c r="BV78" s="2569"/>
      <c r="BW78" s="2570"/>
      <c r="BX78" s="2566"/>
      <c r="BY78" s="2566"/>
    </row>
    <row r="79" spans="3:77" ht="20.25" hidden="1" customHeight="1">
      <c r="C79" s="1654" t="str">
        <f t="array" ref="C79">IFERROR(IF(ROW($C$1)&gt;COUNTA($X$37:$X$96),"",INDEX($X:$X,SMALL(IF(X$37:X$96&lt;&gt;"",ROW($37:$96)),ROW(A43)))),"")</f>
        <v/>
      </c>
      <c r="D79" s="1656" t="str">
        <f t="array" ref="D79">IFERROR(IF(ROW($D$1)&gt;COUNTA($V$37:$V$96),"",INDEX($V:$V,SMALL(IF(V$37:V$96&lt;&gt;"",ROW($37:$96)),ROW(D43)))),"")</f>
        <v/>
      </c>
      <c r="E79" s="1652" t="str">
        <f t="array" ref="E79">IFERROR(IF(ROW($E$1)&gt;COUNTA($W$37:$W$96),"",INDEX($W:$W,SMALL(IF(W$37:W$96&lt;&gt;"",ROW($37:$96)),ROW(E43)))),"")</f>
        <v/>
      </c>
      <c r="F79" s="1655" t="str">
        <f t="array" ref="F79">IFERROR(IF(ROW($F$1)&gt;COUNTA($AA$37:$AA$96),"",INDEX($AA:$AA,SMALL(IF(AA$37:AA$96&lt;&gt;"",ROW($37:$96)),ROW(F43)))),"")</f>
        <v/>
      </c>
      <c r="G79" s="1651" t="str">
        <f t="array" ref="G79">IFERROR(IF(ROW($G$1)&gt;COUNTA($AC$37:$AC$96),"",INDEX($AC:$AC,SMALL(IF(AC$37:AC$96&lt;&gt;"",ROW($37:$96)),ROW(G43)))),"")</f>
        <v/>
      </c>
      <c r="H79" s="1652" t="str">
        <f t="array" ref="H79">IFERROR(IF(ROW($H$1)&gt;COUNTA($BT$37:$BT$96),"",INDEX($BT:$BT,SMALL(IF(BT$37:BT$96&lt;&gt;"",ROW($37:$96)),ROW(H43)))),"")</f>
        <v/>
      </c>
      <c r="I79" s="1653" t="str">
        <f t="array" ref="I79">IFERROR(IF(ROW($I$1)&gt;COUNTA($AZ$37:$AZ$96),"",INDEX($AZ:$AZ,SMALL(IF(AZ$37:AZ$96&lt;&gt;"",ROW($37:$96)),ROW(I43)))),"")</f>
        <v/>
      </c>
      <c r="J79" s="1652" t="str">
        <f t="array" ref="J79">IFERROR(IF(ROW($J$1)&gt;COUNTA($BA$37:$BA$96),"",INDEX($BA:$BA,SMALL(IF(BA$37:BA$96&lt;&gt;"",ROW($37:$96)),ROW(J43)))),"")</f>
        <v/>
      </c>
      <c r="K79" s="1649" t="str">
        <f t="array" ref="K79">IFERROR(IF(ROW($K$1)&gt;COUNTA($BB$37:$BB$96),"",INDEX($BB:$BB,SMALL(IF(BB$37:BB$96&lt;&gt;"",ROW($37:$96)),ROW(K43)))),"")</f>
        <v/>
      </c>
      <c r="M79" s="1652" t="str">
        <f t="array" ref="M79">IFERROR(IF(ROW($M$1)&gt;COUNTA($BU$37:$BU$96),"",INDEX($BU:$BU,SMALL(IF(BU$37:BU$96&lt;&gt;"",ROW($37:$96)),ROW(M43)))),"")</f>
        <v/>
      </c>
      <c r="N79" s="1653" t="str">
        <f t="array" ref="N79">IFERROR(IF(ROW($N$1)&gt;COUNTA($BJ$37:$BJ$96),"",INDEX($BJ:$BJ,SMALL(IF(BJ$37:BJ$96&lt;&gt;"",ROW($37:$96)),ROW(N43)))),"")</f>
        <v/>
      </c>
      <c r="O79" s="1652" t="str">
        <f t="array" ref="O79">IFERROR(IF(ROW($O$1)&gt;COUNTA($BK$37:$BK$96),"",INDEX($BK:$BK,SMALL(IF(BK$37:BK$96&lt;&gt;"",ROW($37:$96)),ROW(O43)))),"")</f>
        <v/>
      </c>
      <c r="P79" s="1649" t="str">
        <f t="array" ref="P79">IFERROR(IF(ROW($P$1)&gt;COUNTA($BL$37:$BL$96),"",INDEX($BL:$BL,SMALL(IF(BL$37:BL$96&lt;&gt;"",ROW($37:$96)),ROW(P43)))),"")</f>
        <v/>
      </c>
      <c r="S79" s="1775"/>
      <c r="T79" s="1775"/>
      <c r="U79" s="1608" t="str">
        <f>IF(AND(S_22!$G$8="ja",S_22!$K$8="ja"),S_22!$C$2,"")</f>
        <v/>
      </c>
      <c r="V79" s="747" t="str">
        <f t="shared" si="17"/>
        <v/>
      </c>
      <c r="W79" s="1106" t="str">
        <f>IF($U79="","",S_22!$B$14)</f>
        <v/>
      </c>
      <c r="X79" s="1608" t="str">
        <f>IF($U79="","",S_22!$A$14)</f>
        <v/>
      </c>
      <c r="Y79" s="2604" t="str">
        <f>IF($U79="","",Grünland!B26)</f>
        <v/>
      </c>
      <c r="Z79" s="1608" t="str">
        <f>IF($U79="","",S_22!$C$14)</f>
        <v/>
      </c>
      <c r="AA79" s="747" t="str">
        <f t="shared" si="18"/>
        <v/>
      </c>
      <c r="AB79" s="1608" t="str">
        <f>IF($U79="","",S_22!$CM$14)</f>
        <v/>
      </c>
      <c r="AC79" s="747" t="str">
        <f t="shared" si="19"/>
        <v/>
      </c>
      <c r="AQ79" s="1608">
        <f>IF(S_22!$DF$14&gt;0,1,0)</f>
        <v>0</v>
      </c>
      <c r="AR79" s="1608">
        <f>IF(S_22!$DG$14&gt;0,1,0)</f>
        <v>0</v>
      </c>
      <c r="AS79" s="1608">
        <f>IF(S_22!$DH$14&gt;0,1,0)</f>
        <v>0</v>
      </c>
      <c r="AT79" s="1608">
        <f>IF(S_22!$DI$14&gt;0,1,0)</f>
        <v>0</v>
      </c>
      <c r="AU79" s="1608">
        <f>IF(S_22!$DJ$14&gt;0,1,0)</f>
        <v>0</v>
      </c>
      <c r="AV79" s="1608">
        <f>IF(S_22!$DK$14&gt;0,1,0)</f>
        <v>0</v>
      </c>
      <c r="AW79" s="1608">
        <f t="shared" si="22"/>
        <v>0</v>
      </c>
      <c r="AX79" s="1608" t="str">
        <f t="shared" si="46"/>
        <v/>
      </c>
      <c r="AY79" s="1106" t="str">
        <f t="shared" si="62"/>
        <v/>
      </c>
      <c r="AZ79" s="1106" t="str">
        <f t="shared" si="48"/>
        <v/>
      </c>
      <c r="BA79" s="1793" t="str">
        <f t="shared" si="49"/>
        <v/>
      </c>
      <c r="BB79" s="1793" t="str">
        <f t="shared" si="50"/>
        <v/>
      </c>
      <c r="BC79" s="1608">
        <f>IF(S_22!$DN$14&gt;0,1,0)</f>
        <v>0</v>
      </c>
      <c r="BD79" s="1608">
        <f>IF(S_22!$DO$14&gt;0,1,0)</f>
        <v>0</v>
      </c>
      <c r="BE79" s="1608">
        <f>IF(S_22!$DP$14&gt;0,1,0)</f>
        <v>0</v>
      </c>
      <c r="BF79" s="1608">
        <f>IF(S_22!$DQ$14&gt;0,1,0)</f>
        <v>0</v>
      </c>
      <c r="BG79" s="1608">
        <f>IF(S_22!$DR$14&gt;0,1,0)</f>
        <v>0</v>
      </c>
      <c r="BH79" s="1608">
        <f>IF(S_22!$DS$14&gt;0,1,0)</f>
        <v>0</v>
      </c>
      <c r="BI79" s="1608">
        <f t="shared" si="23"/>
        <v>0</v>
      </c>
      <c r="BJ79" s="1106" t="str">
        <f t="shared" si="63"/>
        <v/>
      </c>
      <c r="BK79" s="1793" t="str">
        <f t="shared" si="52"/>
        <v/>
      </c>
      <c r="BL79" s="1793" t="str">
        <f t="shared" si="53"/>
        <v/>
      </c>
      <c r="BN79" s="747">
        <f>S_22!$DE$14</f>
        <v>0</v>
      </c>
      <c r="BO79" s="747">
        <f>S_22!$DM$14</f>
        <v>0</v>
      </c>
      <c r="BP79" s="747">
        <f>S_22!$CP$14</f>
        <v>0</v>
      </c>
      <c r="BQ79" s="747">
        <f>S_22!$CQ$14</f>
        <v>0</v>
      </c>
      <c r="BR79" s="1610" t="e">
        <f>BP79/Betrieb!$E$23</f>
        <v>#DIV/0!</v>
      </c>
      <c r="BS79" s="1610" t="e">
        <f>BQ79/Betrieb!$E$24</f>
        <v>#DIV/0!</v>
      </c>
      <c r="BT79" s="1615" t="str">
        <f t="shared" si="54"/>
        <v/>
      </c>
      <c r="BU79" s="1615" t="str">
        <f t="shared" si="55"/>
        <v/>
      </c>
      <c r="BV79" s="2569">
        <f>IF(AND(S_22!$G$8="JA",S_22!$K$8="JA"),S_22!$U$14,0)</f>
        <v>0</v>
      </c>
      <c r="BW79" s="2570">
        <f>IF(AND(S_22!$G$8="JA",S_22!$K$8="JA"),S_22!$V$14,0)</f>
        <v>0</v>
      </c>
      <c r="BX79" s="2566" t="str">
        <f t="shared" ref="BX79" si="74">IF(BV79="-",0-BW79,"")</f>
        <v/>
      </c>
      <c r="BY79" s="2566" t="str">
        <f t="shared" ref="BY79" si="75">IF(BV79="+",0+BW79,"")</f>
        <v/>
      </c>
    </row>
    <row r="80" spans="3:77" ht="20.25" hidden="1" customHeight="1">
      <c r="C80" s="1654" t="str">
        <f t="array" ref="C80">IFERROR(IF(ROW($C$1)&gt;COUNTA($X$37:$X$96),"",INDEX($X:$X,SMALL(IF(X$37:X$96&lt;&gt;"",ROW($37:$96)),ROW(A44)))),"")</f>
        <v/>
      </c>
      <c r="D80" s="1656" t="str">
        <f t="array" ref="D80">IFERROR(IF(ROW($D$1)&gt;COUNTA($V$37:$V$96),"",INDEX($V:$V,SMALL(IF(V$37:V$96&lt;&gt;"",ROW($37:$96)),ROW(D44)))),"")</f>
        <v/>
      </c>
      <c r="E80" s="1652" t="str">
        <f t="array" ref="E80">IFERROR(IF(ROW($E$1)&gt;COUNTA($W$37:$W$96),"",INDEX($W:$W,SMALL(IF(W$37:W$96&lt;&gt;"",ROW($37:$96)),ROW(E44)))),"")</f>
        <v/>
      </c>
      <c r="F80" s="1655" t="str">
        <f t="array" ref="F80">IFERROR(IF(ROW($F$1)&gt;COUNTA($AA$37:$AA$96),"",INDEX($AA:$AA,SMALL(IF(AA$37:AA$96&lt;&gt;"",ROW($37:$96)),ROW(F44)))),"")</f>
        <v/>
      </c>
      <c r="G80" s="1651" t="str">
        <f t="array" ref="G80">IFERROR(IF(ROW($G$1)&gt;COUNTA($AC$37:$AC$96),"",INDEX($AC:$AC,SMALL(IF(AC$37:AC$96&lt;&gt;"",ROW($37:$96)),ROW(G44)))),"")</f>
        <v/>
      </c>
      <c r="H80" s="1652" t="str">
        <f t="array" ref="H80">IFERROR(IF(ROW($H$1)&gt;COUNTA($BT$37:$BT$96),"",INDEX($BT:$BT,SMALL(IF(BT$37:BT$96&lt;&gt;"",ROW($37:$96)),ROW(H44)))),"")</f>
        <v/>
      </c>
      <c r="I80" s="1653" t="str">
        <f t="array" ref="I80">IFERROR(IF(ROW($I$1)&gt;COUNTA($AZ$37:$AZ$96),"",INDEX($AZ:$AZ,SMALL(IF(AZ$37:AZ$96&lt;&gt;"",ROW($37:$96)),ROW(I44)))),"")</f>
        <v/>
      </c>
      <c r="J80" s="1652" t="str">
        <f t="array" ref="J80">IFERROR(IF(ROW($J$1)&gt;COUNTA($BA$37:$BA$96),"",INDEX($BA:$BA,SMALL(IF(BA$37:BA$96&lt;&gt;"",ROW($37:$96)),ROW(J44)))),"")</f>
        <v/>
      </c>
      <c r="K80" s="1649" t="str">
        <f t="array" ref="K80">IFERROR(IF(ROW($K$1)&gt;COUNTA($BB$37:$BB$96),"",INDEX($BB:$BB,SMALL(IF(BB$37:BB$96&lt;&gt;"",ROW($37:$96)),ROW(K44)))),"")</f>
        <v/>
      </c>
      <c r="M80" s="1652" t="str">
        <f t="array" ref="M80">IFERROR(IF(ROW($M$1)&gt;COUNTA($BU$37:$BU$96),"",INDEX($BU:$BU,SMALL(IF(BU$37:BU$96&lt;&gt;"",ROW($37:$96)),ROW(M44)))),"")</f>
        <v/>
      </c>
      <c r="N80" s="1653" t="str">
        <f t="array" ref="N80">IFERROR(IF(ROW($N$1)&gt;COUNTA($BJ$37:$BJ$96),"",INDEX($BJ:$BJ,SMALL(IF(BJ$37:BJ$96&lt;&gt;"",ROW($37:$96)),ROW(N44)))),"")</f>
        <v/>
      </c>
      <c r="O80" s="1652" t="str">
        <f t="array" ref="O80">IFERROR(IF(ROW($O$1)&gt;COUNTA($BK$37:$BK$96),"",INDEX($BK:$BK,SMALL(IF(BK$37:BK$96&lt;&gt;"",ROW($37:$96)),ROW(O44)))),"")</f>
        <v/>
      </c>
      <c r="P80" s="1649" t="str">
        <f t="array" ref="P80">IFERROR(IF(ROW($P$1)&gt;COUNTA($BL$37:$BL$96),"",INDEX($BL:$BL,SMALL(IF(BL$37:BL$96&lt;&gt;"",ROW($37:$96)),ROW(P44)))),"")</f>
        <v/>
      </c>
      <c r="S80" s="1775"/>
      <c r="T80" s="1775"/>
      <c r="U80" s="1608" t="str">
        <f>IF(AND(S_22!$G$8="ja",S_22!$K$8="ja"),S_22!$C$2,"")</f>
        <v/>
      </c>
      <c r="V80" s="747" t="str">
        <f t="shared" si="17"/>
        <v/>
      </c>
      <c r="W80" s="1106" t="str">
        <f>IF($U80="","",S_22!$B$15)</f>
        <v/>
      </c>
      <c r="X80" s="1608" t="str">
        <f>IF($U80="","",S_22!$A$15)</f>
        <v/>
      </c>
      <c r="Y80" s="2604"/>
      <c r="Z80" s="1608" t="str">
        <f>IF($U80="","",S_22!$C$15)</f>
        <v/>
      </c>
      <c r="AA80" s="747" t="str">
        <f t="shared" si="18"/>
        <v/>
      </c>
      <c r="AB80" s="1608" t="str">
        <f>IF($U80="","",S_22!$CM$15)</f>
        <v/>
      </c>
      <c r="AC80" s="747" t="str">
        <f t="shared" si="19"/>
        <v/>
      </c>
      <c r="AQ80" s="1608">
        <f>IF(S_22!$DF$15&gt;0,1,0)</f>
        <v>0</v>
      </c>
      <c r="AR80" s="1608">
        <f>IF(S_22!$DG$15&gt;0,1,0)</f>
        <v>0</v>
      </c>
      <c r="AS80" s="1608">
        <f>IF(S_22!$DH$15&gt;0,1,0)</f>
        <v>0</v>
      </c>
      <c r="AT80" s="1608">
        <f>IF(S_22!$DI$15&gt;0,1,0)</f>
        <v>0</v>
      </c>
      <c r="AU80" s="1608">
        <f>IF(S_22!$DJ$15&gt;0,1,0)</f>
        <v>0</v>
      </c>
      <c r="AV80" s="1608">
        <f>IF(S_22!$DK$15&gt;0,1,0)</f>
        <v>0</v>
      </c>
      <c r="AW80" s="1608">
        <f t="shared" si="22"/>
        <v>0</v>
      </c>
      <c r="AX80" s="1608" t="str">
        <f t="shared" si="46"/>
        <v/>
      </c>
      <c r="AY80" s="1106" t="str">
        <f t="shared" si="62"/>
        <v/>
      </c>
      <c r="AZ80" s="1106" t="str">
        <f t="shared" si="48"/>
        <v/>
      </c>
      <c r="BA80" s="1793" t="str">
        <f t="shared" si="49"/>
        <v/>
      </c>
      <c r="BB80" s="1793" t="str">
        <f t="shared" si="50"/>
        <v/>
      </c>
      <c r="BC80" s="1608">
        <f>IF(S_22!$DN$15&gt;0,1,0)</f>
        <v>0</v>
      </c>
      <c r="BD80" s="1608">
        <f>IF(S_22!$DO$15&gt;0,1,0)</f>
        <v>0</v>
      </c>
      <c r="BE80" s="1608">
        <f>IF(S_22!$DP$15&gt;0,1,0)</f>
        <v>0</v>
      </c>
      <c r="BF80" s="1608">
        <f>IF(S_22!$DQ$15&gt;0,1,0)</f>
        <v>0</v>
      </c>
      <c r="BG80" s="1608">
        <f>IF(S_22!$DR$15&gt;0,1,0)</f>
        <v>0</v>
      </c>
      <c r="BH80" s="1608">
        <f>IF(S_22!$DS$15&gt;0,1,0)</f>
        <v>0</v>
      </c>
      <c r="BI80" s="1608">
        <f t="shared" si="23"/>
        <v>0</v>
      </c>
      <c r="BJ80" s="1106" t="str">
        <f t="shared" si="63"/>
        <v/>
      </c>
      <c r="BK80" s="1793" t="str">
        <f t="shared" si="52"/>
        <v/>
      </c>
      <c r="BL80" s="1793" t="str">
        <f t="shared" si="53"/>
        <v/>
      </c>
      <c r="BN80" s="747">
        <f>S_22!$DE$15</f>
        <v>0</v>
      </c>
      <c r="BO80" s="747">
        <f>S_22!$DM$15</f>
        <v>0</v>
      </c>
      <c r="BP80" s="747">
        <f>S_22!$CP$15</f>
        <v>0</v>
      </c>
      <c r="BQ80" s="747">
        <f>S_22!$CQ$15</f>
        <v>0</v>
      </c>
      <c r="BR80" s="1610" t="e">
        <f>BP80/Betrieb!$E$23</f>
        <v>#DIV/0!</v>
      </c>
      <c r="BS80" s="1610" t="e">
        <f>BQ80/Betrieb!$E$24</f>
        <v>#DIV/0!</v>
      </c>
      <c r="BT80" s="1615" t="str">
        <f t="shared" si="54"/>
        <v/>
      </c>
      <c r="BU80" s="1615" t="str">
        <f t="shared" si="55"/>
        <v/>
      </c>
      <c r="BV80" s="2569"/>
      <c r="BW80" s="2570"/>
      <c r="BX80" s="2566"/>
      <c r="BY80" s="2566"/>
    </row>
    <row r="81" spans="3:77" ht="20.25" hidden="1" customHeight="1">
      <c r="C81" s="1654" t="str">
        <f t="array" ref="C81">IFERROR(IF(ROW($C$1)&gt;COUNTA($X$37:$X$96),"",INDEX($X:$X,SMALL(IF(X$37:X$96&lt;&gt;"",ROW($37:$96)),ROW(A45)))),"")</f>
        <v/>
      </c>
      <c r="D81" s="1656" t="str">
        <f t="array" ref="D81">IFERROR(IF(ROW($D$1)&gt;COUNTA($V$37:$V$96),"",INDEX($V:$V,SMALL(IF(V$37:V$96&lt;&gt;"",ROW($37:$96)),ROW(D45)))),"")</f>
        <v/>
      </c>
      <c r="E81" s="1652" t="str">
        <f t="array" ref="E81">IFERROR(IF(ROW($E$1)&gt;COUNTA($W$37:$W$96),"",INDEX($W:$W,SMALL(IF(W$37:W$96&lt;&gt;"",ROW($37:$96)),ROW(E45)))),"")</f>
        <v/>
      </c>
      <c r="F81" s="1655" t="str">
        <f t="array" ref="F81">IFERROR(IF(ROW($F$1)&gt;COUNTA($AA$37:$AA$96),"",INDEX($AA:$AA,SMALL(IF(AA$37:AA$96&lt;&gt;"",ROW($37:$96)),ROW(F45)))),"")</f>
        <v/>
      </c>
      <c r="G81" s="1651" t="str">
        <f t="array" ref="G81">IFERROR(IF(ROW($G$1)&gt;COUNTA($AC$37:$AC$96),"",INDEX($AC:$AC,SMALL(IF(AC$37:AC$96&lt;&gt;"",ROW($37:$96)),ROW(G45)))),"")</f>
        <v/>
      </c>
      <c r="H81" s="1652" t="str">
        <f t="array" ref="H81">IFERROR(IF(ROW($H$1)&gt;COUNTA($BT$37:$BT$96),"",INDEX($BT:$BT,SMALL(IF(BT$37:BT$96&lt;&gt;"",ROW($37:$96)),ROW(H45)))),"")</f>
        <v/>
      </c>
      <c r="I81" s="1653" t="str">
        <f t="array" ref="I81">IFERROR(IF(ROW($I$1)&gt;COUNTA($AZ$37:$AZ$96),"",INDEX($AZ:$AZ,SMALL(IF(AZ$37:AZ$96&lt;&gt;"",ROW($37:$96)),ROW(I45)))),"")</f>
        <v/>
      </c>
      <c r="J81" s="1652" t="str">
        <f t="array" ref="J81">IFERROR(IF(ROW($J$1)&gt;COUNTA($BA$37:$BA$96),"",INDEX($BA:$BA,SMALL(IF(BA$37:BA$96&lt;&gt;"",ROW($37:$96)),ROW(J45)))),"")</f>
        <v/>
      </c>
      <c r="K81" s="1649" t="str">
        <f t="array" ref="K81">IFERROR(IF(ROW($K$1)&gt;COUNTA($BB$37:$BB$96),"",INDEX($BB:$BB,SMALL(IF(BB$37:BB$96&lt;&gt;"",ROW($37:$96)),ROW(K45)))),"")</f>
        <v/>
      </c>
      <c r="M81" s="1652" t="str">
        <f t="array" ref="M81">IFERROR(IF(ROW($M$1)&gt;COUNTA($BU$37:$BU$96),"",INDEX($BU:$BU,SMALL(IF(BU$37:BU$96&lt;&gt;"",ROW($37:$96)),ROW(M45)))),"")</f>
        <v/>
      </c>
      <c r="N81" s="1653" t="str">
        <f t="array" ref="N81">IFERROR(IF(ROW($N$1)&gt;COUNTA($BJ$37:$BJ$96),"",INDEX($BJ:$BJ,SMALL(IF(BJ$37:BJ$96&lt;&gt;"",ROW($37:$96)),ROW(N45)))),"")</f>
        <v/>
      </c>
      <c r="O81" s="1652" t="str">
        <f t="array" ref="O81">IFERROR(IF(ROW($O$1)&gt;COUNTA($BK$37:$BK$96),"",INDEX($BK:$BK,SMALL(IF(BK$37:BK$96&lt;&gt;"",ROW($37:$96)),ROW(O45)))),"")</f>
        <v/>
      </c>
      <c r="P81" s="1649" t="str">
        <f t="array" ref="P81">IFERROR(IF(ROW($P$1)&gt;COUNTA($BL$37:$BL$96),"",INDEX($BL:$BL,SMALL(IF(BL$37:BL$96&lt;&gt;"",ROW($37:$96)),ROW(P45)))),"")</f>
        <v/>
      </c>
      <c r="S81" s="1775"/>
      <c r="T81" s="1775"/>
      <c r="U81" s="1608" t="str">
        <f>IF(AND(S_23!$G$8="ja",S_23!$K$8="ja"),S_23!$C$2,"")</f>
        <v/>
      </c>
      <c r="V81" s="747" t="str">
        <f t="shared" si="17"/>
        <v/>
      </c>
      <c r="W81" s="1106" t="str">
        <f>IF($U81="","",S_23!$B$14)</f>
        <v/>
      </c>
      <c r="X81" s="1608" t="str">
        <f>IF($U81="","",S_23!$A$14)</f>
        <v/>
      </c>
      <c r="Y81" s="2604" t="str">
        <f>IF($U81="","",Grünland!B27)</f>
        <v/>
      </c>
      <c r="Z81" s="1608" t="str">
        <f>IF($U81="","",S_23!$C$14)</f>
        <v/>
      </c>
      <c r="AA81" s="747" t="str">
        <f t="shared" si="18"/>
        <v/>
      </c>
      <c r="AB81" s="1608" t="str">
        <f>IF($U81="","",S_23!$CM$14)</f>
        <v/>
      </c>
      <c r="AC81" s="747" t="str">
        <f t="shared" si="19"/>
        <v/>
      </c>
      <c r="AQ81" s="1608">
        <f>IF(S_23!$DF$14&gt;0,1,0)</f>
        <v>0</v>
      </c>
      <c r="AR81" s="1608">
        <f>IF(S_23!$DG$14&gt;0,1,0)</f>
        <v>0</v>
      </c>
      <c r="AS81" s="1608">
        <f>IF(S_23!$DH$14&gt;0,1,0)</f>
        <v>0</v>
      </c>
      <c r="AT81" s="1608">
        <f>IF(S_23!$DI$14&gt;0,1,0)</f>
        <v>0</v>
      </c>
      <c r="AU81" s="1608">
        <f>IF(S_23!$DJ$14&gt;0,1,0)</f>
        <v>0</v>
      </c>
      <c r="AV81" s="1608">
        <f>IF(S_23!$DK$14&gt;0,1,0)</f>
        <v>0</v>
      </c>
      <c r="AW81" s="1608">
        <f t="shared" si="22"/>
        <v>0</v>
      </c>
      <c r="AX81" s="1608" t="str">
        <f t="shared" si="46"/>
        <v/>
      </c>
      <c r="AY81" s="1106" t="str">
        <f t="shared" si="62"/>
        <v/>
      </c>
      <c r="AZ81" s="1106" t="str">
        <f t="shared" si="48"/>
        <v/>
      </c>
      <c r="BA81" s="1793" t="str">
        <f t="shared" si="49"/>
        <v/>
      </c>
      <c r="BB81" s="1793" t="str">
        <f t="shared" si="50"/>
        <v/>
      </c>
      <c r="BC81" s="1608">
        <f>IF(S_23!$DN$14&gt;0,1,0)</f>
        <v>0</v>
      </c>
      <c r="BD81" s="1608">
        <f>IF(S_23!$DO$14&gt;0,1,0)</f>
        <v>0</v>
      </c>
      <c r="BE81" s="1608">
        <f>IF(S_23!$DP$14&gt;0,1,0)</f>
        <v>0</v>
      </c>
      <c r="BF81" s="1608">
        <f>IF(S_23!$DQ$14&gt;0,1,0)</f>
        <v>0</v>
      </c>
      <c r="BG81" s="1608">
        <f>IF(S_23!$DR$14&gt;0,1,0)</f>
        <v>0</v>
      </c>
      <c r="BH81" s="1608">
        <f>IF(S_23!$DS$14&gt;0,1,0)</f>
        <v>0</v>
      </c>
      <c r="BI81" s="1608">
        <f t="shared" si="23"/>
        <v>0</v>
      </c>
      <c r="BJ81" s="1106" t="str">
        <f t="shared" si="63"/>
        <v/>
      </c>
      <c r="BK81" s="1793" t="str">
        <f t="shared" si="52"/>
        <v/>
      </c>
      <c r="BL81" s="1793" t="str">
        <f t="shared" si="53"/>
        <v/>
      </c>
      <c r="BN81" s="747">
        <f>S_23!$DE$14</f>
        <v>0</v>
      </c>
      <c r="BO81" s="747">
        <f>S_23!$DM$14</f>
        <v>0</v>
      </c>
      <c r="BP81" s="747">
        <f>S_23!$CP$14</f>
        <v>0</v>
      </c>
      <c r="BQ81" s="747">
        <f>S_23!$CQ$14</f>
        <v>0</v>
      </c>
      <c r="BR81" s="1610" t="e">
        <f>BP81/Betrieb!$E$23</f>
        <v>#DIV/0!</v>
      </c>
      <c r="BS81" s="1610" t="e">
        <f>BQ81/Betrieb!$E$24</f>
        <v>#DIV/0!</v>
      </c>
      <c r="BT81" s="1615" t="str">
        <f t="shared" si="54"/>
        <v/>
      </c>
      <c r="BU81" s="1615" t="str">
        <f t="shared" si="55"/>
        <v/>
      </c>
      <c r="BV81" s="2569">
        <f>IF(AND(S_23!$G$8="JA",S_23!$K$8="JA"),S_23!$U$14,0)</f>
        <v>0</v>
      </c>
      <c r="BW81" s="2570">
        <f>IF(AND(S_23!$G$8="JA",S_23!$K$8="JA"),S_23!$V$14,0)</f>
        <v>0</v>
      </c>
      <c r="BX81" s="2566" t="str">
        <f t="shared" ref="BX81" si="76">IF(BV81="-",0-BW81,"")</f>
        <v/>
      </c>
      <c r="BY81" s="2566" t="str">
        <f t="shared" ref="BY81" si="77">IF(BV81="+",0+BW81,"")</f>
        <v/>
      </c>
    </row>
    <row r="82" spans="3:77" ht="20.25" hidden="1" customHeight="1">
      <c r="C82" s="1654" t="str">
        <f t="array" ref="C82">IFERROR(IF(ROW($C$1)&gt;COUNTA($X$37:$X$96),"",INDEX($X:$X,SMALL(IF(X$37:X$96&lt;&gt;"",ROW($37:$96)),ROW(A46)))),"")</f>
        <v/>
      </c>
      <c r="D82" s="1656" t="str">
        <f t="array" ref="D82">IFERROR(IF(ROW($D$1)&gt;COUNTA($V$37:$V$96),"",INDEX($V:$V,SMALL(IF(V$37:V$96&lt;&gt;"",ROW($37:$96)),ROW(D46)))),"")</f>
        <v/>
      </c>
      <c r="E82" s="1652" t="str">
        <f t="array" ref="E82">IFERROR(IF(ROW($E$1)&gt;COUNTA($W$37:$W$96),"",INDEX($W:$W,SMALL(IF(W$37:W$96&lt;&gt;"",ROW($37:$96)),ROW(E46)))),"")</f>
        <v/>
      </c>
      <c r="F82" s="1655" t="str">
        <f t="array" ref="F82">IFERROR(IF(ROW($F$1)&gt;COUNTA($AA$37:$AA$96),"",INDEX($AA:$AA,SMALL(IF(AA$37:AA$96&lt;&gt;"",ROW($37:$96)),ROW(F46)))),"")</f>
        <v/>
      </c>
      <c r="G82" s="1651" t="str">
        <f t="array" ref="G82">IFERROR(IF(ROW($G$1)&gt;COUNTA($AC$37:$AC$96),"",INDEX($AC:$AC,SMALL(IF(AC$37:AC$96&lt;&gt;"",ROW($37:$96)),ROW(G46)))),"")</f>
        <v/>
      </c>
      <c r="H82" s="1652" t="str">
        <f t="array" ref="H82">IFERROR(IF(ROW($H$1)&gt;COUNTA($BT$37:$BT$96),"",INDEX($BT:$BT,SMALL(IF(BT$37:BT$96&lt;&gt;"",ROW($37:$96)),ROW(H46)))),"")</f>
        <v/>
      </c>
      <c r="I82" s="1653" t="str">
        <f t="array" ref="I82">IFERROR(IF(ROW($I$1)&gt;COUNTA($AZ$37:$AZ$96),"",INDEX($AZ:$AZ,SMALL(IF(AZ$37:AZ$96&lt;&gt;"",ROW($37:$96)),ROW(I46)))),"")</f>
        <v/>
      </c>
      <c r="J82" s="1652" t="str">
        <f t="array" ref="J82">IFERROR(IF(ROW($J$1)&gt;COUNTA($BA$37:$BA$96),"",INDEX($BA:$BA,SMALL(IF(BA$37:BA$96&lt;&gt;"",ROW($37:$96)),ROW(J46)))),"")</f>
        <v/>
      </c>
      <c r="K82" s="1649" t="str">
        <f t="array" ref="K82">IFERROR(IF(ROW($K$1)&gt;COUNTA($BB$37:$BB$96),"",INDEX($BB:$BB,SMALL(IF(BB$37:BB$96&lt;&gt;"",ROW($37:$96)),ROW(K46)))),"")</f>
        <v/>
      </c>
      <c r="M82" s="1652" t="str">
        <f t="array" ref="M82">IFERROR(IF(ROW($M$1)&gt;COUNTA($BU$37:$BU$96),"",INDEX($BU:$BU,SMALL(IF(BU$37:BU$96&lt;&gt;"",ROW($37:$96)),ROW(M46)))),"")</f>
        <v/>
      </c>
      <c r="N82" s="1653" t="str">
        <f t="array" ref="N82">IFERROR(IF(ROW($N$1)&gt;COUNTA($BJ$37:$BJ$96),"",INDEX($BJ:$BJ,SMALL(IF(BJ$37:BJ$96&lt;&gt;"",ROW($37:$96)),ROW(N46)))),"")</f>
        <v/>
      </c>
      <c r="O82" s="1652" t="str">
        <f t="array" ref="O82">IFERROR(IF(ROW($O$1)&gt;COUNTA($BK$37:$BK$96),"",INDEX($BK:$BK,SMALL(IF(BK$37:BK$96&lt;&gt;"",ROW($37:$96)),ROW(O46)))),"")</f>
        <v/>
      </c>
      <c r="P82" s="1649" t="str">
        <f t="array" ref="P82">IFERROR(IF(ROW($P$1)&gt;COUNTA($BL$37:$BL$96),"",INDEX($BL:$BL,SMALL(IF(BL$37:BL$96&lt;&gt;"",ROW($37:$96)),ROW(P46)))),"")</f>
        <v/>
      </c>
      <c r="S82" s="1775"/>
      <c r="T82" s="1775"/>
      <c r="U82" s="1608" t="str">
        <f>IF(AND(S_23!$G$8="ja",S_23!$K$8="ja"),S_23!$C$2,"")</f>
        <v/>
      </c>
      <c r="V82" s="747" t="str">
        <f t="shared" si="17"/>
        <v/>
      </c>
      <c r="W82" s="1106" t="str">
        <f>IF($U82="","",S_23!$B$15)</f>
        <v/>
      </c>
      <c r="X82" s="1608" t="str">
        <f>IF($U82="","",S_23!$A$15)</f>
        <v/>
      </c>
      <c r="Y82" s="2604"/>
      <c r="Z82" s="1608" t="str">
        <f>IF($U82="","",S_23!$C$15)</f>
        <v/>
      </c>
      <c r="AA82" s="747" t="str">
        <f t="shared" si="18"/>
        <v/>
      </c>
      <c r="AB82" s="1608" t="str">
        <f>IF($U82="","",S_23!$CM$15)</f>
        <v/>
      </c>
      <c r="AC82" s="747" t="str">
        <f t="shared" si="19"/>
        <v/>
      </c>
      <c r="AQ82" s="1608">
        <f>IF(S_23!$DF$15&gt;0,1,0)</f>
        <v>0</v>
      </c>
      <c r="AR82" s="1608">
        <f>IF(S_23!$DG$15&gt;0,1,0)</f>
        <v>0</v>
      </c>
      <c r="AS82" s="1608">
        <f>IF(S_23!$DH$15&gt;0,1,0)</f>
        <v>0</v>
      </c>
      <c r="AT82" s="1608">
        <f>IF(S_23!$DI$15&gt;0,1,0)</f>
        <v>0</v>
      </c>
      <c r="AU82" s="1608">
        <f>IF(S_23!$DJ$15&gt;0,1,0)</f>
        <v>0</v>
      </c>
      <c r="AV82" s="1608">
        <f>IF(S_23!$DK$15&gt;0,1,0)</f>
        <v>0</v>
      </c>
      <c r="AW82" s="1608">
        <f t="shared" si="22"/>
        <v>0</v>
      </c>
      <c r="AX82" s="1608" t="str">
        <f t="shared" si="46"/>
        <v/>
      </c>
      <c r="AY82" s="1106" t="str">
        <f t="shared" si="62"/>
        <v/>
      </c>
      <c r="AZ82" s="1106" t="str">
        <f t="shared" si="48"/>
        <v/>
      </c>
      <c r="BA82" s="1793" t="str">
        <f t="shared" si="49"/>
        <v/>
      </c>
      <c r="BB82" s="1793" t="str">
        <f t="shared" si="50"/>
        <v/>
      </c>
      <c r="BC82" s="1608">
        <f>IF(S_23!$DN$15&gt;0,1,0)</f>
        <v>0</v>
      </c>
      <c r="BD82" s="1608">
        <f>IF(S_23!$DO$15&gt;0,1,0)</f>
        <v>0</v>
      </c>
      <c r="BE82" s="1608">
        <f>IF(S_23!$DP$15&gt;0,1,0)</f>
        <v>0</v>
      </c>
      <c r="BF82" s="1608">
        <f>IF(S_23!$DQ$15&gt;0,1,0)</f>
        <v>0</v>
      </c>
      <c r="BG82" s="1608">
        <f>IF(S_23!$DR$15&gt;0,1,0)</f>
        <v>0</v>
      </c>
      <c r="BH82" s="1608">
        <f>IF(S_23!$DS$15&gt;0,1,0)</f>
        <v>0</v>
      </c>
      <c r="BI82" s="1608">
        <f t="shared" si="23"/>
        <v>0</v>
      </c>
      <c r="BJ82" s="1106" t="str">
        <f t="shared" si="63"/>
        <v/>
      </c>
      <c r="BK82" s="1793" t="str">
        <f t="shared" si="52"/>
        <v/>
      </c>
      <c r="BL82" s="1793" t="str">
        <f t="shared" si="53"/>
        <v/>
      </c>
      <c r="BN82" s="747">
        <f>S_23!$DE$15</f>
        <v>0</v>
      </c>
      <c r="BO82" s="747">
        <f>S_23!$DM$15</f>
        <v>0</v>
      </c>
      <c r="BP82" s="747">
        <f>S_23!$CP$15</f>
        <v>0</v>
      </c>
      <c r="BQ82" s="747">
        <f>S_23!$CQ$15</f>
        <v>0</v>
      </c>
      <c r="BR82" s="1610" t="e">
        <f>BP82/Betrieb!$E$23</f>
        <v>#DIV/0!</v>
      </c>
      <c r="BS82" s="1610" t="e">
        <f>BQ82/Betrieb!$E$24</f>
        <v>#DIV/0!</v>
      </c>
      <c r="BT82" s="1615" t="str">
        <f t="shared" si="54"/>
        <v/>
      </c>
      <c r="BU82" s="1615" t="str">
        <f t="shared" si="55"/>
        <v/>
      </c>
      <c r="BV82" s="2569"/>
      <c r="BW82" s="2570"/>
      <c r="BX82" s="2566"/>
      <c r="BY82" s="2566"/>
    </row>
    <row r="83" spans="3:77" ht="20.25" hidden="1" customHeight="1">
      <c r="C83" s="1654" t="str">
        <f t="array" ref="C83">IFERROR(IF(ROW($C$1)&gt;COUNTA($X$37:$X$96),"",INDEX($X:$X,SMALL(IF(X$37:X$96&lt;&gt;"",ROW($37:$96)),ROW(A47)))),"")</f>
        <v/>
      </c>
      <c r="D83" s="1656" t="str">
        <f t="array" ref="D83">IFERROR(IF(ROW($D$1)&gt;COUNTA($V$37:$V$96),"",INDEX($V:$V,SMALL(IF(V$37:V$96&lt;&gt;"",ROW($37:$96)),ROW(D47)))),"")</f>
        <v/>
      </c>
      <c r="E83" s="1652" t="str">
        <f t="array" ref="E83">IFERROR(IF(ROW($E$1)&gt;COUNTA($W$37:$W$96),"",INDEX($W:$W,SMALL(IF(W$37:W$96&lt;&gt;"",ROW($37:$96)),ROW(E47)))),"")</f>
        <v/>
      </c>
      <c r="F83" s="1655" t="str">
        <f t="array" ref="F83">IFERROR(IF(ROW($F$1)&gt;COUNTA($AA$37:$AA$96),"",INDEX($AA:$AA,SMALL(IF(AA$37:AA$96&lt;&gt;"",ROW($37:$96)),ROW(F47)))),"")</f>
        <v/>
      </c>
      <c r="G83" s="1651" t="str">
        <f t="array" ref="G83">IFERROR(IF(ROW($G$1)&gt;COUNTA($AC$37:$AC$96),"",INDEX($AC:$AC,SMALL(IF(AC$37:AC$96&lt;&gt;"",ROW($37:$96)),ROW(G47)))),"")</f>
        <v/>
      </c>
      <c r="H83" s="1652" t="str">
        <f t="array" ref="H83">IFERROR(IF(ROW($H$1)&gt;COUNTA($BT$37:$BT$96),"",INDEX($BT:$BT,SMALL(IF(BT$37:BT$96&lt;&gt;"",ROW($37:$96)),ROW(H47)))),"")</f>
        <v/>
      </c>
      <c r="I83" s="1653" t="str">
        <f t="array" ref="I83">IFERROR(IF(ROW($I$1)&gt;COUNTA($AZ$37:$AZ$96),"",INDEX($AZ:$AZ,SMALL(IF(AZ$37:AZ$96&lt;&gt;"",ROW($37:$96)),ROW(I47)))),"")</f>
        <v/>
      </c>
      <c r="J83" s="1652" t="str">
        <f t="array" ref="J83">IFERROR(IF(ROW($J$1)&gt;COUNTA($BA$37:$BA$96),"",INDEX($BA:$BA,SMALL(IF(BA$37:BA$96&lt;&gt;"",ROW($37:$96)),ROW(J47)))),"")</f>
        <v/>
      </c>
      <c r="K83" s="1649" t="str">
        <f t="array" ref="K83">IFERROR(IF(ROW($K$1)&gt;COUNTA($BB$37:$BB$96),"",INDEX($BB:$BB,SMALL(IF(BB$37:BB$96&lt;&gt;"",ROW($37:$96)),ROW(K47)))),"")</f>
        <v/>
      </c>
      <c r="M83" s="1652" t="str">
        <f t="array" ref="M83">IFERROR(IF(ROW($M$1)&gt;COUNTA($BU$37:$BU$96),"",INDEX($BU:$BU,SMALL(IF(BU$37:BU$96&lt;&gt;"",ROW($37:$96)),ROW(M47)))),"")</f>
        <v/>
      </c>
      <c r="N83" s="1653" t="str">
        <f t="array" ref="N83">IFERROR(IF(ROW($N$1)&gt;COUNTA($BJ$37:$BJ$96),"",INDEX($BJ:$BJ,SMALL(IF(BJ$37:BJ$96&lt;&gt;"",ROW($37:$96)),ROW(N47)))),"")</f>
        <v/>
      </c>
      <c r="O83" s="1652" t="str">
        <f t="array" ref="O83">IFERROR(IF(ROW($O$1)&gt;COUNTA($BK$37:$BK$96),"",INDEX($BK:$BK,SMALL(IF(BK$37:BK$96&lt;&gt;"",ROW($37:$96)),ROW(O47)))),"")</f>
        <v/>
      </c>
      <c r="P83" s="1649" t="str">
        <f t="array" ref="P83">IFERROR(IF(ROW($P$1)&gt;COUNTA($BL$37:$BL$96),"",INDEX($BL:$BL,SMALL(IF(BL$37:BL$96&lt;&gt;"",ROW($37:$96)),ROW(P47)))),"")</f>
        <v/>
      </c>
      <c r="S83" s="1775"/>
      <c r="T83" s="1775"/>
      <c r="U83" s="1608" t="str">
        <f>IF(AND(S_24!$G$8="ja",S_24!$K$8="ja"),S_24!$C$2,"")</f>
        <v/>
      </c>
      <c r="V83" s="747" t="str">
        <f t="shared" si="17"/>
        <v/>
      </c>
      <c r="W83" s="1106" t="str">
        <f>IF($U83="","",S_24!$B$14)</f>
        <v/>
      </c>
      <c r="X83" s="1608" t="str">
        <f>IF($U83="","",S_24!$A$14)</f>
        <v/>
      </c>
      <c r="Y83" s="2604" t="str">
        <f>IF($U83="","",Grünland!B28)</f>
        <v/>
      </c>
      <c r="Z83" s="1608" t="str">
        <f>IF($U83="","",S_24!$C$14)</f>
        <v/>
      </c>
      <c r="AA83" s="747" t="str">
        <f t="shared" si="18"/>
        <v/>
      </c>
      <c r="AB83" s="1608" t="str">
        <f>IF($U83="","",S_24!$CM$14)</f>
        <v/>
      </c>
      <c r="AC83" s="747" t="str">
        <f t="shared" si="19"/>
        <v/>
      </c>
      <c r="AQ83" s="1608">
        <f>IF(S_24!$DF$14&gt;0,1,0)</f>
        <v>0</v>
      </c>
      <c r="AR83" s="1608">
        <f>IF(S_24!$DG$14&gt;0,1,0)</f>
        <v>0</v>
      </c>
      <c r="AS83" s="1608">
        <f>IF(S_24!$DH$14&gt;0,1,0)</f>
        <v>0</v>
      </c>
      <c r="AT83" s="1608">
        <f>IF(S_24!$DI$14&gt;0,1,0)</f>
        <v>0</v>
      </c>
      <c r="AU83" s="1608">
        <f>IF(S_24!$DJ$14&gt;0,1,0)</f>
        <v>0</v>
      </c>
      <c r="AV83" s="1608">
        <f>IF(S_24!$DK$14&gt;0,1,0)</f>
        <v>0</v>
      </c>
      <c r="AW83" s="1608">
        <f t="shared" si="22"/>
        <v>0</v>
      </c>
      <c r="AX83" s="1608" t="str">
        <f t="shared" si="46"/>
        <v/>
      </c>
      <c r="AY83" s="1106" t="str">
        <f t="shared" si="62"/>
        <v/>
      </c>
      <c r="AZ83" s="1106" t="str">
        <f t="shared" si="48"/>
        <v/>
      </c>
      <c r="BA83" s="1793" t="str">
        <f t="shared" si="49"/>
        <v/>
      </c>
      <c r="BB83" s="1793" t="str">
        <f t="shared" si="50"/>
        <v/>
      </c>
      <c r="BC83" s="1608">
        <f>IF(S_24!$DN$14&gt;0,1,0)</f>
        <v>0</v>
      </c>
      <c r="BD83" s="1608">
        <f>IF(S_24!$DO$14&gt;0,1,0)</f>
        <v>0</v>
      </c>
      <c r="BE83" s="1608">
        <f>IF(S_24!$DP$14&gt;0,1,0)</f>
        <v>0</v>
      </c>
      <c r="BF83" s="1608">
        <f>IF(S_24!$DQ$14&gt;0,1,0)</f>
        <v>0</v>
      </c>
      <c r="BG83" s="1608">
        <f>IF(S_24!$DR$14&gt;0,1,0)</f>
        <v>0</v>
      </c>
      <c r="BH83" s="1608">
        <f>IF(S_24!$DS$14&gt;0,1,0)</f>
        <v>0</v>
      </c>
      <c r="BI83" s="1608">
        <f t="shared" si="23"/>
        <v>0</v>
      </c>
      <c r="BJ83" s="1106" t="str">
        <f t="shared" si="63"/>
        <v/>
      </c>
      <c r="BK83" s="1793" t="str">
        <f t="shared" si="52"/>
        <v/>
      </c>
      <c r="BL83" s="1793" t="str">
        <f t="shared" si="53"/>
        <v/>
      </c>
      <c r="BN83" s="747">
        <f>S_24!$DE$14</f>
        <v>0</v>
      </c>
      <c r="BO83" s="747">
        <f>S_24!$DM$14</f>
        <v>0</v>
      </c>
      <c r="BP83" s="747">
        <f>S_24!$CP$14</f>
        <v>0</v>
      </c>
      <c r="BQ83" s="747">
        <f>S_24!$CQ$14</f>
        <v>0</v>
      </c>
      <c r="BR83" s="1610" t="e">
        <f>BP83/Betrieb!$E$23</f>
        <v>#DIV/0!</v>
      </c>
      <c r="BS83" s="1610" t="e">
        <f>BQ83/Betrieb!$E$24</f>
        <v>#DIV/0!</v>
      </c>
      <c r="BT83" s="1615" t="str">
        <f t="shared" si="54"/>
        <v/>
      </c>
      <c r="BU83" s="1615" t="str">
        <f t="shared" si="55"/>
        <v/>
      </c>
      <c r="BV83" s="2569">
        <f>IF(AND(S_24!$G$8="JA",S_24!$K$8="JA"),S_24!$U$14,0)</f>
        <v>0</v>
      </c>
      <c r="BW83" s="2570">
        <f>IF(AND(S_24!$G$8="JA",S_24!$K$8="JA"),S_24!$V$14,0)</f>
        <v>0</v>
      </c>
      <c r="BX83" s="2566" t="str">
        <f t="shared" ref="BX83" si="78">IF(BV83="-",0-BW83,"")</f>
        <v/>
      </c>
      <c r="BY83" s="2566" t="str">
        <f t="shared" ref="BY83" si="79">IF(BV83="+",0+BW83,"")</f>
        <v/>
      </c>
    </row>
    <row r="84" spans="3:77" ht="20.25" hidden="1" customHeight="1">
      <c r="C84" s="1654" t="str">
        <f t="array" ref="C84">IFERROR(IF(ROW($C$1)&gt;COUNTA($X$37:$X$96),"",INDEX($X:$X,SMALL(IF(X$37:X$96&lt;&gt;"",ROW($37:$96)),ROW(A48)))),"")</f>
        <v/>
      </c>
      <c r="D84" s="1656" t="str">
        <f t="array" ref="D84">IFERROR(IF(ROW($D$1)&gt;COUNTA($V$37:$V$96),"",INDEX($V:$V,SMALL(IF(V$37:V$96&lt;&gt;"",ROW($37:$96)),ROW(D48)))),"")</f>
        <v/>
      </c>
      <c r="E84" s="1652" t="str">
        <f t="array" ref="E84">IFERROR(IF(ROW($E$1)&gt;COUNTA($W$37:$W$96),"",INDEX($W:$W,SMALL(IF(W$37:W$96&lt;&gt;"",ROW($37:$96)),ROW(E48)))),"")</f>
        <v/>
      </c>
      <c r="F84" s="1655" t="str">
        <f t="array" ref="F84">IFERROR(IF(ROW($F$1)&gt;COUNTA($AA$37:$AA$96),"",INDEX($AA:$AA,SMALL(IF(AA$37:AA$96&lt;&gt;"",ROW($37:$96)),ROW(F48)))),"")</f>
        <v/>
      </c>
      <c r="G84" s="1651" t="str">
        <f t="array" ref="G84">IFERROR(IF(ROW($G$1)&gt;COUNTA($AC$37:$AC$96),"",INDEX($AC:$AC,SMALL(IF(AC$37:AC$96&lt;&gt;"",ROW($37:$96)),ROW(G48)))),"")</f>
        <v/>
      </c>
      <c r="H84" s="1652" t="str">
        <f t="array" ref="H84">IFERROR(IF(ROW($H$1)&gt;COUNTA($BT$37:$BT$96),"",INDEX($BT:$BT,SMALL(IF(BT$37:BT$96&lt;&gt;"",ROW($37:$96)),ROW(H48)))),"")</f>
        <v/>
      </c>
      <c r="I84" s="1653" t="str">
        <f t="array" ref="I84">IFERROR(IF(ROW($I$1)&gt;COUNTA($AZ$37:$AZ$96),"",INDEX($AZ:$AZ,SMALL(IF(AZ$37:AZ$96&lt;&gt;"",ROW($37:$96)),ROW(I48)))),"")</f>
        <v/>
      </c>
      <c r="J84" s="1652" t="str">
        <f t="array" ref="J84">IFERROR(IF(ROW($J$1)&gt;COUNTA($BA$37:$BA$96),"",INDEX($BA:$BA,SMALL(IF(BA$37:BA$96&lt;&gt;"",ROW($37:$96)),ROW(J48)))),"")</f>
        <v/>
      </c>
      <c r="K84" s="1649" t="str">
        <f t="array" ref="K84">IFERROR(IF(ROW($K$1)&gt;COUNTA($BB$37:$BB$96),"",INDEX($BB:$BB,SMALL(IF(BB$37:BB$96&lt;&gt;"",ROW($37:$96)),ROW(K48)))),"")</f>
        <v/>
      </c>
      <c r="M84" s="1652" t="str">
        <f t="array" ref="M84">IFERROR(IF(ROW($M$1)&gt;COUNTA($BU$37:$BU$96),"",INDEX($BU:$BU,SMALL(IF(BU$37:BU$96&lt;&gt;"",ROW($37:$96)),ROW(M48)))),"")</f>
        <v/>
      </c>
      <c r="N84" s="1653" t="str">
        <f t="array" ref="N84">IFERROR(IF(ROW($N$1)&gt;COUNTA($BJ$37:$BJ$96),"",INDEX($BJ:$BJ,SMALL(IF(BJ$37:BJ$96&lt;&gt;"",ROW($37:$96)),ROW(N48)))),"")</f>
        <v/>
      </c>
      <c r="O84" s="1652" t="str">
        <f t="array" ref="O84">IFERROR(IF(ROW($O$1)&gt;COUNTA($BK$37:$BK$96),"",INDEX($BK:$BK,SMALL(IF(BK$37:BK$96&lt;&gt;"",ROW($37:$96)),ROW(O48)))),"")</f>
        <v/>
      </c>
      <c r="P84" s="1649" t="str">
        <f t="array" ref="P84">IFERROR(IF(ROW($P$1)&gt;COUNTA($BL$37:$BL$96),"",INDEX($BL:$BL,SMALL(IF(BL$37:BL$96&lt;&gt;"",ROW($37:$96)),ROW(P48)))),"")</f>
        <v/>
      </c>
      <c r="S84" s="1775"/>
      <c r="T84" s="1775"/>
      <c r="U84" s="1608" t="str">
        <f>IF(AND(S_24!$G$8="ja",S_24!$K$8="ja"),S_24!$C$2,"")</f>
        <v/>
      </c>
      <c r="V84" s="747" t="str">
        <f t="shared" si="17"/>
        <v/>
      </c>
      <c r="W84" s="1106" t="str">
        <f>IF($U84="","",S_24!$B$15)</f>
        <v/>
      </c>
      <c r="X84" s="1608" t="str">
        <f>IF($U84="","",S_24!$A$15)</f>
        <v/>
      </c>
      <c r="Y84" s="2604"/>
      <c r="Z84" s="1608" t="str">
        <f>IF($U84="","",S_24!$C$15)</f>
        <v/>
      </c>
      <c r="AA84" s="747" t="str">
        <f t="shared" si="18"/>
        <v/>
      </c>
      <c r="AB84" s="1608" t="str">
        <f>IF($U84="","",S_24!$CM$15)</f>
        <v/>
      </c>
      <c r="AC84" s="747" t="str">
        <f t="shared" si="19"/>
        <v/>
      </c>
      <c r="AQ84" s="1608">
        <f>IF(S_24!$DF$15&gt;0,1,0)</f>
        <v>0</v>
      </c>
      <c r="AR84" s="1608">
        <f>IF(S_24!$DG$15&gt;0,1,0)</f>
        <v>0</v>
      </c>
      <c r="AS84" s="1608">
        <f>IF(S_24!$DH$15&gt;0,1,0)</f>
        <v>0</v>
      </c>
      <c r="AT84" s="1608">
        <f>IF(S_24!$DI$15&gt;0,1,0)</f>
        <v>0</v>
      </c>
      <c r="AU84" s="1608">
        <f>IF(S_24!$DJ$15&gt;0,1,0)</f>
        <v>0</v>
      </c>
      <c r="AV84" s="1608">
        <f>IF(S_24!$DK$15&gt;0,1,0)</f>
        <v>0</v>
      </c>
      <c r="AW84" s="1608">
        <f t="shared" si="22"/>
        <v>0</v>
      </c>
      <c r="AX84" s="1608" t="str">
        <f t="shared" si="46"/>
        <v/>
      </c>
      <c r="AY84" s="1106" t="str">
        <f t="shared" si="62"/>
        <v/>
      </c>
      <c r="AZ84" s="1106" t="str">
        <f t="shared" si="48"/>
        <v/>
      </c>
      <c r="BA84" s="1793" t="str">
        <f t="shared" si="49"/>
        <v/>
      </c>
      <c r="BB84" s="1793" t="str">
        <f t="shared" si="50"/>
        <v/>
      </c>
      <c r="BC84" s="1608">
        <f>IF(S_24!$DN$15&gt;0,1,0)</f>
        <v>0</v>
      </c>
      <c r="BD84" s="1608">
        <f>IF(S_24!$DO$15&gt;0,1,0)</f>
        <v>0</v>
      </c>
      <c r="BE84" s="1608">
        <f>IF(S_24!$DP$15&gt;0,1,0)</f>
        <v>0</v>
      </c>
      <c r="BF84" s="1608">
        <f>IF(S_24!$DQ$15&gt;0,1,0)</f>
        <v>0</v>
      </c>
      <c r="BG84" s="1608">
        <f>IF(S_24!$DR$15&gt;0,1,0)</f>
        <v>0</v>
      </c>
      <c r="BH84" s="1608">
        <f>IF(S_24!$DS$15&gt;0,1,0)</f>
        <v>0</v>
      </c>
      <c r="BI84" s="1608">
        <f t="shared" si="23"/>
        <v>0</v>
      </c>
      <c r="BJ84" s="1106" t="str">
        <f t="shared" si="63"/>
        <v/>
      </c>
      <c r="BK84" s="1793" t="str">
        <f t="shared" si="52"/>
        <v/>
      </c>
      <c r="BL84" s="1793" t="str">
        <f t="shared" si="53"/>
        <v/>
      </c>
      <c r="BN84" s="747">
        <f>S_24!$DE$15</f>
        <v>0</v>
      </c>
      <c r="BO84" s="747">
        <f>S_24!$DM$15</f>
        <v>0</v>
      </c>
      <c r="BP84" s="747">
        <f>S_24!$CP$15</f>
        <v>0</v>
      </c>
      <c r="BQ84" s="747">
        <f>S_24!$CQ$15</f>
        <v>0</v>
      </c>
      <c r="BR84" s="1610" t="e">
        <f>BP84/Betrieb!$E$23</f>
        <v>#DIV/0!</v>
      </c>
      <c r="BS84" s="1610" t="e">
        <f>BQ84/Betrieb!$E$24</f>
        <v>#DIV/0!</v>
      </c>
      <c r="BT84" s="1615" t="str">
        <f t="shared" si="54"/>
        <v/>
      </c>
      <c r="BU84" s="1615" t="str">
        <f t="shared" si="55"/>
        <v/>
      </c>
      <c r="BV84" s="2569"/>
      <c r="BW84" s="2570"/>
      <c r="BX84" s="2566"/>
      <c r="BY84" s="2566"/>
    </row>
    <row r="85" spans="3:77" ht="20.25" hidden="1" customHeight="1">
      <c r="C85" s="1654" t="str">
        <f t="array" ref="C85">IFERROR(IF(ROW($C$1)&gt;COUNTA($X$37:$X$96),"",INDEX($X:$X,SMALL(IF(X$37:X$96&lt;&gt;"",ROW($37:$96)),ROW(A49)))),"")</f>
        <v/>
      </c>
      <c r="D85" s="1656" t="str">
        <f t="array" ref="D85">IFERROR(IF(ROW($D$1)&gt;COUNTA($V$37:$V$96),"",INDEX($V:$V,SMALL(IF(V$37:V$96&lt;&gt;"",ROW($37:$96)),ROW(D49)))),"")</f>
        <v/>
      </c>
      <c r="E85" s="1652" t="str">
        <f t="array" ref="E85">IFERROR(IF(ROW($E$1)&gt;COUNTA($W$37:$W$96),"",INDEX($W:$W,SMALL(IF(W$37:W$96&lt;&gt;"",ROW($37:$96)),ROW(E49)))),"")</f>
        <v/>
      </c>
      <c r="F85" s="1655" t="str">
        <f t="array" ref="F85">IFERROR(IF(ROW($F$1)&gt;COUNTA($AA$37:$AA$96),"",INDEX($AA:$AA,SMALL(IF(AA$37:AA$96&lt;&gt;"",ROW($37:$96)),ROW(F49)))),"")</f>
        <v/>
      </c>
      <c r="G85" s="1651" t="str">
        <f t="array" ref="G85">IFERROR(IF(ROW($G$1)&gt;COUNTA($AC$37:$AC$96),"",INDEX($AC:$AC,SMALL(IF(AC$37:AC$96&lt;&gt;"",ROW($37:$96)),ROW(G49)))),"")</f>
        <v/>
      </c>
      <c r="H85" s="1652" t="str">
        <f t="array" ref="H85">IFERROR(IF(ROW($H$1)&gt;COUNTA($BT$37:$BT$96),"",INDEX($BT:$BT,SMALL(IF(BT$37:BT$96&lt;&gt;"",ROW($37:$96)),ROW(H49)))),"")</f>
        <v/>
      </c>
      <c r="I85" s="1653" t="str">
        <f t="array" ref="I85">IFERROR(IF(ROW($I$1)&gt;COUNTA($AZ$37:$AZ$96),"",INDEX($AZ:$AZ,SMALL(IF(AZ$37:AZ$96&lt;&gt;"",ROW($37:$96)),ROW(I49)))),"")</f>
        <v/>
      </c>
      <c r="J85" s="1652" t="str">
        <f t="array" ref="J85">IFERROR(IF(ROW($J$1)&gt;COUNTA($BA$37:$BA$96),"",INDEX($BA:$BA,SMALL(IF(BA$37:BA$96&lt;&gt;"",ROW($37:$96)),ROW(J49)))),"")</f>
        <v/>
      </c>
      <c r="K85" s="1649" t="str">
        <f t="array" ref="K85">IFERROR(IF(ROW($K$1)&gt;COUNTA($BB$37:$BB$96),"",INDEX($BB:$BB,SMALL(IF(BB$37:BB$96&lt;&gt;"",ROW($37:$96)),ROW(K49)))),"")</f>
        <v/>
      </c>
      <c r="M85" s="1652" t="str">
        <f t="array" ref="M85">IFERROR(IF(ROW($M$1)&gt;COUNTA($BU$37:$BU$96),"",INDEX($BU:$BU,SMALL(IF(BU$37:BU$96&lt;&gt;"",ROW($37:$96)),ROW(M49)))),"")</f>
        <v/>
      </c>
      <c r="N85" s="1653" t="str">
        <f t="array" ref="N85">IFERROR(IF(ROW($N$1)&gt;COUNTA($BJ$37:$BJ$96),"",INDEX($BJ:$BJ,SMALL(IF(BJ$37:BJ$96&lt;&gt;"",ROW($37:$96)),ROW(N49)))),"")</f>
        <v/>
      </c>
      <c r="O85" s="1652" t="str">
        <f t="array" ref="O85">IFERROR(IF(ROW($O$1)&gt;COUNTA($BK$37:$BK$96),"",INDEX($BK:$BK,SMALL(IF(BK$37:BK$96&lt;&gt;"",ROW($37:$96)),ROW(O49)))),"")</f>
        <v/>
      </c>
      <c r="P85" s="1649" t="str">
        <f t="array" ref="P85">IFERROR(IF(ROW($P$1)&gt;COUNTA($BL$37:$BL$96),"",INDEX($BL:$BL,SMALL(IF(BL$37:BL$96&lt;&gt;"",ROW($37:$96)),ROW(P49)))),"")</f>
        <v/>
      </c>
      <c r="S85" s="1775"/>
      <c r="T85" s="1775"/>
      <c r="U85" s="1608" t="str">
        <f>IF(AND(S_25!$G$8="ja",S_25!$K$8="ja"),S_25!$C$2,"")</f>
        <v/>
      </c>
      <c r="V85" s="747" t="str">
        <f t="shared" si="17"/>
        <v/>
      </c>
      <c r="W85" s="1106" t="str">
        <f>IF($U85="","",S_25!$B$14)</f>
        <v/>
      </c>
      <c r="X85" s="1608" t="str">
        <f>IF($U85="","",S_25!$A$14)</f>
        <v/>
      </c>
      <c r="Y85" s="2604" t="str">
        <f>IF($U85="","",Grünland!B29)</f>
        <v/>
      </c>
      <c r="Z85" s="1608" t="str">
        <f>IF($U85="","",S_25!$C$14)</f>
        <v/>
      </c>
      <c r="AA85" s="747" t="str">
        <f t="shared" si="18"/>
        <v/>
      </c>
      <c r="AB85" s="1608" t="str">
        <f>IF($U85="","",S_25!$CM$14)</f>
        <v/>
      </c>
      <c r="AC85" s="747" t="str">
        <f t="shared" si="19"/>
        <v/>
      </c>
      <c r="AQ85" s="1608">
        <f>IF(S_25!$DF$14&gt;0,1,0)</f>
        <v>0</v>
      </c>
      <c r="AR85" s="1608">
        <f>IF(S_25!$DG$14&gt;0,1,0)</f>
        <v>0</v>
      </c>
      <c r="AS85" s="1608">
        <f>IF(S_25!$DH$14&gt;0,1,0)</f>
        <v>0</v>
      </c>
      <c r="AT85" s="1608">
        <f>IF(S_25!$DI$14&gt;0,1,0)</f>
        <v>0</v>
      </c>
      <c r="AU85" s="1608">
        <f>IF(S_25!$DJ$14&gt;0,1,0)</f>
        <v>0</v>
      </c>
      <c r="AV85" s="1608">
        <f>IF(S_25!$DK$14&gt;0,1,0)</f>
        <v>0</v>
      </c>
      <c r="AW85" s="1608">
        <f t="shared" si="22"/>
        <v>0</v>
      </c>
      <c r="AX85" s="1608" t="str">
        <f t="shared" si="46"/>
        <v/>
      </c>
      <c r="AY85" s="1106" t="str">
        <f t="shared" si="62"/>
        <v/>
      </c>
      <c r="AZ85" s="1106" t="str">
        <f t="shared" si="48"/>
        <v/>
      </c>
      <c r="BA85" s="1793" t="str">
        <f t="shared" si="49"/>
        <v/>
      </c>
      <c r="BB85" s="1793" t="str">
        <f t="shared" si="50"/>
        <v/>
      </c>
      <c r="BC85" s="1608">
        <f>IF(S_25!$DN$14&gt;0,1,0)</f>
        <v>0</v>
      </c>
      <c r="BD85" s="1608">
        <f>IF(S_25!$DO$14&gt;0,1,0)</f>
        <v>0</v>
      </c>
      <c r="BE85" s="1608">
        <f>IF(S_25!$DP$14&gt;0,1,0)</f>
        <v>0</v>
      </c>
      <c r="BF85" s="1608">
        <f>IF(S_25!$DQ$14&gt;0,1,0)</f>
        <v>0</v>
      </c>
      <c r="BG85" s="1608">
        <f>IF(S_25!$DR$14&gt;0,1,0)</f>
        <v>0</v>
      </c>
      <c r="BH85" s="1608">
        <f>IF(S_25!$DS$14&gt;0,1,0)</f>
        <v>0</v>
      </c>
      <c r="BI85" s="1608">
        <f t="shared" si="23"/>
        <v>0</v>
      </c>
      <c r="BJ85" s="1106" t="str">
        <f t="shared" si="63"/>
        <v/>
      </c>
      <c r="BK85" s="1793" t="str">
        <f t="shared" si="52"/>
        <v/>
      </c>
      <c r="BL85" s="1793" t="str">
        <f t="shared" si="53"/>
        <v/>
      </c>
      <c r="BN85" s="747">
        <f>S_25!$DE$14</f>
        <v>0</v>
      </c>
      <c r="BO85" s="747">
        <f>S_25!$DM$14</f>
        <v>0</v>
      </c>
      <c r="BP85" s="747">
        <f>S_25!$CP$14</f>
        <v>0</v>
      </c>
      <c r="BQ85" s="747">
        <f>S_25!$CQ$14</f>
        <v>0</v>
      </c>
      <c r="BR85" s="1610" t="e">
        <f>BP85/Betrieb!$E$23</f>
        <v>#DIV/0!</v>
      </c>
      <c r="BS85" s="1610" t="e">
        <f>BQ85/Betrieb!$E$24</f>
        <v>#DIV/0!</v>
      </c>
      <c r="BT85" s="1615" t="str">
        <f t="shared" si="54"/>
        <v/>
      </c>
      <c r="BU85" s="1615" t="str">
        <f t="shared" si="55"/>
        <v/>
      </c>
      <c r="BV85" s="2569">
        <f>IF(AND(S_25!$G$8="JA",S_25!$K$8="JA"),S_25!$U$14,0)</f>
        <v>0</v>
      </c>
      <c r="BW85" s="2570">
        <f>IF(AND(S_25!$G$8="JA",S_25!$K$8="JA"),S_25!$V$14,0)</f>
        <v>0</v>
      </c>
      <c r="BX85" s="2566" t="str">
        <f t="shared" ref="BX85" si="80">IF(BV85="-",0-BW85,"")</f>
        <v/>
      </c>
      <c r="BY85" s="2566" t="str">
        <f t="shared" ref="BY85" si="81">IF(BV85="+",0+BW85,"")</f>
        <v/>
      </c>
    </row>
    <row r="86" spans="3:77" ht="20.25" hidden="1" customHeight="1">
      <c r="C86" s="1654" t="str">
        <f t="array" ref="C86">IFERROR(IF(ROW($C$1)&gt;COUNTA($X$37:$X$96),"",INDEX($X:$X,SMALL(IF(X$37:X$96&lt;&gt;"",ROW($37:$96)),ROW(A50)))),"")</f>
        <v/>
      </c>
      <c r="D86" s="1656" t="str">
        <f t="array" ref="D86">IFERROR(IF(ROW($D$1)&gt;COUNTA($V$37:$V$96),"",INDEX($V:$V,SMALL(IF(V$37:V$96&lt;&gt;"",ROW($37:$96)),ROW(D50)))),"")</f>
        <v/>
      </c>
      <c r="E86" s="1652" t="str">
        <f t="array" ref="E86">IFERROR(IF(ROW($E$1)&gt;COUNTA($W$37:$W$96),"",INDEX($W:$W,SMALL(IF(W$37:W$96&lt;&gt;"",ROW($37:$96)),ROW(E50)))),"")</f>
        <v/>
      </c>
      <c r="F86" s="1655" t="str">
        <f t="array" ref="F86">IFERROR(IF(ROW($F$1)&gt;COUNTA($AA$37:$AA$96),"",INDEX($AA:$AA,SMALL(IF(AA$37:AA$96&lt;&gt;"",ROW($37:$96)),ROW(F50)))),"")</f>
        <v/>
      </c>
      <c r="G86" s="1651" t="str">
        <f t="array" ref="G86">IFERROR(IF(ROW($G$1)&gt;COUNTA($AC$37:$AC$96),"",INDEX($AC:$AC,SMALL(IF(AC$37:AC$96&lt;&gt;"",ROW($37:$96)),ROW(G50)))),"")</f>
        <v/>
      </c>
      <c r="H86" s="1652" t="str">
        <f t="array" ref="H86">IFERROR(IF(ROW($H$1)&gt;COUNTA($BT$37:$BT$96),"",INDEX($BT:$BT,SMALL(IF(BT$37:BT$96&lt;&gt;"",ROW($37:$96)),ROW(H50)))),"")</f>
        <v/>
      </c>
      <c r="I86" s="1653" t="str">
        <f t="array" ref="I86">IFERROR(IF(ROW($I$1)&gt;COUNTA($AZ$37:$AZ$96),"",INDEX($AZ:$AZ,SMALL(IF(AZ$37:AZ$96&lt;&gt;"",ROW($37:$96)),ROW(I50)))),"")</f>
        <v/>
      </c>
      <c r="J86" s="1652" t="str">
        <f t="array" ref="J86">IFERROR(IF(ROW($J$1)&gt;COUNTA($BA$37:$BA$96),"",INDEX($BA:$BA,SMALL(IF(BA$37:BA$96&lt;&gt;"",ROW($37:$96)),ROW(J50)))),"")</f>
        <v/>
      </c>
      <c r="K86" s="1649" t="str">
        <f t="array" ref="K86">IFERROR(IF(ROW($K$1)&gt;COUNTA($BB$37:$BB$96),"",INDEX($BB:$BB,SMALL(IF(BB$37:BB$96&lt;&gt;"",ROW($37:$96)),ROW(K50)))),"")</f>
        <v/>
      </c>
      <c r="M86" s="1652" t="str">
        <f t="array" ref="M86">IFERROR(IF(ROW($M$1)&gt;COUNTA($BU$37:$BU$96),"",INDEX($BU:$BU,SMALL(IF(BU$37:BU$96&lt;&gt;"",ROW($37:$96)),ROW(M50)))),"")</f>
        <v/>
      </c>
      <c r="N86" s="1653" t="str">
        <f t="array" ref="N86">IFERROR(IF(ROW($N$1)&gt;COUNTA($BJ$37:$BJ$96),"",INDEX($BJ:$BJ,SMALL(IF(BJ$37:BJ$96&lt;&gt;"",ROW($37:$96)),ROW(N50)))),"")</f>
        <v/>
      </c>
      <c r="O86" s="1652" t="str">
        <f t="array" ref="O86">IFERROR(IF(ROW($O$1)&gt;COUNTA($BK$37:$BK$96),"",INDEX($BK:$BK,SMALL(IF(BK$37:BK$96&lt;&gt;"",ROW($37:$96)),ROW(O50)))),"")</f>
        <v/>
      </c>
      <c r="P86" s="1649" t="str">
        <f t="array" ref="P86">IFERROR(IF(ROW($P$1)&gt;COUNTA($BL$37:$BL$96),"",INDEX($BL:$BL,SMALL(IF(BL$37:BL$96&lt;&gt;"",ROW($37:$96)),ROW(P50)))),"")</f>
        <v/>
      </c>
      <c r="S86" s="1775"/>
      <c r="T86" s="1775"/>
      <c r="U86" s="1608" t="str">
        <f>IF(AND(S_25!$G$8="ja",S_25!$K$8="ja"),S_25!$C$2,"")</f>
        <v/>
      </c>
      <c r="V86" s="747" t="str">
        <f t="shared" si="17"/>
        <v/>
      </c>
      <c r="W86" s="1106" t="str">
        <f>IF($U86="","",S_25!$B$15)</f>
        <v/>
      </c>
      <c r="X86" s="1608" t="str">
        <f>IF($U86="","",S_25!$A$15)</f>
        <v/>
      </c>
      <c r="Y86" s="2604"/>
      <c r="Z86" s="1608" t="str">
        <f>IF($U86="","",S_25!$C$15)</f>
        <v/>
      </c>
      <c r="AA86" s="747" t="str">
        <f t="shared" si="18"/>
        <v/>
      </c>
      <c r="AB86" s="1608" t="str">
        <f>IF($U86="","",S_25!$CM$15)</f>
        <v/>
      </c>
      <c r="AC86" s="747" t="str">
        <f t="shared" si="19"/>
        <v/>
      </c>
      <c r="AQ86" s="1608">
        <f>IF(S_25!$DF$15&gt;0,1,0)</f>
        <v>0</v>
      </c>
      <c r="AR86" s="1608">
        <f>IF(S_25!$DG$15&gt;0,1,0)</f>
        <v>0</v>
      </c>
      <c r="AS86" s="1608">
        <f>IF(S_25!$DH$15&gt;0,1,0)</f>
        <v>0</v>
      </c>
      <c r="AT86" s="1608">
        <f>IF(S_25!$DI$15&gt;0,1,0)</f>
        <v>0</v>
      </c>
      <c r="AU86" s="1608">
        <f>IF(S_25!$DJ$15&gt;0,1,0)</f>
        <v>0</v>
      </c>
      <c r="AV86" s="1608">
        <f>IF(S_25!$DK$15&gt;0,1,0)</f>
        <v>0</v>
      </c>
      <c r="AW86" s="1608">
        <f t="shared" si="22"/>
        <v>0</v>
      </c>
      <c r="AX86" s="1608" t="str">
        <f t="shared" si="46"/>
        <v/>
      </c>
      <c r="AY86" s="1106" t="str">
        <f t="shared" si="62"/>
        <v/>
      </c>
      <c r="AZ86" s="1106" t="str">
        <f t="shared" si="48"/>
        <v/>
      </c>
      <c r="BA86" s="1793" t="str">
        <f t="shared" si="49"/>
        <v/>
      </c>
      <c r="BB86" s="1793" t="str">
        <f t="shared" si="50"/>
        <v/>
      </c>
      <c r="BC86" s="1608">
        <f>IF(S_25!$DN$15&gt;0,1,0)</f>
        <v>0</v>
      </c>
      <c r="BD86" s="1608">
        <f>IF(S_25!$DO$15&gt;0,1,0)</f>
        <v>0</v>
      </c>
      <c r="BE86" s="1608">
        <f>IF(S_25!$DP$15&gt;0,1,0)</f>
        <v>0</v>
      </c>
      <c r="BF86" s="1608">
        <f>IF(S_25!$DQ$15&gt;0,1,0)</f>
        <v>0</v>
      </c>
      <c r="BG86" s="1608">
        <f>IF(S_25!$DR$15&gt;0,1,0)</f>
        <v>0</v>
      </c>
      <c r="BH86" s="1608">
        <f>IF(S_25!$DS$15&gt;0,1,0)</f>
        <v>0</v>
      </c>
      <c r="BI86" s="1608">
        <f t="shared" si="23"/>
        <v>0</v>
      </c>
      <c r="BJ86" s="1106" t="str">
        <f t="shared" si="63"/>
        <v/>
      </c>
      <c r="BK86" s="1793" t="str">
        <f t="shared" si="52"/>
        <v/>
      </c>
      <c r="BL86" s="1793" t="str">
        <f t="shared" si="53"/>
        <v/>
      </c>
      <c r="BN86" s="747">
        <f>S_25!$DE$15</f>
        <v>0</v>
      </c>
      <c r="BO86" s="747">
        <f>S_25!$DM$15</f>
        <v>0</v>
      </c>
      <c r="BP86" s="747">
        <f>S_25!$CP$15</f>
        <v>0</v>
      </c>
      <c r="BQ86" s="747">
        <f>S_25!$CQ$15</f>
        <v>0</v>
      </c>
      <c r="BR86" s="1610" t="e">
        <f>BP86/Betrieb!$E$23</f>
        <v>#DIV/0!</v>
      </c>
      <c r="BS86" s="1610" t="e">
        <f>BQ86/Betrieb!$E$24</f>
        <v>#DIV/0!</v>
      </c>
      <c r="BT86" s="1615" t="str">
        <f t="shared" si="54"/>
        <v/>
      </c>
      <c r="BU86" s="1615" t="str">
        <f t="shared" si="55"/>
        <v/>
      </c>
      <c r="BV86" s="2569"/>
      <c r="BW86" s="2570"/>
      <c r="BX86" s="2566"/>
      <c r="BY86" s="2566"/>
    </row>
    <row r="87" spans="3:77" ht="20.25" hidden="1" customHeight="1">
      <c r="C87" s="1654" t="str">
        <f t="array" ref="C87">IFERROR(IF(ROW($C$1)&gt;COUNTA($X$37:$X$96),"",INDEX($X:$X,SMALL(IF(X$37:X$96&lt;&gt;"",ROW($37:$96)),ROW(A51)))),"")</f>
        <v/>
      </c>
      <c r="D87" s="1656" t="str">
        <f t="array" ref="D87">IFERROR(IF(ROW($D$1)&gt;COUNTA($V$37:$V$96),"",INDEX($V:$V,SMALL(IF(V$37:V$96&lt;&gt;"",ROW($37:$96)),ROW(D51)))),"")</f>
        <v/>
      </c>
      <c r="E87" s="1652" t="str">
        <f t="array" ref="E87">IFERROR(IF(ROW($E$1)&gt;COUNTA($W$37:$W$96),"",INDEX($W:$W,SMALL(IF(W$37:W$96&lt;&gt;"",ROW($37:$96)),ROW(E51)))),"")</f>
        <v/>
      </c>
      <c r="F87" s="1655" t="str">
        <f t="array" ref="F87">IFERROR(IF(ROW($F$1)&gt;COUNTA($AA$37:$AA$96),"",INDEX($AA:$AA,SMALL(IF(AA$37:AA$96&lt;&gt;"",ROW($37:$96)),ROW(F51)))),"")</f>
        <v/>
      </c>
      <c r="G87" s="1651" t="str">
        <f t="array" ref="G87">IFERROR(IF(ROW($G$1)&gt;COUNTA($AC$37:$AC$96),"",INDEX($AC:$AC,SMALL(IF(AC$37:AC$96&lt;&gt;"",ROW($37:$96)),ROW(G51)))),"")</f>
        <v/>
      </c>
      <c r="H87" s="1652" t="str">
        <f t="array" ref="H87">IFERROR(IF(ROW($H$1)&gt;COUNTA($BT$37:$BT$96),"",INDEX($BT:$BT,SMALL(IF(BT$37:BT$96&lt;&gt;"",ROW($37:$96)),ROW(H51)))),"")</f>
        <v/>
      </c>
      <c r="I87" s="1653" t="str">
        <f t="array" ref="I87">IFERROR(IF(ROW($I$1)&gt;COUNTA($AZ$37:$AZ$96),"",INDEX($AZ:$AZ,SMALL(IF(AZ$37:AZ$96&lt;&gt;"",ROW($37:$96)),ROW(I51)))),"")</f>
        <v/>
      </c>
      <c r="J87" s="1652" t="str">
        <f t="array" ref="J87">IFERROR(IF(ROW($J$1)&gt;COUNTA($BA$37:$BA$96),"",INDEX($BA:$BA,SMALL(IF(BA$37:BA$96&lt;&gt;"",ROW($37:$96)),ROW(J51)))),"")</f>
        <v/>
      </c>
      <c r="K87" s="1649" t="str">
        <f t="array" ref="K87">IFERROR(IF(ROW($K$1)&gt;COUNTA($BB$37:$BB$96),"",INDEX($BB:$BB,SMALL(IF(BB$37:BB$96&lt;&gt;"",ROW($37:$96)),ROW(K51)))),"")</f>
        <v/>
      </c>
      <c r="M87" s="1652" t="str">
        <f t="array" ref="M87">IFERROR(IF(ROW($M$1)&gt;COUNTA($BU$37:$BU$96),"",INDEX($BU:$BU,SMALL(IF(BU$37:BU$96&lt;&gt;"",ROW($37:$96)),ROW(M51)))),"")</f>
        <v/>
      </c>
      <c r="N87" s="1653" t="str">
        <f t="array" ref="N87">IFERROR(IF(ROW($N$1)&gt;COUNTA($BJ$37:$BJ$96),"",INDEX($BJ:$BJ,SMALL(IF(BJ$37:BJ$96&lt;&gt;"",ROW($37:$96)),ROW(N51)))),"")</f>
        <v/>
      </c>
      <c r="O87" s="1652" t="str">
        <f t="array" ref="O87">IFERROR(IF(ROW($O$1)&gt;COUNTA($BK$37:$BK$96),"",INDEX($BK:$BK,SMALL(IF(BK$37:BK$96&lt;&gt;"",ROW($37:$96)),ROW(O51)))),"")</f>
        <v/>
      </c>
      <c r="P87" s="1649" t="str">
        <f t="array" ref="P87">IFERROR(IF(ROW($P$1)&gt;COUNTA($BL$37:$BL$96),"",INDEX($BL:$BL,SMALL(IF(BL$37:BL$96&lt;&gt;"",ROW($37:$96)),ROW(P51)))),"")</f>
        <v/>
      </c>
      <c r="S87" s="1775"/>
      <c r="T87" s="1775"/>
      <c r="U87" s="1608" t="str">
        <f>IF(AND(S_26!$G$8="ja",S_26!$K$8="ja"),S_26!$C$2,"")</f>
        <v/>
      </c>
      <c r="V87" s="747" t="str">
        <f t="shared" si="17"/>
        <v/>
      </c>
      <c r="W87" s="1106" t="str">
        <f>IF($U87="","",S_26!$B$14)</f>
        <v/>
      </c>
      <c r="X87" s="1608" t="str">
        <f>IF($U87="","",S_26!$A$14)</f>
        <v/>
      </c>
      <c r="Y87" s="2604" t="str">
        <f>IF($U87="","",Grünland!B30)</f>
        <v/>
      </c>
      <c r="Z87" s="1608" t="str">
        <f>IF($U87="","",S_26!$C$14)</f>
        <v/>
      </c>
      <c r="AA87" s="747" t="str">
        <f t="shared" si="18"/>
        <v/>
      </c>
      <c r="AB87" s="1608" t="str">
        <f>IF($U87="","",S_26!$CM$14)</f>
        <v/>
      </c>
      <c r="AC87" s="747" t="str">
        <f t="shared" si="19"/>
        <v/>
      </c>
      <c r="AQ87" s="1608">
        <f>IF(S_26!$DF$14&gt;0,1,0)</f>
        <v>0</v>
      </c>
      <c r="AR87" s="1608">
        <f>IF(S_26!$DG$14&gt;0,1,0)</f>
        <v>0</v>
      </c>
      <c r="AS87" s="1608">
        <f>IF(S_26!$DH$14&gt;0,1,0)</f>
        <v>0</v>
      </c>
      <c r="AT87" s="1608">
        <f>IF(S_26!$DI$14&gt;0,1,0)</f>
        <v>0</v>
      </c>
      <c r="AU87" s="1608">
        <f>IF(S_26!$DJ$14&gt;0,1,0)</f>
        <v>0</v>
      </c>
      <c r="AV87" s="1608">
        <f>IF(S_26!$DK$14&gt;0,1,0)</f>
        <v>0</v>
      </c>
      <c r="AW87" s="1608">
        <f t="shared" si="22"/>
        <v>0</v>
      </c>
      <c r="AX87" s="1608" t="str">
        <f t="shared" si="46"/>
        <v/>
      </c>
      <c r="AY87" s="1106" t="str">
        <f t="shared" si="62"/>
        <v/>
      </c>
      <c r="AZ87" s="1106" t="str">
        <f t="shared" si="48"/>
        <v/>
      </c>
      <c r="BA87" s="1793" t="str">
        <f t="shared" si="49"/>
        <v/>
      </c>
      <c r="BB87" s="1793" t="str">
        <f t="shared" si="50"/>
        <v/>
      </c>
      <c r="BC87" s="1608">
        <f>IF(S_26!$DN$14&gt;0,1,0)</f>
        <v>0</v>
      </c>
      <c r="BD87" s="1608">
        <f>IF(S_26!$DO$14&gt;0,1,0)</f>
        <v>0</v>
      </c>
      <c r="BE87" s="1608">
        <f>IF(S_26!$DP$14&gt;0,1,0)</f>
        <v>0</v>
      </c>
      <c r="BF87" s="1608">
        <f>IF(S_26!$DQ$14&gt;0,1,0)</f>
        <v>0</v>
      </c>
      <c r="BG87" s="1608">
        <f>IF(S_26!$DR$14&gt;0,1,0)</f>
        <v>0</v>
      </c>
      <c r="BH87" s="1608">
        <f>IF(S_26!$DS$14&gt;0,1,0)</f>
        <v>0</v>
      </c>
      <c r="BI87" s="1608">
        <f t="shared" si="23"/>
        <v>0</v>
      </c>
      <c r="BJ87" s="1106" t="str">
        <f t="shared" si="63"/>
        <v/>
      </c>
      <c r="BK87" s="1793" t="str">
        <f t="shared" si="52"/>
        <v/>
      </c>
      <c r="BL87" s="1793" t="str">
        <f t="shared" si="53"/>
        <v/>
      </c>
      <c r="BN87" s="747">
        <f>S_26!$DE$14</f>
        <v>0</v>
      </c>
      <c r="BO87" s="747">
        <f>S_26!$DM$14</f>
        <v>0</v>
      </c>
      <c r="BP87" s="747">
        <f>S_26!$CP$14</f>
        <v>0</v>
      </c>
      <c r="BQ87" s="747">
        <f>S_26!$CQ$14</f>
        <v>0</v>
      </c>
      <c r="BR87" s="1610" t="e">
        <f>BP87/Betrieb!$E$23</f>
        <v>#DIV/0!</v>
      </c>
      <c r="BS87" s="1610" t="e">
        <f>BQ87/Betrieb!$E$24</f>
        <v>#DIV/0!</v>
      </c>
      <c r="BT87" s="1615" t="str">
        <f t="shared" si="54"/>
        <v/>
      </c>
      <c r="BU87" s="1615" t="str">
        <f t="shared" si="55"/>
        <v/>
      </c>
      <c r="BV87" s="2569">
        <f>IF(AND(S_26!$G$8="JA",S_26!$K$8="JA"),S_26!$U$14,0)</f>
        <v>0</v>
      </c>
      <c r="BW87" s="2570">
        <f>IF(AND(S_26!$G$8="JA",S_26!$K$8="JA"),S_26!$V$14,0)</f>
        <v>0</v>
      </c>
      <c r="BX87" s="2566" t="str">
        <f t="shared" ref="BX87" si="82">IF(BV87="-",0-BW87,"")</f>
        <v/>
      </c>
      <c r="BY87" s="2566" t="str">
        <f t="shared" ref="BY87" si="83">IF(BV87="+",0+BW87,"")</f>
        <v/>
      </c>
    </row>
    <row r="88" spans="3:77" ht="20.25" hidden="1" customHeight="1">
      <c r="C88" s="1654" t="str">
        <f t="array" ref="C88">IFERROR(IF(ROW($C$1)&gt;COUNTA($X$37:$X$96),"",INDEX($X:$X,SMALL(IF(X$37:X$96&lt;&gt;"",ROW($37:$96)),ROW(A52)))),"")</f>
        <v/>
      </c>
      <c r="D88" s="1656" t="str">
        <f t="array" ref="D88">IFERROR(IF(ROW($D$1)&gt;COUNTA($V$37:$V$96),"",INDEX($V:$V,SMALL(IF(V$37:V$96&lt;&gt;"",ROW($37:$96)),ROW(D52)))),"")</f>
        <v/>
      </c>
      <c r="E88" s="1652" t="str">
        <f t="array" ref="E88">IFERROR(IF(ROW($E$1)&gt;COUNTA($W$37:$W$96),"",INDEX($W:$W,SMALL(IF(W$37:W$96&lt;&gt;"",ROW($37:$96)),ROW(E52)))),"")</f>
        <v/>
      </c>
      <c r="F88" s="1655" t="str">
        <f t="array" ref="F88">IFERROR(IF(ROW($F$1)&gt;COUNTA($AA$37:$AA$96),"",INDEX($AA:$AA,SMALL(IF(AA$37:AA$96&lt;&gt;"",ROW($37:$96)),ROW(F52)))),"")</f>
        <v/>
      </c>
      <c r="G88" s="1651" t="str">
        <f t="array" ref="G88">IFERROR(IF(ROW($G$1)&gt;COUNTA($AC$37:$AC$96),"",INDEX($AC:$AC,SMALL(IF(AC$37:AC$96&lt;&gt;"",ROW($37:$96)),ROW(G52)))),"")</f>
        <v/>
      </c>
      <c r="H88" s="1652" t="str">
        <f t="array" ref="H88">IFERROR(IF(ROW($H$1)&gt;COUNTA($BT$37:$BT$96),"",INDEX($BT:$BT,SMALL(IF(BT$37:BT$96&lt;&gt;"",ROW($37:$96)),ROW(H52)))),"")</f>
        <v/>
      </c>
      <c r="I88" s="1653" t="str">
        <f t="array" ref="I88">IFERROR(IF(ROW($I$1)&gt;COUNTA($AZ$37:$AZ$96),"",INDEX($AZ:$AZ,SMALL(IF(AZ$37:AZ$96&lt;&gt;"",ROW($37:$96)),ROW(I52)))),"")</f>
        <v/>
      </c>
      <c r="J88" s="1652" t="str">
        <f t="array" ref="J88">IFERROR(IF(ROW($J$1)&gt;COUNTA($BA$37:$BA$96),"",INDEX($BA:$BA,SMALL(IF(BA$37:BA$96&lt;&gt;"",ROW($37:$96)),ROW(J52)))),"")</f>
        <v/>
      </c>
      <c r="K88" s="1649" t="str">
        <f t="array" ref="K88">IFERROR(IF(ROW($K$1)&gt;COUNTA($BB$37:$BB$96),"",INDEX($BB:$BB,SMALL(IF(BB$37:BB$96&lt;&gt;"",ROW($37:$96)),ROW(K52)))),"")</f>
        <v/>
      </c>
      <c r="M88" s="1652" t="str">
        <f t="array" ref="M88">IFERROR(IF(ROW($M$1)&gt;COUNTA($BU$37:$BU$96),"",INDEX($BU:$BU,SMALL(IF(BU$37:BU$96&lt;&gt;"",ROW($37:$96)),ROW(M52)))),"")</f>
        <v/>
      </c>
      <c r="N88" s="1653" t="str">
        <f t="array" ref="N88">IFERROR(IF(ROW($N$1)&gt;COUNTA($BJ$37:$BJ$96),"",INDEX($BJ:$BJ,SMALL(IF(BJ$37:BJ$96&lt;&gt;"",ROW($37:$96)),ROW(N52)))),"")</f>
        <v/>
      </c>
      <c r="O88" s="1652" t="str">
        <f t="array" ref="O88">IFERROR(IF(ROW($O$1)&gt;COUNTA($BK$37:$BK$96),"",INDEX($BK:$BK,SMALL(IF(BK$37:BK$96&lt;&gt;"",ROW($37:$96)),ROW(O52)))),"")</f>
        <v/>
      </c>
      <c r="P88" s="1649" t="str">
        <f t="array" ref="P88">IFERROR(IF(ROW($P$1)&gt;COUNTA($BL$37:$BL$96),"",INDEX($BL:$BL,SMALL(IF(BL$37:BL$96&lt;&gt;"",ROW($37:$96)),ROW(P52)))),"")</f>
        <v/>
      </c>
      <c r="S88" s="1775"/>
      <c r="T88" s="1775"/>
      <c r="U88" s="1608" t="str">
        <f>IF(AND(S_26!$G$8="ja",S_26!$K$8="ja"),S_26!$C$2,"")</f>
        <v/>
      </c>
      <c r="V88" s="747" t="str">
        <f t="shared" si="17"/>
        <v/>
      </c>
      <c r="W88" s="1106" t="str">
        <f>IF($U88="","",S_26!$B$15)</f>
        <v/>
      </c>
      <c r="X88" s="1608" t="str">
        <f>IF($U88="","",S_26!$A$15)</f>
        <v/>
      </c>
      <c r="Y88" s="2604"/>
      <c r="Z88" s="1608" t="str">
        <f>IF($U88="","",S_26!$C$15)</f>
        <v/>
      </c>
      <c r="AA88" s="747" t="str">
        <f t="shared" si="18"/>
        <v/>
      </c>
      <c r="AB88" s="1608" t="str">
        <f>IF($U88="","",S_26!$CM$15)</f>
        <v/>
      </c>
      <c r="AC88" s="747" t="str">
        <f t="shared" si="19"/>
        <v/>
      </c>
      <c r="AQ88" s="1608">
        <f>IF(S_26!$DF$15&gt;0,1,0)</f>
        <v>0</v>
      </c>
      <c r="AR88" s="1608">
        <f>IF(S_26!$DG$15&gt;0,1,0)</f>
        <v>0</v>
      </c>
      <c r="AS88" s="1608">
        <f>IF(S_26!$DH$15&gt;0,1,0)</f>
        <v>0</v>
      </c>
      <c r="AT88" s="1608">
        <f>IF(S_26!$DI$15&gt;0,1,0)</f>
        <v>0</v>
      </c>
      <c r="AU88" s="1608">
        <f>IF(S_26!$DJ$15&gt;0,1,0)</f>
        <v>0</v>
      </c>
      <c r="AV88" s="1608">
        <f>IF(S_26!$DK$15&gt;0,1,0)</f>
        <v>0</v>
      </c>
      <c r="AW88" s="1608">
        <f t="shared" si="22"/>
        <v>0</v>
      </c>
      <c r="AX88" s="1608" t="str">
        <f t="shared" si="46"/>
        <v/>
      </c>
      <c r="AY88" s="1106" t="str">
        <f t="shared" si="62"/>
        <v/>
      </c>
      <c r="AZ88" s="1106" t="str">
        <f t="shared" si="48"/>
        <v/>
      </c>
      <c r="BA88" s="1793" t="str">
        <f t="shared" si="49"/>
        <v/>
      </c>
      <c r="BB88" s="1793" t="str">
        <f t="shared" si="50"/>
        <v/>
      </c>
      <c r="BC88" s="1608">
        <f>IF(S_26!$DN$15&gt;0,1,0)</f>
        <v>0</v>
      </c>
      <c r="BD88" s="1608">
        <f>IF(S_26!$DO$15&gt;0,1,0)</f>
        <v>0</v>
      </c>
      <c r="BE88" s="1608">
        <f>IF(S_26!$DP$15&gt;0,1,0)</f>
        <v>0</v>
      </c>
      <c r="BF88" s="1608">
        <f>IF(S_26!$DQ$15&gt;0,1,0)</f>
        <v>0</v>
      </c>
      <c r="BG88" s="1608">
        <f>IF(S_26!$DR$15&gt;0,1,0)</f>
        <v>0</v>
      </c>
      <c r="BH88" s="1608">
        <f>IF(S_26!$DS$15&gt;0,1,0)</f>
        <v>0</v>
      </c>
      <c r="BI88" s="1608">
        <f t="shared" si="23"/>
        <v>0</v>
      </c>
      <c r="BJ88" s="1106" t="str">
        <f t="shared" si="63"/>
        <v/>
      </c>
      <c r="BK88" s="1793" t="str">
        <f t="shared" si="52"/>
        <v/>
      </c>
      <c r="BL88" s="1793" t="str">
        <f t="shared" si="53"/>
        <v/>
      </c>
      <c r="BN88" s="747">
        <f>S_26!$DE$15</f>
        <v>0</v>
      </c>
      <c r="BO88" s="747">
        <f>S_26!$DM$15</f>
        <v>0</v>
      </c>
      <c r="BP88" s="747">
        <f>S_26!$CP$15</f>
        <v>0</v>
      </c>
      <c r="BQ88" s="747">
        <f>S_26!$CQ$15</f>
        <v>0</v>
      </c>
      <c r="BR88" s="1610" t="e">
        <f>BP88/Betrieb!$E$23</f>
        <v>#DIV/0!</v>
      </c>
      <c r="BS88" s="1610" t="e">
        <f>BQ88/Betrieb!$E$24</f>
        <v>#DIV/0!</v>
      </c>
      <c r="BT88" s="1615" t="str">
        <f t="shared" si="54"/>
        <v/>
      </c>
      <c r="BU88" s="1615" t="str">
        <f t="shared" si="55"/>
        <v/>
      </c>
      <c r="BV88" s="2569"/>
      <c r="BW88" s="2570"/>
      <c r="BX88" s="2566"/>
      <c r="BY88" s="2566"/>
    </row>
    <row r="89" spans="3:77" ht="20.25" hidden="1" customHeight="1">
      <c r="C89" s="1654" t="str">
        <f t="array" ref="C89">IFERROR(IF(ROW($C$1)&gt;COUNTA($X$37:$X$96),"",INDEX($X:$X,SMALL(IF(X$37:X$96&lt;&gt;"",ROW($37:$96)),ROW(A53)))),"")</f>
        <v/>
      </c>
      <c r="D89" s="1656" t="str">
        <f t="array" ref="D89">IFERROR(IF(ROW($D$1)&gt;COUNTA($V$37:$V$96),"",INDEX($V:$V,SMALL(IF(V$37:V$96&lt;&gt;"",ROW($37:$96)),ROW(D53)))),"")</f>
        <v/>
      </c>
      <c r="E89" s="1652" t="str">
        <f t="array" ref="E89">IFERROR(IF(ROW($E$1)&gt;COUNTA($W$37:$W$96),"",INDEX($W:$W,SMALL(IF(W$37:W$96&lt;&gt;"",ROW($37:$96)),ROW(E53)))),"")</f>
        <v/>
      </c>
      <c r="F89" s="1655" t="str">
        <f t="array" ref="F89">IFERROR(IF(ROW($F$1)&gt;COUNTA($AA$37:$AA$96),"",INDEX($AA:$AA,SMALL(IF(AA$37:AA$96&lt;&gt;"",ROW($37:$96)),ROW(F53)))),"")</f>
        <v/>
      </c>
      <c r="G89" s="1651" t="str">
        <f t="array" ref="G89">IFERROR(IF(ROW($G$1)&gt;COUNTA($AC$37:$AC$96),"",INDEX($AC:$AC,SMALL(IF(AC$37:AC$96&lt;&gt;"",ROW($37:$96)),ROW(G53)))),"")</f>
        <v/>
      </c>
      <c r="H89" s="1652" t="str">
        <f t="array" ref="H89">IFERROR(IF(ROW($H$1)&gt;COUNTA($BT$37:$BT$96),"",INDEX($BT:$BT,SMALL(IF(BT$37:BT$96&lt;&gt;"",ROW($37:$96)),ROW(H53)))),"")</f>
        <v/>
      </c>
      <c r="I89" s="1653" t="str">
        <f t="array" ref="I89">IFERROR(IF(ROW($I$1)&gt;COUNTA($AZ$37:$AZ$96),"",INDEX($AZ:$AZ,SMALL(IF(AZ$37:AZ$96&lt;&gt;"",ROW($37:$96)),ROW(I53)))),"")</f>
        <v/>
      </c>
      <c r="J89" s="1652" t="str">
        <f t="array" ref="J89">IFERROR(IF(ROW($J$1)&gt;COUNTA($BA$37:$BA$96),"",INDEX($BA:$BA,SMALL(IF(BA$37:BA$96&lt;&gt;"",ROW($37:$96)),ROW(J53)))),"")</f>
        <v/>
      </c>
      <c r="K89" s="1649" t="str">
        <f t="array" ref="K89">IFERROR(IF(ROW($K$1)&gt;COUNTA($BB$37:$BB$96),"",INDEX($BB:$BB,SMALL(IF(BB$37:BB$96&lt;&gt;"",ROW($37:$96)),ROW(K53)))),"")</f>
        <v/>
      </c>
      <c r="M89" s="1652" t="str">
        <f t="array" ref="M89">IFERROR(IF(ROW($M$1)&gt;COUNTA($BU$37:$BU$96),"",INDEX($BU:$BU,SMALL(IF(BU$37:BU$96&lt;&gt;"",ROW($37:$96)),ROW(M53)))),"")</f>
        <v/>
      </c>
      <c r="N89" s="1653" t="str">
        <f t="array" ref="N89">IFERROR(IF(ROW($N$1)&gt;COUNTA($BJ$37:$BJ$96),"",INDEX($BJ:$BJ,SMALL(IF(BJ$37:BJ$96&lt;&gt;"",ROW($37:$96)),ROW(N53)))),"")</f>
        <v/>
      </c>
      <c r="O89" s="1652" t="str">
        <f t="array" ref="O89">IFERROR(IF(ROW($O$1)&gt;COUNTA($BK$37:$BK$96),"",INDEX($BK:$BK,SMALL(IF(BK$37:BK$96&lt;&gt;"",ROW($37:$96)),ROW(O53)))),"")</f>
        <v/>
      </c>
      <c r="P89" s="1649" t="str">
        <f t="array" ref="P89">IFERROR(IF(ROW($P$1)&gt;COUNTA($BL$37:$BL$96),"",INDEX($BL:$BL,SMALL(IF(BL$37:BL$96&lt;&gt;"",ROW($37:$96)),ROW(P53)))),"")</f>
        <v/>
      </c>
      <c r="S89" s="1775"/>
      <c r="T89" s="1775"/>
      <c r="U89" s="1608" t="str">
        <f>IF(AND(S_27!$G$8="ja",S_27!$K$8="ja"),S_27!$C$2,"")</f>
        <v/>
      </c>
      <c r="V89" s="747" t="str">
        <f t="shared" si="17"/>
        <v/>
      </c>
      <c r="W89" s="1106" t="str">
        <f>IF($U89="","",S_27!$B$14)</f>
        <v/>
      </c>
      <c r="X89" s="1608" t="str">
        <f>IF($U89="","",S_27!$A$14)</f>
        <v/>
      </c>
      <c r="Y89" s="2604" t="str">
        <f>IF($U89="","",Grünland!B31)</f>
        <v/>
      </c>
      <c r="Z89" s="1608" t="str">
        <f>IF($U89="","",S_27!$C$14)</f>
        <v/>
      </c>
      <c r="AA89" s="747" t="str">
        <f t="shared" si="18"/>
        <v/>
      </c>
      <c r="AB89" s="1608" t="str">
        <f>IF($U89="","",S_27!$CM$14)</f>
        <v/>
      </c>
      <c r="AC89" s="747" t="str">
        <f t="shared" si="19"/>
        <v/>
      </c>
      <c r="AQ89" s="1608">
        <f>IF(S_27!$DF$14&gt;0,1,0)</f>
        <v>0</v>
      </c>
      <c r="AR89" s="1608">
        <f>IF(S_27!$DG$14&gt;0,1,0)</f>
        <v>0</v>
      </c>
      <c r="AS89" s="1608">
        <f>IF(S_27!$DH$14&gt;0,1,0)</f>
        <v>0</v>
      </c>
      <c r="AT89" s="1608">
        <f>IF(S_27!$DI$14&gt;0,1,0)</f>
        <v>0</v>
      </c>
      <c r="AU89" s="1608">
        <f>IF(S_27!$DJ$14&gt;0,1,0)</f>
        <v>0</v>
      </c>
      <c r="AV89" s="1608">
        <f>IF(S_27!$DK$14&gt;0,1,0)</f>
        <v>0</v>
      </c>
      <c r="AW89" s="1608">
        <f t="shared" si="22"/>
        <v>0</v>
      </c>
      <c r="AX89" s="1608" t="str">
        <f t="shared" si="46"/>
        <v/>
      </c>
      <c r="AY89" s="1106" t="str">
        <f t="shared" si="62"/>
        <v/>
      </c>
      <c r="AZ89" s="1106" t="str">
        <f t="shared" si="48"/>
        <v/>
      </c>
      <c r="BA89" s="1793" t="str">
        <f t="shared" si="49"/>
        <v/>
      </c>
      <c r="BB89" s="1793" t="str">
        <f t="shared" si="50"/>
        <v/>
      </c>
      <c r="BC89" s="1608">
        <f>IF(S_27!$DN$14&gt;0,1,0)</f>
        <v>0</v>
      </c>
      <c r="BD89" s="1608">
        <f>IF(S_27!$DO$14&gt;0,1,0)</f>
        <v>0</v>
      </c>
      <c r="BE89" s="1608">
        <f>IF(S_27!$DP$14&gt;0,1,0)</f>
        <v>0</v>
      </c>
      <c r="BF89" s="1608">
        <f>IF(S_27!$DQ$14&gt;0,1,0)</f>
        <v>0</v>
      </c>
      <c r="BG89" s="1608">
        <f>IF(S_27!$DR$14&gt;0,1,0)</f>
        <v>0</v>
      </c>
      <c r="BH89" s="1608">
        <f>IF(S_27!$DS$14&gt;0,1,0)</f>
        <v>0</v>
      </c>
      <c r="BI89" s="1608">
        <f t="shared" si="23"/>
        <v>0</v>
      </c>
      <c r="BJ89" s="1106" t="str">
        <f t="shared" si="63"/>
        <v/>
      </c>
      <c r="BK89" s="1793" t="str">
        <f t="shared" si="52"/>
        <v/>
      </c>
      <c r="BL89" s="1793" t="str">
        <f t="shared" si="53"/>
        <v/>
      </c>
      <c r="BN89" s="747">
        <f>S_27!$DE$14</f>
        <v>0</v>
      </c>
      <c r="BO89" s="747">
        <f>S_27!$DM$14</f>
        <v>0</v>
      </c>
      <c r="BP89" s="747">
        <f>S_27!$CP$14</f>
        <v>0</v>
      </c>
      <c r="BQ89" s="747">
        <f>S_27!$CQ$14</f>
        <v>0</v>
      </c>
      <c r="BR89" s="1610" t="e">
        <f>BP89/Betrieb!$E$23</f>
        <v>#DIV/0!</v>
      </c>
      <c r="BS89" s="1610" t="e">
        <f>BQ89/Betrieb!$E$24</f>
        <v>#DIV/0!</v>
      </c>
      <c r="BT89" s="1615" t="str">
        <f t="shared" si="54"/>
        <v/>
      </c>
      <c r="BU89" s="1615" t="str">
        <f t="shared" si="55"/>
        <v/>
      </c>
      <c r="BV89" s="2569">
        <f>IF(AND(S_27!$G$8="JA",S_27!$K$8="JA"),S_27!$U$14,0)</f>
        <v>0</v>
      </c>
      <c r="BW89" s="2570">
        <f>IF(AND(S_27!$G$8="JA",S_27!$K$8="JA"),S_27!$V$14,0)</f>
        <v>0</v>
      </c>
      <c r="BX89" s="2566" t="str">
        <f t="shared" ref="BX89" si="84">IF(BV89="-",0-BW89,"")</f>
        <v/>
      </c>
      <c r="BY89" s="2566" t="str">
        <f t="shared" ref="BY89" si="85">IF(BV89="+",0+BW89,"")</f>
        <v/>
      </c>
    </row>
    <row r="90" spans="3:77" ht="20.25" hidden="1" customHeight="1">
      <c r="C90" s="1654" t="str">
        <f t="array" ref="C90">IFERROR(IF(ROW($C$1)&gt;COUNTA($X$37:$X$96),"",INDEX($X:$X,SMALL(IF(X$37:X$96&lt;&gt;"",ROW($37:$96)),ROW(A54)))),"")</f>
        <v/>
      </c>
      <c r="D90" s="1656" t="str">
        <f t="array" ref="D90">IFERROR(IF(ROW($D$1)&gt;COUNTA($V$37:$V$96),"",INDEX($V:$V,SMALL(IF(V$37:V$96&lt;&gt;"",ROW($37:$96)),ROW(D54)))),"")</f>
        <v/>
      </c>
      <c r="E90" s="1652" t="str">
        <f t="array" ref="E90">IFERROR(IF(ROW($E$1)&gt;COUNTA($W$37:$W$96),"",INDEX($W:$W,SMALL(IF(W$37:W$96&lt;&gt;"",ROW($37:$96)),ROW(E54)))),"")</f>
        <v/>
      </c>
      <c r="F90" s="1655" t="str">
        <f t="array" ref="F90">IFERROR(IF(ROW($F$1)&gt;COUNTA($AA$37:$AA$96),"",INDEX($AA:$AA,SMALL(IF(AA$37:AA$96&lt;&gt;"",ROW($37:$96)),ROW(F54)))),"")</f>
        <v/>
      </c>
      <c r="G90" s="1651" t="str">
        <f t="array" ref="G90">IFERROR(IF(ROW($G$1)&gt;COUNTA($AC$37:$AC$96),"",INDEX($AC:$AC,SMALL(IF(AC$37:AC$96&lt;&gt;"",ROW($37:$96)),ROW(G54)))),"")</f>
        <v/>
      </c>
      <c r="H90" s="1652" t="str">
        <f t="array" ref="H90">IFERROR(IF(ROW($H$1)&gt;COUNTA($BT$37:$BT$96),"",INDEX($BT:$BT,SMALL(IF(BT$37:BT$96&lt;&gt;"",ROW($37:$96)),ROW(H54)))),"")</f>
        <v/>
      </c>
      <c r="I90" s="1653" t="str">
        <f t="array" ref="I90">IFERROR(IF(ROW($I$1)&gt;COUNTA($AZ$37:$AZ$96),"",INDEX($AZ:$AZ,SMALL(IF(AZ$37:AZ$96&lt;&gt;"",ROW($37:$96)),ROW(I54)))),"")</f>
        <v/>
      </c>
      <c r="J90" s="1649" t="str">
        <f t="array" ref="J90">IFERROR(IF(ROW($J$1)&gt;COUNTA($BA$37:$BA$96),"",INDEX($BA:$BA,SMALL(IF(BA$37:BA$96&lt;&gt;"",ROW($37:$96)),ROW(J54)))),"")</f>
        <v/>
      </c>
      <c r="K90" s="1649" t="str">
        <f t="array" ref="K90">IFERROR(IF(ROW($K$1)&gt;COUNTA($BB$37:$BB$96),"",INDEX($BB:$BB,SMALL(IF(BB$37:BB$96&lt;&gt;"",ROW($37:$96)),ROW(K54)))),"")</f>
        <v/>
      </c>
      <c r="M90" s="1652" t="str">
        <f t="array" ref="M90">IFERROR(IF(ROW($M$1)&gt;COUNTA($BU$37:$BU$96),"",INDEX($BU:$BU,SMALL(IF(BU$37:BU$96&lt;&gt;"",ROW($37:$96)),ROW(M54)))),"")</f>
        <v/>
      </c>
      <c r="N90" s="1653" t="str">
        <f t="array" ref="N90">IFERROR(IF(ROW($N$1)&gt;COUNTA($BJ$37:$BJ$96),"",INDEX($BJ:$BJ,SMALL(IF(BJ$37:BJ$96&lt;&gt;"",ROW($37:$96)),ROW(N54)))),"")</f>
        <v/>
      </c>
      <c r="O90" s="1652" t="str">
        <f t="array" ref="O90">IFERROR(IF(ROW($O$1)&gt;COUNTA($BK$37:$BK$96),"",INDEX($BK:$BK,SMALL(IF(BK$37:BK$96&lt;&gt;"",ROW($37:$96)),ROW(O54)))),"")</f>
        <v/>
      </c>
      <c r="P90" s="1649" t="str">
        <f t="array" ref="P90">IFERROR(IF(ROW($P$1)&gt;COUNTA($BL$37:$BL$96),"",INDEX($BL:$BL,SMALL(IF(BL$37:BL$96&lt;&gt;"",ROW($37:$96)),ROW(P54)))),"")</f>
        <v/>
      </c>
      <c r="S90" s="1775"/>
      <c r="T90" s="1775"/>
      <c r="U90" s="1608" t="str">
        <f>IF(AND(S_27!$G$8="ja",S_27!$K$8="ja"),S_27!$C$2,"")</f>
        <v/>
      </c>
      <c r="V90" s="747" t="str">
        <f t="shared" si="17"/>
        <v/>
      </c>
      <c r="W90" s="1106" t="str">
        <f>IF($U90="","",S_27!$B$15)</f>
        <v/>
      </c>
      <c r="X90" s="1608" t="str">
        <f>IF($U90="","",S_27!$A$15)</f>
        <v/>
      </c>
      <c r="Y90" s="2604"/>
      <c r="Z90" s="1608" t="str">
        <f>IF($U90="","",S_27!$C$15)</f>
        <v/>
      </c>
      <c r="AA90" s="747" t="str">
        <f t="shared" si="18"/>
        <v/>
      </c>
      <c r="AB90" s="1608" t="str">
        <f>IF($U90="","",S_27!$CM$15)</f>
        <v/>
      </c>
      <c r="AC90" s="747" t="str">
        <f t="shared" si="19"/>
        <v/>
      </c>
      <c r="AQ90" s="1608">
        <f>IF(S_27!$DF$15&gt;0,1,0)</f>
        <v>0</v>
      </c>
      <c r="AR90" s="1608">
        <f>IF(S_27!$DG$15&gt;0,1,0)</f>
        <v>0</v>
      </c>
      <c r="AS90" s="1608">
        <f>IF(S_27!$DH$15&gt;0,1,0)</f>
        <v>0</v>
      </c>
      <c r="AT90" s="1608">
        <f>IF(S_27!$DI$15&gt;0,1,0)</f>
        <v>0</v>
      </c>
      <c r="AU90" s="1608">
        <f>IF(S_27!$DJ$15&gt;0,1,0)</f>
        <v>0</v>
      </c>
      <c r="AV90" s="1608">
        <f>IF(S_27!$DK$15&gt;0,1,0)</f>
        <v>0</v>
      </c>
      <c r="AW90" s="1608">
        <f t="shared" si="22"/>
        <v>0</v>
      </c>
      <c r="AX90" s="1608" t="str">
        <f t="shared" si="46"/>
        <v/>
      </c>
      <c r="AY90" s="1106" t="str">
        <f t="shared" si="62"/>
        <v/>
      </c>
      <c r="AZ90" s="1106" t="str">
        <f t="shared" si="48"/>
        <v/>
      </c>
      <c r="BA90" s="1793" t="str">
        <f t="shared" si="49"/>
        <v/>
      </c>
      <c r="BB90" s="1793" t="str">
        <f t="shared" si="50"/>
        <v/>
      </c>
      <c r="BC90" s="1608">
        <f>IF(S_27!$DN$15&gt;0,1,0)</f>
        <v>0</v>
      </c>
      <c r="BD90" s="1608">
        <f>IF(S_27!$DO$15&gt;0,1,0)</f>
        <v>0</v>
      </c>
      <c r="BE90" s="1608">
        <f>IF(S_27!$DP$15&gt;0,1,0)</f>
        <v>0</v>
      </c>
      <c r="BF90" s="1608">
        <f>IF(S_27!$DQ$15&gt;0,1,0)</f>
        <v>0</v>
      </c>
      <c r="BG90" s="1608">
        <f>IF(S_27!$DR$15&gt;0,1,0)</f>
        <v>0</v>
      </c>
      <c r="BH90" s="1608">
        <f>IF(S_27!$DS$15&gt;0,1,0)</f>
        <v>0</v>
      </c>
      <c r="BI90" s="1608">
        <f t="shared" si="23"/>
        <v>0</v>
      </c>
      <c r="BJ90" s="1106" t="str">
        <f t="shared" si="63"/>
        <v/>
      </c>
      <c r="BK90" s="1793" t="str">
        <f t="shared" si="52"/>
        <v/>
      </c>
      <c r="BL90" s="1793" t="str">
        <f t="shared" si="53"/>
        <v/>
      </c>
      <c r="BN90" s="747">
        <f>S_27!$DE$15</f>
        <v>0</v>
      </c>
      <c r="BO90" s="747">
        <f>S_27!$DM$15</f>
        <v>0</v>
      </c>
      <c r="BP90" s="747">
        <f>S_27!$CP$15</f>
        <v>0</v>
      </c>
      <c r="BQ90" s="747">
        <f>S_27!$CQ$15</f>
        <v>0</v>
      </c>
      <c r="BR90" s="1610" t="e">
        <f>BP90/Betrieb!$E$23</f>
        <v>#DIV/0!</v>
      </c>
      <c r="BS90" s="1610" t="e">
        <f>BQ90/Betrieb!$E$24</f>
        <v>#DIV/0!</v>
      </c>
      <c r="BT90" s="1615" t="str">
        <f t="shared" si="54"/>
        <v/>
      </c>
      <c r="BU90" s="1615" t="str">
        <f t="shared" si="55"/>
        <v/>
      </c>
      <c r="BV90" s="2569"/>
      <c r="BW90" s="2570"/>
      <c r="BX90" s="2566"/>
      <c r="BY90" s="2566"/>
    </row>
    <row r="91" spans="3:77" ht="20.25" hidden="1" customHeight="1">
      <c r="C91" s="1650" t="str">
        <f t="array" ref="C91">IFERROR(IF(ROW($C$1)&gt;COUNTA($X$37:$X$96),"",INDEX($X:$X,SMALL(IF(X$37:X$96&lt;&gt;"",ROW($37:$96)),ROW(A55)))),"")</f>
        <v/>
      </c>
      <c r="D91" s="1649" t="str">
        <f t="array" ref="D91">IFERROR(IF(ROW($D$1)&gt;COUNTA($V$37:$V$96),"",INDEX($V:$V,SMALL(IF(V$37:V$96&lt;&gt;"",ROW($37:$96)),ROW(D55)))),"")</f>
        <v/>
      </c>
      <c r="E91" s="1649" t="str">
        <f t="array" ref="E91">IFERROR(IF(ROW($E$1)&gt;COUNTA($W$37:$W$96),"",INDEX($W:$W,SMALL(IF(W$37:W$96&lt;&gt;"",ROW($37:$96)),ROW(E55)))),"")</f>
        <v/>
      </c>
      <c r="F91" s="1649" t="str">
        <f t="array" ref="F91">IFERROR(IF(ROW($F$1)&gt;COUNTA($AA$37:$AA$96),"",INDEX($AA:$AA,SMALL(IF(AA$37:AA$96&lt;&gt;"",ROW($37:$96)),ROW(F55)))),"")</f>
        <v/>
      </c>
      <c r="G91" s="1649" t="str">
        <f t="array" ref="G91">IFERROR(IF(ROW($G$1)&gt;COUNTA($AC$37:$AC$96),"",INDEX($AC:$AC,SMALL(IF(AC$37:AC$96&lt;&gt;"",ROW($37:$96)),ROW(G55)))),"")</f>
        <v/>
      </c>
      <c r="H91" s="1649" t="str">
        <f t="array" ref="H91">IFERROR(IF(ROW($H$1)&gt;COUNTA($BT$37:$BT$96),"",INDEX($BT:$BT,SMALL(IF(BT$37:BT$96&lt;&gt;"",ROW($37:$96)),ROW(H55)))),"")</f>
        <v/>
      </c>
      <c r="I91" s="1649" t="str">
        <f t="array" ref="I91">IFERROR(IF(ROW($I$1)&gt;COUNTA($AZ$37:$AZ$96),"",INDEX($AZ:$AZ,SMALL(IF(AZ$37:AZ$96&lt;&gt;"",ROW($37:$96)),ROW(I55)))),"")</f>
        <v/>
      </c>
      <c r="J91" s="1649" t="str">
        <f t="array" ref="J91">IFERROR(IF(ROW($J$1)&gt;COUNTA($BA$37:$BA$96),"",INDEX($BA:$BA,SMALL(IF(BA$37:BA$96&lt;&gt;"",ROW($37:$96)),ROW(J55)))),"")</f>
        <v/>
      </c>
      <c r="K91" s="1649" t="str">
        <f t="array" ref="K91">IFERROR(IF(ROW($K$1)&gt;COUNTA($BB$37:$BB$96),"",INDEX($BB:$BB,SMALL(IF(BB$37:BB$96&lt;&gt;"",ROW($37:$96)),ROW(K55)))),"")</f>
        <v/>
      </c>
      <c r="M91" s="1649" t="str">
        <f t="array" ref="M91">IFERROR(IF(ROW($M$1)&gt;COUNTA($BU$37:$BU$96),"",INDEX($BU:$BU,SMALL(IF(BU$37:BU$96&lt;&gt;"",ROW($37:$96)),ROW(M55)))),"")</f>
        <v/>
      </c>
      <c r="N91" s="1649" t="str">
        <f t="array" ref="N91">IFERROR(IF(ROW($N$1)&gt;COUNTA($BJ$37:$BJ$96),"",INDEX($BJ:$BJ,SMALL(IF(BJ$37:BJ$96&lt;&gt;"",ROW($37:$96)),ROW(N55)))),"")</f>
        <v/>
      </c>
      <c r="O91" s="1649" t="str">
        <f t="array" ref="O91">IFERROR(IF(ROW($O$1)&gt;COUNTA($BK$37:$BK$96),"",INDEX($BK:$BK,SMALL(IF(BK$37:BK$96&lt;&gt;"",ROW($37:$96)),ROW(O55)))),"")</f>
        <v/>
      </c>
      <c r="P91" s="1649" t="str">
        <f t="array" ref="P91">IFERROR(IF(ROW($P$1)&gt;COUNTA($BL$37:$BL$96),"",INDEX($BL:$BL,SMALL(IF(BL$37:BL$96&lt;&gt;"",ROW($37:$96)),ROW(P55)))),"")</f>
        <v/>
      </c>
      <c r="S91" s="1775"/>
      <c r="T91" s="1775"/>
      <c r="U91" s="1608" t="str">
        <f>IF(AND(S_28!$G$8="ja",S_28!$K$8="ja"),S_28!$C$2,"")</f>
        <v/>
      </c>
      <c r="V91" s="747" t="str">
        <f t="shared" si="17"/>
        <v/>
      </c>
      <c r="W91" s="1106" t="str">
        <f>IF($U91="","",S_28!$B$14)</f>
        <v/>
      </c>
      <c r="X91" s="1608" t="str">
        <f>IF($U91="","",S_28!$A$14)</f>
        <v/>
      </c>
      <c r="Y91" s="2604" t="str">
        <f>IF($U91="","",Grünland!B32)</f>
        <v/>
      </c>
      <c r="Z91" s="1608" t="str">
        <f>IF($U91="","",S_28!$C$14)</f>
        <v/>
      </c>
      <c r="AA91" s="747" t="str">
        <f t="shared" si="18"/>
        <v/>
      </c>
      <c r="AB91" s="1608" t="str">
        <f>IF($U91="","",S_28!$CM$14)</f>
        <v/>
      </c>
      <c r="AC91" s="747" t="str">
        <f t="shared" si="19"/>
        <v/>
      </c>
      <c r="AQ91" s="1608">
        <f>IF(S_28!$DF$14&gt;0,1,0)</f>
        <v>0</v>
      </c>
      <c r="AR91" s="1608">
        <f>IF(S_28!$DG$14&gt;0,1,0)</f>
        <v>0</v>
      </c>
      <c r="AS91" s="1608">
        <f>IF(S_28!$DH$14&gt;0,1,0)</f>
        <v>0</v>
      </c>
      <c r="AT91" s="1608">
        <f>IF(S_28!$DI$14&gt;0,1,0)</f>
        <v>0</v>
      </c>
      <c r="AU91" s="1608">
        <f>IF(S_28!$DJ$14&gt;0,1,0)</f>
        <v>0</v>
      </c>
      <c r="AV91" s="1608">
        <f>IF(S_28!$DK$14&gt;0,1,0)</f>
        <v>0</v>
      </c>
      <c r="AW91" s="1608">
        <f t="shared" si="22"/>
        <v>0</v>
      </c>
      <c r="AX91" s="1608" t="str">
        <f t="shared" si="46"/>
        <v/>
      </c>
      <c r="AY91" s="1106" t="str">
        <f t="shared" si="62"/>
        <v/>
      </c>
      <c r="AZ91" s="1106" t="str">
        <f t="shared" si="48"/>
        <v/>
      </c>
      <c r="BA91" s="1793" t="str">
        <f t="shared" si="49"/>
        <v/>
      </c>
      <c r="BB91" s="1793" t="str">
        <f t="shared" si="50"/>
        <v/>
      </c>
      <c r="BC91" s="1608">
        <f>IF(S_28!$DN$14&gt;0,1,0)</f>
        <v>0</v>
      </c>
      <c r="BD91" s="1608">
        <f>IF(S_28!$DO$14&gt;0,1,0)</f>
        <v>0</v>
      </c>
      <c r="BE91" s="1608">
        <f>IF(S_28!$DP$14&gt;0,1,0)</f>
        <v>0</v>
      </c>
      <c r="BF91" s="1608">
        <f>IF(S_28!$DQ$14&gt;0,1,0)</f>
        <v>0</v>
      </c>
      <c r="BG91" s="1608">
        <f>IF(S_28!$DR$14&gt;0,1,0)</f>
        <v>0</v>
      </c>
      <c r="BH91" s="1608">
        <f>IF(S_28!$DS$14&gt;0,1,0)</f>
        <v>0</v>
      </c>
      <c r="BI91" s="1608">
        <f t="shared" si="23"/>
        <v>0</v>
      </c>
      <c r="BJ91" s="1106" t="str">
        <f t="shared" si="63"/>
        <v/>
      </c>
      <c r="BK91" s="1793" t="str">
        <f t="shared" si="52"/>
        <v/>
      </c>
      <c r="BL91" s="1793" t="str">
        <f t="shared" si="53"/>
        <v/>
      </c>
      <c r="BN91" s="747">
        <f>S_28!$DE$14</f>
        <v>0</v>
      </c>
      <c r="BO91" s="747">
        <f>S_28!$DM$14</f>
        <v>0</v>
      </c>
      <c r="BP91" s="747">
        <f>S_28!$CP$14</f>
        <v>0</v>
      </c>
      <c r="BQ91" s="747">
        <f>S_28!$CQ$14</f>
        <v>0</v>
      </c>
      <c r="BR91" s="1610" t="e">
        <f>BP91/Betrieb!$E$23</f>
        <v>#DIV/0!</v>
      </c>
      <c r="BS91" s="1610" t="e">
        <f>BQ91/Betrieb!$E$24</f>
        <v>#DIV/0!</v>
      </c>
      <c r="BT91" s="1615" t="str">
        <f t="shared" si="54"/>
        <v/>
      </c>
      <c r="BU91" s="1615" t="str">
        <f t="shared" si="55"/>
        <v/>
      </c>
      <c r="BV91" s="2569">
        <f>IF(AND(S_28!$G$8="JA",S_28!$K$8="JA"),S_28!$U$14,0)</f>
        <v>0</v>
      </c>
      <c r="BW91" s="2570">
        <f>IF(AND(S_28!$G$8="JA",S_28!$K$8="JA"),S_28!$V$14,0)</f>
        <v>0</v>
      </c>
      <c r="BX91" s="2566" t="str">
        <f t="shared" ref="BX91" si="86">IF(BV91="-",0-BW91,"")</f>
        <v/>
      </c>
      <c r="BY91" s="2566" t="str">
        <f t="shared" ref="BY91" si="87">IF(BV91="+",0+BW91,"")</f>
        <v/>
      </c>
    </row>
    <row r="92" spans="3:77" ht="20.25" hidden="1" customHeight="1">
      <c r="C92" s="1650" t="str">
        <f t="array" ref="C92">IFERROR(IF(ROW($C$1)&gt;COUNTA($X$37:$X$96),"",INDEX($X:$X,SMALL(IF(X$37:X$96&lt;&gt;"",ROW($37:$96)),ROW(A56)))),"")</f>
        <v/>
      </c>
      <c r="D92" s="1649" t="str">
        <f t="array" ref="D92">IFERROR(IF(ROW($D$1)&gt;COUNTA($V$37:$V$96),"",INDEX($V:$V,SMALL(IF(V$37:V$96&lt;&gt;"",ROW($37:$96)),ROW(D56)))),"")</f>
        <v/>
      </c>
      <c r="E92" s="1649" t="str">
        <f t="array" ref="E92">IFERROR(IF(ROW($E$1)&gt;COUNTA($W$37:$W$96),"",INDEX($W:$W,SMALL(IF(W$37:W$96&lt;&gt;"",ROW($37:$96)),ROW(E56)))),"")</f>
        <v/>
      </c>
      <c r="F92" s="1649" t="str">
        <f t="array" ref="F92">IFERROR(IF(ROW($F$1)&gt;COUNTA($AA$37:$AA$96),"",INDEX($AA:$AA,SMALL(IF(AA$37:AA$96&lt;&gt;"",ROW($37:$96)),ROW(F56)))),"")</f>
        <v/>
      </c>
      <c r="G92" s="1649" t="str">
        <f t="array" ref="G92">IFERROR(IF(ROW($G$1)&gt;COUNTA($AC$37:$AC$96),"",INDEX($AC:$AC,SMALL(IF(AC$37:AC$96&lt;&gt;"",ROW($37:$96)),ROW(G56)))),"")</f>
        <v/>
      </c>
      <c r="H92" s="1649" t="str">
        <f t="array" ref="H92">IFERROR(IF(ROW($H$1)&gt;COUNTA($BT$37:$BT$96),"",INDEX($BT:$BT,SMALL(IF(BT$37:BT$96&lt;&gt;"",ROW($37:$96)),ROW(H56)))),"")</f>
        <v/>
      </c>
      <c r="I92" s="1649" t="str">
        <f t="array" ref="I92">IFERROR(IF(ROW($I$1)&gt;COUNTA($AZ$37:$AZ$96),"",INDEX($AZ:$AZ,SMALL(IF(AZ$37:AZ$96&lt;&gt;"",ROW($37:$96)),ROW(I56)))),"")</f>
        <v/>
      </c>
      <c r="J92" s="1649" t="str">
        <f t="array" ref="J92">IFERROR(IF(ROW($J$1)&gt;COUNTA($BA$37:$BA$96),"",INDEX($BA:$BA,SMALL(IF(BA$37:BA$96&lt;&gt;"",ROW($37:$96)),ROW(J56)))),"")</f>
        <v/>
      </c>
      <c r="K92" s="1649" t="str">
        <f t="array" ref="K92">IFERROR(IF(ROW($K$1)&gt;COUNTA($BB$37:$BB$96),"",INDEX($BB:$BB,SMALL(IF(BB$37:BB$96&lt;&gt;"",ROW($37:$96)),ROW(K56)))),"")</f>
        <v/>
      </c>
      <c r="M92" s="1649" t="str">
        <f t="array" ref="M92">IFERROR(IF(ROW($M$1)&gt;COUNTA($BU$37:$BU$96),"",INDEX($BU:$BU,SMALL(IF(BU$37:BU$96&lt;&gt;"",ROW($37:$96)),ROW(M56)))),"")</f>
        <v/>
      </c>
      <c r="N92" s="1649" t="str">
        <f t="array" ref="N92">IFERROR(IF(ROW($N$1)&gt;COUNTA($BJ$37:$BJ$96),"",INDEX($BJ:$BJ,SMALL(IF(BJ$37:BJ$96&lt;&gt;"",ROW($37:$96)),ROW(N56)))),"")</f>
        <v/>
      </c>
      <c r="O92" s="1649" t="str">
        <f t="array" ref="O92">IFERROR(IF(ROW($O$1)&gt;COUNTA($BK$37:$BK$96),"",INDEX($BK:$BK,SMALL(IF(BK$37:BK$96&lt;&gt;"",ROW($37:$96)),ROW(O56)))),"")</f>
        <v/>
      </c>
      <c r="P92" s="1649" t="str">
        <f t="array" ref="P92">IFERROR(IF(ROW($P$1)&gt;COUNTA($BL$37:$BL$96),"",INDEX($BL:$BL,SMALL(IF(BL$37:BL$96&lt;&gt;"",ROW($37:$96)),ROW(P56)))),"")</f>
        <v/>
      </c>
      <c r="S92" s="1775"/>
      <c r="T92" s="1775"/>
      <c r="U92" s="1608" t="str">
        <f>IF(AND(S_28!$G$8="ja",S_28!$K$8="ja"),S_28!$C$2,"")</f>
        <v/>
      </c>
      <c r="V92" s="747" t="str">
        <f t="shared" si="17"/>
        <v/>
      </c>
      <c r="W92" s="1106" t="str">
        <f>IF($U92="","",S_28!$B$15)</f>
        <v/>
      </c>
      <c r="X92" s="1608" t="str">
        <f>IF($U92="","",S_28!$A$15)</f>
        <v/>
      </c>
      <c r="Y92" s="2604"/>
      <c r="Z92" s="1608" t="str">
        <f>IF($U92="","",S_28!$C$15)</f>
        <v/>
      </c>
      <c r="AA92" s="747" t="str">
        <f t="shared" si="18"/>
        <v/>
      </c>
      <c r="AB92" s="1608" t="str">
        <f>IF($U92="","",S_28!$CM$15)</f>
        <v/>
      </c>
      <c r="AC92" s="747" t="str">
        <f t="shared" si="19"/>
        <v/>
      </c>
      <c r="AQ92" s="1608">
        <f>IF(S_28!$DF$15&gt;0,1,0)</f>
        <v>0</v>
      </c>
      <c r="AR92" s="1608">
        <f>IF(S_28!$DG$15&gt;0,1,0)</f>
        <v>0</v>
      </c>
      <c r="AS92" s="1608">
        <f>IF(S_28!$DH$15&gt;0,1,0)</f>
        <v>0</v>
      </c>
      <c r="AT92" s="1608">
        <f>IF(S_28!$DI$15&gt;0,1,0)</f>
        <v>0</v>
      </c>
      <c r="AU92" s="1608">
        <f>IF(S_28!$DJ$15&gt;0,1,0)</f>
        <v>0</v>
      </c>
      <c r="AV92" s="1608">
        <f>IF(S_28!$DK$15&gt;0,1,0)</f>
        <v>0</v>
      </c>
      <c r="AW92" s="1608">
        <f t="shared" si="22"/>
        <v>0</v>
      </c>
      <c r="AX92" s="1608" t="str">
        <f t="shared" si="46"/>
        <v/>
      </c>
      <c r="AY92" s="1106" t="str">
        <f t="shared" si="62"/>
        <v/>
      </c>
      <c r="AZ92" s="1106" t="str">
        <f t="shared" si="48"/>
        <v/>
      </c>
      <c r="BA92" s="1793" t="str">
        <f t="shared" si="49"/>
        <v/>
      </c>
      <c r="BB92" s="1793" t="str">
        <f t="shared" si="50"/>
        <v/>
      </c>
      <c r="BC92" s="1608">
        <f>IF(S_28!$DN$15&gt;0,1,0)</f>
        <v>0</v>
      </c>
      <c r="BD92" s="1608">
        <f>IF(S_28!$DO$15&gt;0,1,0)</f>
        <v>0</v>
      </c>
      <c r="BE92" s="1608">
        <f>IF(S_28!$DP$15&gt;0,1,0)</f>
        <v>0</v>
      </c>
      <c r="BF92" s="1608">
        <f>IF(S_28!$DQ$15&gt;0,1,0)</f>
        <v>0</v>
      </c>
      <c r="BG92" s="1608">
        <f>IF(S_28!$DR$15&gt;0,1,0)</f>
        <v>0</v>
      </c>
      <c r="BH92" s="1608">
        <f>IF(S_28!$DS$15&gt;0,1,0)</f>
        <v>0</v>
      </c>
      <c r="BI92" s="1608">
        <f t="shared" si="23"/>
        <v>0</v>
      </c>
      <c r="BJ92" s="1106" t="str">
        <f t="shared" si="63"/>
        <v/>
      </c>
      <c r="BK92" s="1793" t="str">
        <f t="shared" si="52"/>
        <v/>
      </c>
      <c r="BL92" s="1793" t="str">
        <f t="shared" si="53"/>
        <v/>
      </c>
      <c r="BN92" s="747">
        <f>S_28!$DE$15</f>
        <v>0</v>
      </c>
      <c r="BO92" s="747">
        <f>S_28!$DM$15</f>
        <v>0</v>
      </c>
      <c r="BP92" s="747">
        <f>S_28!$CP$15</f>
        <v>0</v>
      </c>
      <c r="BQ92" s="747">
        <f>S_28!$CQ$15</f>
        <v>0</v>
      </c>
      <c r="BR92" s="1610" t="e">
        <f>BP92/Betrieb!$E$23</f>
        <v>#DIV/0!</v>
      </c>
      <c r="BS92" s="1610" t="e">
        <f>BQ92/Betrieb!$E$24</f>
        <v>#DIV/0!</v>
      </c>
      <c r="BT92" s="1615" t="str">
        <f t="shared" si="54"/>
        <v/>
      </c>
      <c r="BU92" s="1615" t="str">
        <f t="shared" si="55"/>
        <v/>
      </c>
      <c r="BV92" s="2569"/>
      <c r="BW92" s="2570"/>
      <c r="BX92" s="2566"/>
      <c r="BY92" s="2566"/>
    </row>
    <row r="93" spans="3:77" ht="20.25" hidden="1" customHeight="1">
      <c r="C93" s="1650" t="str">
        <f t="array" ref="C93">IFERROR(IF(ROW($C$1)&gt;COUNTA($X$37:$X$96),"",INDEX($X:$X,SMALL(IF(X$37:X$96&lt;&gt;"",ROW($37:$96)),ROW(A57)))),"")</f>
        <v/>
      </c>
      <c r="D93" s="1649" t="str">
        <f t="array" ref="D93">IFERROR(IF(ROW($D$1)&gt;COUNTA($V$37:$V$96),"",INDEX($V:$V,SMALL(IF(V$37:V$96&lt;&gt;"",ROW($37:$96)),ROW(D57)))),"")</f>
        <v/>
      </c>
      <c r="E93" s="1649" t="str">
        <f t="array" ref="E93">IFERROR(IF(ROW($E$1)&gt;COUNTA($W$37:$W$96),"",INDEX($W:$W,SMALL(IF(W$37:W$96&lt;&gt;"",ROW($37:$96)),ROW(E57)))),"")</f>
        <v/>
      </c>
      <c r="F93" s="1649" t="str">
        <f t="array" ref="F93">IFERROR(IF(ROW($F$1)&gt;COUNTA($AA$37:$AA$96),"",INDEX($AA:$AA,SMALL(IF(AA$37:AA$96&lt;&gt;"",ROW($37:$96)),ROW(F57)))),"")</f>
        <v/>
      </c>
      <c r="G93" s="1649" t="str">
        <f t="array" ref="G93">IFERROR(IF(ROW($G$1)&gt;COUNTA($AC$37:$AC$96),"",INDEX($AC:$AC,SMALL(IF(AC$37:AC$96&lt;&gt;"",ROW($37:$96)),ROW(G57)))),"")</f>
        <v/>
      </c>
      <c r="H93" s="1649" t="str">
        <f t="array" ref="H93">IFERROR(IF(ROW($H$1)&gt;COUNTA($BT$37:$BT$96),"",INDEX($BT:$BT,SMALL(IF(BT$37:BT$96&lt;&gt;"",ROW($37:$96)),ROW(H57)))),"")</f>
        <v/>
      </c>
      <c r="I93" s="1649" t="str">
        <f t="array" ref="I93">IFERROR(IF(ROW($I$1)&gt;COUNTA($AZ$37:$AZ$96),"",INDEX($AZ:$AZ,SMALL(IF(AZ$37:AZ$96&lt;&gt;"",ROW($37:$96)),ROW(I57)))),"")</f>
        <v/>
      </c>
      <c r="J93" s="1649" t="str">
        <f t="array" ref="J93">IFERROR(IF(ROW($J$1)&gt;COUNTA($BA$37:$BA$96),"",INDEX($BA:$BA,SMALL(IF(BA$37:BA$96&lt;&gt;"",ROW($37:$96)),ROW(J57)))),"")</f>
        <v/>
      </c>
      <c r="K93" s="1649" t="str">
        <f t="array" ref="K93">IFERROR(IF(ROW($K$1)&gt;COUNTA($BB$37:$BB$96),"",INDEX($BB:$BB,SMALL(IF(BB$37:BB$96&lt;&gt;"",ROW($37:$96)),ROW(K57)))),"")</f>
        <v/>
      </c>
      <c r="M93" s="1649" t="str">
        <f t="array" ref="M93">IFERROR(IF(ROW($M$1)&gt;COUNTA($BU$37:$BU$96),"",INDEX($BU:$BU,SMALL(IF(BU$37:BU$96&lt;&gt;"",ROW($37:$96)),ROW(M57)))),"")</f>
        <v/>
      </c>
      <c r="N93" s="1649" t="str">
        <f t="array" ref="N93">IFERROR(IF(ROW($N$1)&gt;COUNTA($BJ$37:$BJ$96),"",INDEX($BJ:$BJ,SMALL(IF(BJ$37:BJ$96&lt;&gt;"",ROW($37:$96)),ROW(N57)))),"")</f>
        <v/>
      </c>
      <c r="O93" s="1649" t="str">
        <f t="array" ref="O93">IFERROR(IF(ROW($O$1)&gt;COUNTA($BK$37:$BK$96),"",INDEX($BK:$BK,SMALL(IF(BK$37:BK$96&lt;&gt;"",ROW($37:$96)),ROW(O57)))),"")</f>
        <v/>
      </c>
      <c r="P93" s="1649" t="str">
        <f t="array" ref="P93">IFERROR(IF(ROW($P$1)&gt;COUNTA($BL$37:$BL$96),"",INDEX($BL:$BL,SMALL(IF(BL$37:BL$96&lt;&gt;"",ROW($37:$96)),ROW(P57)))),"")</f>
        <v/>
      </c>
      <c r="S93" s="1775"/>
      <c r="T93" s="1775"/>
      <c r="U93" s="1608" t="str">
        <f>IF(AND(S_29!$G$8="ja",S_29!$K$8="ja"),S_29!$C$2,"")</f>
        <v/>
      </c>
      <c r="V93" s="747" t="str">
        <f t="shared" si="17"/>
        <v/>
      </c>
      <c r="W93" s="1106" t="str">
        <f>IF($U93="","",S_29!$B$14)</f>
        <v/>
      </c>
      <c r="X93" s="1608" t="str">
        <f>IF($U93="","",S_29!$A$14)</f>
        <v/>
      </c>
      <c r="Y93" s="2604" t="str">
        <f>IF($U93="","",Grünland!B33)</f>
        <v/>
      </c>
      <c r="Z93" s="1608" t="str">
        <f>IF($U93="","",S_29!$C$14)</f>
        <v/>
      </c>
      <c r="AA93" s="747" t="str">
        <f t="shared" si="18"/>
        <v/>
      </c>
      <c r="AB93" s="1608" t="str">
        <f>IF($U93="","",S_29!$CM$14)</f>
        <v/>
      </c>
      <c r="AC93" s="747" t="str">
        <f t="shared" si="19"/>
        <v/>
      </c>
      <c r="AQ93" s="1608">
        <f>IF(S_29!$DF$14&gt;0,1,0)</f>
        <v>0</v>
      </c>
      <c r="AR93" s="1608">
        <f>IF(S_29!$DG$14&gt;0,1,0)</f>
        <v>0</v>
      </c>
      <c r="AS93" s="1608">
        <f>IF(S_29!$DH$14&gt;0,1,0)</f>
        <v>0</v>
      </c>
      <c r="AT93" s="1608">
        <f>IF(S_29!$DI$14&gt;0,1,0)</f>
        <v>0</v>
      </c>
      <c r="AU93" s="1608">
        <f>IF(S_29!$DJ$14&gt;0,1,0)</f>
        <v>0</v>
      </c>
      <c r="AV93" s="1608">
        <f>IF(S_29!$DK$14&gt;0,1,0)</f>
        <v>0</v>
      </c>
      <c r="AW93" s="1608">
        <f t="shared" si="22"/>
        <v>0</v>
      </c>
      <c r="AX93" s="1608" t="str">
        <f t="shared" si="46"/>
        <v/>
      </c>
      <c r="AY93" s="1106" t="str">
        <f t="shared" si="62"/>
        <v/>
      </c>
      <c r="AZ93" s="1106" t="str">
        <f t="shared" si="48"/>
        <v/>
      </c>
      <c r="BA93" s="1793" t="str">
        <f t="shared" si="49"/>
        <v/>
      </c>
      <c r="BB93" s="1793" t="str">
        <f t="shared" si="50"/>
        <v/>
      </c>
      <c r="BC93" s="1608">
        <f>IF(S_29!$DN$14&gt;0,1,0)</f>
        <v>0</v>
      </c>
      <c r="BD93" s="1608">
        <f>IF(S_29!$DO$14&gt;0,1,0)</f>
        <v>0</v>
      </c>
      <c r="BE93" s="1608">
        <f>IF(S_29!$DP$14&gt;0,1,0)</f>
        <v>0</v>
      </c>
      <c r="BF93" s="1608">
        <f>IF(S_29!$DQ$14&gt;0,1,0)</f>
        <v>0</v>
      </c>
      <c r="BG93" s="1608">
        <f>IF(S_29!$DR$14&gt;0,1,0)</f>
        <v>0</v>
      </c>
      <c r="BH93" s="1608">
        <f>IF(S_29!$DS$14&gt;0,1,0)</f>
        <v>0</v>
      </c>
      <c r="BI93" s="1608">
        <f t="shared" si="23"/>
        <v>0</v>
      </c>
      <c r="BJ93" s="1106" t="str">
        <f t="shared" si="63"/>
        <v/>
      </c>
      <c r="BK93" s="1793" t="str">
        <f t="shared" si="52"/>
        <v/>
      </c>
      <c r="BL93" s="1793" t="str">
        <f t="shared" si="53"/>
        <v/>
      </c>
      <c r="BN93" s="747">
        <f>S_29!$DE$14</f>
        <v>0</v>
      </c>
      <c r="BO93" s="747">
        <f>S_29!$DM$14</f>
        <v>0</v>
      </c>
      <c r="BP93" s="747">
        <f>S_29!$CP$14</f>
        <v>0</v>
      </c>
      <c r="BQ93" s="747">
        <f>S_29!$CQ$14</f>
        <v>0</v>
      </c>
      <c r="BR93" s="1610" t="e">
        <f>BP93/Betrieb!$E$23</f>
        <v>#DIV/0!</v>
      </c>
      <c r="BS93" s="1610" t="e">
        <f>BQ93/Betrieb!$E$24</f>
        <v>#DIV/0!</v>
      </c>
      <c r="BT93" s="1615" t="str">
        <f t="shared" si="54"/>
        <v/>
      </c>
      <c r="BU93" s="1615" t="str">
        <f t="shared" si="55"/>
        <v/>
      </c>
      <c r="BV93" s="2569">
        <f>IF(AND(S_29!$G$8="JA",S_29!$K$8="JA"),S_29!$U$14,0)</f>
        <v>0</v>
      </c>
      <c r="BW93" s="2570">
        <f>IF(AND(S_29!$G$8="JA",S_29!$K$8="JA"),S_29!$V$14,0)</f>
        <v>0</v>
      </c>
      <c r="BX93" s="2566" t="str">
        <f t="shared" ref="BX93" si="88">IF(BV93="-",0-BW93,"")</f>
        <v/>
      </c>
      <c r="BY93" s="2566" t="str">
        <f t="shared" ref="BY93" si="89">IF(BV93="+",0+BW93,"")</f>
        <v/>
      </c>
    </row>
    <row r="94" spans="3:77" ht="20.25" hidden="1" customHeight="1">
      <c r="C94" s="1650" t="str">
        <f t="array" ref="C94">IFERROR(IF(ROW($C$1)&gt;COUNTA($X$37:$X$96),"",INDEX($X:$X,SMALL(IF(X$37:X$96&lt;&gt;"",ROW($37:$96)),ROW(A58)))),"")</f>
        <v/>
      </c>
      <c r="D94" s="1649" t="str">
        <f t="array" ref="D94">IFERROR(IF(ROW($D$1)&gt;COUNTA($V$37:$V$96),"",INDEX($V:$V,SMALL(IF(V$37:V$96&lt;&gt;"",ROW($37:$96)),ROW(D58)))),"")</f>
        <v/>
      </c>
      <c r="E94" s="1649" t="str">
        <f t="array" ref="E94">IFERROR(IF(ROW($E$1)&gt;COUNTA($W$37:$W$96),"",INDEX($W:$W,SMALL(IF(W$37:W$96&lt;&gt;"",ROW($37:$96)),ROW(E58)))),"")</f>
        <v/>
      </c>
      <c r="F94" s="1649" t="str">
        <f t="array" ref="F94">IFERROR(IF(ROW($F$1)&gt;COUNTA($AA$37:$AA$96),"",INDEX($AA:$AA,SMALL(IF(AA$37:AA$96&lt;&gt;"",ROW($37:$96)),ROW(F58)))),"")</f>
        <v/>
      </c>
      <c r="G94" s="1649" t="str">
        <f t="array" ref="G94">IFERROR(IF(ROW($G$1)&gt;COUNTA($AC$37:$AC$96),"",INDEX($AC:$AC,SMALL(IF(AC$37:AC$96&lt;&gt;"",ROW($37:$96)),ROW(G58)))),"")</f>
        <v/>
      </c>
      <c r="H94" s="1649" t="str">
        <f t="array" ref="H94">IFERROR(IF(ROW($H$1)&gt;COUNTA($BT$37:$BT$96),"",INDEX($BT:$BT,SMALL(IF(BT$37:BT$96&lt;&gt;"",ROW($37:$96)),ROW(H58)))),"")</f>
        <v/>
      </c>
      <c r="I94" s="1649" t="str">
        <f t="array" ref="I94">IFERROR(IF(ROW($I$1)&gt;COUNTA($AZ$37:$AZ$96),"",INDEX($AZ:$AZ,SMALL(IF(AZ$37:AZ$96&lt;&gt;"",ROW($37:$96)),ROW(I58)))),"")</f>
        <v/>
      </c>
      <c r="J94" s="1649" t="str">
        <f t="array" ref="J94">IFERROR(IF(ROW($J$1)&gt;COUNTA($BA$37:$BA$96),"",INDEX($BA:$BA,SMALL(IF(BA$37:BA$96&lt;&gt;"",ROW($37:$96)),ROW(J58)))),"")</f>
        <v/>
      </c>
      <c r="K94" s="1649" t="str">
        <f t="array" ref="K94">IFERROR(IF(ROW($K$1)&gt;COUNTA($BB$37:$BB$96),"",INDEX($BB:$BB,SMALL(IF(BB$37:BB$96&lt;&gt;"",ROW($37:$96)),ROW(K58)))),"")</f>
        <v/>
      </c>
      <c r="M94" s="1649" t="str">
        <f t="array" ref="M94">IFERROR(IF(ROW($M$1)&gt;COUNTA($BU$37:$BU$96),"",INDEX($BU:$BU,SMALL(IF(BU$37:BU$96&lt;&gt;"",ROW($37:$96)),ROW(M58)))),"")</f>
        <v/>
      </c>
      <c r="N94" s="1649" t="str">
        <f t="array" ref="N94">IFERROR(IF(ROW($N$1)&gt;COUNTA($BJ$37:$BJ$96),"",INDEX($BJ:$BJ,SMALL(IF(BJ$37:BJ$96&lt;&gt;"",ROW($37:$96)),ROW(N58)))),"")</f>
        <v/>
      </c>
      <c r="O94" s="1649" t="str">
        <f t="array" ref="O94">IFERROR(IF(ROW($O$1)&gt;COUNTA($BK$37:$BK$96),"",INDEX($BK:$BK,SMALL(IF(BK$37:BK$96&lt;&gt;"",ROW($37:$96)),ROW(O58)))),"")</f>
        <v/>
      </c>
      <c r="P94" s="1649" t="str">
        <f t="array" ref="P94">IFERROR(IF(ROW($P$1)&gt;COUNTA($BL$37:$BL$96),"",INDEX($BL:$BL,SMALL(IF(BL$37:BL$96&lt;&gt;"",ROW($37:$96)),ROW(P58)))),"")</f>
        <v/>
      </c>
      <c r="S94" s="1775"/>
      <c r="T94" s="1775"/>
      <c r="U94" s="1608" t="str">
        <f>IF(AND(S_29!$G$8="ja",S_29!$K$8="ja"),S_29!$C$2,"")</f>
        <v/>
      </c>
      <c r="V94" s="747" t="str">
        <f t="shared" si="17"/>
        <v/>
      </c>
      <c r="W94" s="1106" t="str">
        <f>IF($U94="","",S_29!$B$15)</f>
        <v/>
      </c>
      <c r="X94" s="1608" t="str">
        <f>IF($U94="","",S_29!$A$15)</f>
        <v/>
      </c>
      <c r="Y94" s="2604"/>
      <c r="Z94" s="1608" t="str">
        <f>IF($U94="","",S_29!$C$15)</f>
        <v/>
      </c>
      <c r="AA94" s="747" t="str">
        <f t="shared" si="18"/>
        <v/>
      </c>
      <c r="AB94" s="1608" t="str">
        <f>IF($U94="","",S_29!$CM$15)</f>
        <v/>
      </c>
      <c r="AC94" s="747" t="str">
        <f t="shared" si="19"/>
        <v/>
      </c>
      <c r="AQ94" s="1608">
        <f>IF(S_29!$DF$15&gt;0,1,0)</f>
        <v>0</v>
      </c>
      <c r="AR94" s="1608">
        <f>IF(S_29!$DG$15&gt;0,1,0)</f>
        <v>0</v>
      </c>
      <c r="AS94" s="1608">
        <f>IF(S_29!$DH$15&gt;0,1,0)</f>
        <v>0</v>
      </c>
      <c r="AT94" s="1608">
        <f>IF(S_29!$DI$15&gt;0,1,0)</f>
        <v>0</v>
      </c>
      <c r="AU94" s="1608">
        <f>IF(S_29!$DJ$15&gt;0,1,0)</f>
        <v>0</v>
      </c>
      <c r="AV94" s="1608">
        <f>IF(S_29!$DK$15&gt;0,1,0)</f>
        <v>0</v>
      </c>
      <c r="AW94" s="1608">
        <f t="shared" si="22"/>
        <v>0</v>
      </c>
      <c r="AX94" s="1608" t="str">
        <f t="shared" si="46"/>
        <v/>
      </c>
      <c r="AY94" s="1106" t="str">
        <f t="shared" si="62"/>
        <v/>
      </c>
      <c r="AZ94" s="1106" t="str">
        <f t="shared" si="48"/>
        <v/>
      </c>
      <c r="BA94" s="1793" t="str">
        <f t="shared" si="49"/>
        <v/>
      </c>
      <c r="BB94" s="1793" t="str">
        <f t="shared" si="50"/>
        <v/>
      </c>
      <c r="BC94" s="1608">
        <f>IF(S_29!$DN$15&gt;0,1,0)</f>
        <v>0</v>
      </c>
      <c r="BD94" s="1608">
        <f>IF(S_29!$DO$15&gt;0,1,0)</f>
        <v>0</v>
      </c>
      <c r="BE94" s="1608">
        <f>IF(S_29!$DP$15&gt;0,1,0)</f>
        <v>0</v>
      </c>
      <c r="BF94" s="1608">
        <f>IF(S_29!$DQ$15&gt;0,1,0)</f>
        <v>0</v>
      </c>
      <c r="BG94" s="1608">
        <f>IF(S_29!$DR$15&gt;0,1,0)</f>
        <v>0</v>
      </c>
      <c r="BH94" s="1608">
        <f>IF(S_29!$DS$15&gt;0,1,0)</f>
        <v>0</v>
      </c>
      <c r="BI94" s="1608">
        <f t="shared" si="23"/>
        <v>0</v>
      </c>
      <c r="BJ94" s="1106" t="str">
        <f t="shared" si="63"/>
        <v/>
      </c>
      <c r="BK94" s="1793" t="str">
        <f t="shared" si="52"/>
        <v/>
      </c>
      <c r="BL94" s="1793" t="str">
        <f t="shared" si="53"/>
        <v/>
      </c>
      <c r="BN94" s="747">
        <f>S_29!$DE$15</f>
        <v>0</v>
      </c>
      <c r="BO94" s="747">
        <f>S_29!$DM$15</f>
        <v>0</v>
      </c>
      <c r="BP94" s="747">
        <f>S_29!$CP$15</f>
        <v>0</v>
      </c>
      <c r="BQ94" s="747">
        <f>S_29!$CQ$15</f>
        <v>0</v>
      </c>
      <c r="BR94" s="1610" t="e">
        <f>BP94/Betrieb!$E$23</f>
        <v>#DIV/0!</v>
      </c>
      <c r="BS94" s="1610" t="e">
        <f>BQ94/Betrieb!$E$24</f>
        <v>#DIV/0!</v>
      </c>
      <c r="BT94" s="1615" t="str">
        <f t="shared" si="54"/>
        <v/>
      </c>
      <c r="BU94" s="1615" t="str">
        <f t="shared" si="55"/>
        <v/>
      </c>
      <c r="BV94" s="2569"/>
      <c r="BW94" s="2570"/>
      <c r="BX94" s="2566"/>
      <c r="BY94" s="2566"/>
    </row>
    <row r="95" spans="3:77" ht="20.25" hidden="1" customHeight="1">
      <c r="C95" s="1650" t="str">
        <f t="array" ref="C95">IFERROR(IF(ROW($C$1)&gt;COUNTA($X$37:$X$96),"",INDEX($X:$X,SMALL(IF(X$37:X$96&lt;&gt;"",ROW($37:$96)),ROW(A59)))),"")</f>
        <v/>
      </c>
      <c r="D95" s="1649" t="str">
        <f t="array" ref="D95">IFERROR(IF(ROW($D$1)&gt;COUNTA($V$37:$V$96),"",INDEX($V:$V,SMALL(IF(V$37:V$96&lt;&gt;"",ROW($37:$96)),ROW(D59)))),"")</f>
        <v/>
      </c>
      <c r="E95" s="1649" t="str">
        <f t="array" ref="E95">IFERROR(IF(ROW($E$1)&gt;COUNTA($W$37:$W$96),"",INDEX($W:$W,SMALL(IF(W$37:W$96&lt;&gt;"",ROW($37:$96)),ROW(E59)))),"")</f>
        <v/>
      </c>
      <c r="F95" s="1649" t="str">
        <f t="array" ref="F95">IFERROR(IF(ROW($F$1)&gt;COUNTA($AA$37:$AA$96),"",INDEX($AA:$AA,SMALL(IF(AA$37:AA$96&lt;&gt;"",ROW($37:$96)),ROW(F59)))),"")</f>
        <v/>
      </c>
      <c r="G95" s="1649" t="str">
        <f t="array" ref="G95">IFERROR(IF(ROW($G$1)&gt;COUNTA($AC$37:$AC$96),"",INDEX($AC:$AC,SMALL(IF(AC$37:AC$96&lt;&gt;"",ROW($37:$96)),ROW(G59)))),"")</f>
        <v/>
      </c>
      <c r="H95" s="1649" t="str">
        <f t="array" ref="H95">IFERROR(IF(ROW($H$1)&gt;COUNTA($BT$37:$BT$96),"",INDEX($BT:$BT,SMALL(IF(BT$37:BT$96&lt;&gt;"",ROW($37:$96)),ROW(H59)))),"")</f>
        <v/>
      </c>
      <c r="I95" s="1649" t="str">
        <f t="array" ref="I95">IFERROR(IF(ROW($I$1)&gt;COUNTA($AZ$37:$AZ$96),"",INDEX($AZ:$AZ,SMALL(IF(AZ$37:AZ$96&lt;&gt;"",ROW($37:$96)),ROW(I59)))),"")</f>
        <v/>
      </c>
      <c r="J95" s="1649" t="str">
        <f t="array" ref="J95">IFERROR(IF(ROW($J$1)&gt;COUNTA($BA$37:$BA$96),"",INDEX($BA:$BA,SMALL(IF(BA$37:BA$96&lt;&gt;"",ROW($37:$96)),ROW(J59)))),"")</f>
        <v/>
      </c>
      <c r="K95" s="1649" t="str">
        <f t="array" ref="K95">IFERROR(IF(ROW($K$1)&gt;COUNTA($BB$37:$BB$96),"",INDEX($BB:$BB,SMALL(IF(BB$37:BB$96&lt;&gt;"",ROW($37:$96)),ROW(K59)))),"")</f>
        <v/>
      </c>
      <c r="M95" s="1649" t="str">
        <f t="array" ref="M95">IFERROR(IF(ROW($M$1)&gt;COUNTA($BU$37:$BU$96),"",INDEX($BU:$BU,SMALL(IF(BU$37:BU$96&lt;&gt;"",ROW($37:$96)),ROW(M59)))),"")</f>
        <v/>
      </c>
      <c r="N95" s="1649" t="str">
        <f t="array" ref="N95">IFERROR(IF(ROW($N$1)&gt;COUNTA($BJ$37:$BJ$96),"",INDEX($BJ:$BJ,SMALL(IF(BJ$37:BJ$96&lt;&gt;"",ROW($37:$96)),ROW(N59)))),"")</f>
        <v/>
      </c>
      <c r="O95" s="1649" t="str">
        <f t="array" ref="O95">IFERROR(IF(ROW($O$1)&gt;COUNTA($BK$37:$BK$96),"",INDEX($BK:$BK,SMALL(IF(BK$37:BK$96&lt;&gt;"",ROW($37:$96)),ROW(O59)))),"")</f>
        <v/>
      </c>
      <c r="P95" s="1649" t="str">
        <f t="array" ref="P95">IFERROR(IF(ROW($P$1)&gt;COUNTA($BL$37:$BL$96),"",INDEX($BL:$BL,SMALL(IF(BL$37:BL$96&lt;&gt;"",ROW($37:$96)),ROW(P59)))),"")</f>
        <v/>
      </c>
      <c r="S95" s="1775"/>
      <c r="T95" s="1775"/>
      <c r="U95" s="1608" t="str">
        <f>IF(AND(S_30!$G$8="ja",S_30!$K$8="ja"),S_30!$C$2,"")</f>
        <v/>
      </c>
      <c r="V95" s="747" t="str">
        <f t="shared" si="17"/>
        <v/>
      </c>
      <c r="W95" s="1106" t="str">
        <f>IF($U95="","",S_30!$B$14)</f>
        <v/>
      </c>
      <c r="X95" s="1608" t="str">
        <f>IF($U95="","",S_30!$A$14)</f>
        <v/>
      </c>
      <c r="Y95" s="2604" t="str">
        <f>IF($U95="","",Grünland!B34)</f>
        <v/>
      </c>
      <c r="Z95" s="1608" t="str">
        <f>IF($U95="","",S_30!$C$14)</f>
        <v/>
      </c>
      <c r="AA95" s="747" t="str">
        <f t="shared" si="18"/>
        <v/>
      </c>
      <c r="AB95" s="1608" t="str">
        <f>IF($U95="","",S_30!$CM$14)</f>
        <v/>
      </c>
      <c r="AC95" s="747" t="str">
        <f t="shared" si="19"/>
        <v/>
      </c>
      <c r="AQ95" s="1608">
        <f>IF(S_30!$DF$14&gt;0,1,0)</f>
        <v>0</v>
      </c>
      <c r="AR95" s="1608">
        <f>IF(S_30!$DG$14&gt;0,1,0)</f>
        <v>0</v>
      </c>
      <c r="AS95" s="1608">
        <f>IF(S_30!$DH$14&gt;0,1,0)</f>
        <v>0</v>
      </c>
      <c r="AT95" s="1608">
        <f>IF(S_30!$DI$14&gt;0,1,0)</f>
        <v>0</v>
      </c>
      <c r="AU95" s="1608">
        <f>IF(S_30!$DJ$14&gt;0,1,0)</f>
        <v>0</v>
      </c>
      <c r="AV95" s="1608">
        <f>IF(S_30!$DK$14&gt;0,1,0)</f>
        <v>0</v>
      </c>
      <c r="AW95" s="1608">
        <f t="shared" si="22"/>
        <v>0</v>
      </c>
      <c r="AX95" s="1608" t="str">
        <f t="shared" si="46"/>
        <v/>
      </c>
      <c r="AY95" s="1106" t="str">
        <f t="shared" si="62"/>
        <v/>
      </c>
      <c r="AZ95" s="1106" t="str">
        <f t="shared" si="48"/>
        <v/>
      </c>
      <c r="BA95" s="1793" t="str">
        <f t="shared" si="49"/>
        <v/>
      </c>
      <c r="BB95" s="1793" t="str">
        <f t="shared" si="50"/>
        <v/>
      </c>
      <c r="BC95" s="1608">
        <f>IF(S_30!$DN$14&gt;0,1,0)</f>
        <v>0</v>
      </c>
      <c r="BD95" s="1608">
        <f>IF(S_30!$DO$14&gt;0,1,0)</f>
        <v>0</v>
      </c>
      <c r="BE95" s="1608">
        <f>IF(S_30!$DP$14&gt;0,1,0)</f>
        <v>0</v>
      </c>
      <c r="BF95" s="1608">
        <f>IF(S_30!$DQ$14&gt;0,1,0)</f>
        <v>0</v>
      </c>
      <c r="BG95" s="1608">
        <f>IF(S_30!$DR$14&gt;0,1,0)</f>
        <v>0</v>
      </c>
      <c r="BH95" s="1608">
        <f>IF(S_30!$DS$14&gt;0,1,0)</f>
        <v>0</v>
      </c>
      <c r="BI95" s="1608">
        <f t="shared" si="23"/>
        <v>0</v>
      </c>
      <c r="BJ95" s="1106" t="str">
        <f t="shared" si="63"/>
        <v/>
      </c>
      <c r="BK95" s="1793" t="str">
        <f t="shared" si="52"/>
        <v/>
      </c>
      <c r="BL95" s="1793" t="str">
        <f t="shared" si="53"/>
        <v/>
      </c>
      <c r="BN95" s="747">
        <f>S_30!$DE$14</f>
        <v>0</v>
      </c>
      <c r="BO95" s="747">
        <f>S_30!$DM$14</f>
        <v>0</v>
      </c>
      <c r="BP95" s="747">
        <f>S_30!$CP$14</f>
        <v>0</v>
      </c>
      <c r="BQ95" s="747">
        <f>S_30!$CQ$14</f>
        <v>0</v>
      </c>
      <c r="BR95" s="1610" t="e">
        <f>BP95/Betrieb!$E$23</f>
        <v>#DIV/0!</v>
      </c>
      <c r="BS95" s="1610" t="e">
        <f>BQ95/Betrieb!$E$24</f>
        <v>#DIV/0!</v>
      </c>
      <c r="BT95" s="1615" t="str">
        <f t="shared" si="54"/>
        <v/>
      </c>
      <c r="BU95" s="1615" t="str">
        <f t="shared" si="55"/>
        <v/>
      </c>
      <c r="BV95" s="2569">
        <f>IF(AND(S_30!$G$8="JA",S_30!$K$8="JA"),S_30!$U$14,0)</f>
        <v>0</v>
      </c>
      <c r="BW95" s="2570">
        <f>IF(AND(S_30!$G$8="JA",S_30!$K$8="JA"),S_30!$V$14,0)</f>
        <v>0</v>
      </c>
      <c r="BX95" s="2566" t="str">
        <f t="shared" ref="BX95" si="90">IF(BV95="-",0-BW95,"")</f>
        <v/>
      </c>
      <c r="BY95" s="2566" t="str">
        <f t="shared" ref="BY95" si="91">IF(BV95="+",0+BW95,"")</f>
        <v/>
      </c>
    </row>
    <row r="96" spans="3:77" ht="20.25" hidden="1" customHeight="1" thickBot="1">
      <c r="C96" s="1650" t="str">
        <f t="array" ref="C96">IFERROR(IF(ROW($C$1)&gt;COUNTA($X$37:$X$96),"",INDEX($X:$X,SMALL(IF(X$37:X$96&lt;&gt;"",ROW($37:$96)),ROW(A60)))),"")</f>
        <v/>
      </c>
      <c r="D96" s="1649" t="str">
        <f t="array" ref="D96">IFERROR(IF(ROW($D$1)&gt;COUNTA($V$37:$V$96),"",INDEX($V:$V,SMALL(IF(V$37:V$96&lt;&gt;"",ROW($37:$96)),ROW(D60)))),"")</f>
        <v/>
      </c>
      <c r="E96" s="1649" t="str">
        <f t="array" ref="E96">IFERROR(IF(ROW($E$1)&gt;COUNTA($W$37:$W$96),"",INDEX($W:$W,SMALL(IF(W$37:W$96&lt;&gt;"",ROW($37:$96)),ROW(E60)))),"")</f>
        <v/>
      </c>
      <c r="F96" s="1649" t="str">
        <f t="array" ref="F96">IFERROR(IF(ROW($F$1)&gt;COUNTA($AA$37:$AA$96),"",INDEX($AA:$AA,SMALL(IF(AA$37:AA$96&lt;&gt;"",ROW($37:$96)),ROW(F60)))),"")</f>
        <v/>
      </c>
      <c r="G96" s="1649" t="str">
        <f t="array" ref="G96">IFERROR(IF(ROW($G$1)&gt;COUNTA($AC$37:$AC$96),"",INDEX($AC:$AC,SMALL(IF(AC$37:AC$96&lt;&gt;"",ROW($37:$96)),ROW(G60)))),"")</f>
        <v/>
      </c>
      <c r="H96" s="1649" t="str">
        <f t="array" ref="H96">IFERROR(IF(ROW($H$1)&gt;COUNTA($BT$37:$BT$96),"",INDEX($BT:$BT,SMALL(IF(BT$37:BT$96&lt;&gt;"",ROW($37:$96)),ROW(H60)))),"")</f>
        <v/>
      </c>
      <c r="I96" s="1649" t="str">
        <f t="array" ref="I96">IFERROR(IF(ROW($I$1)&gt;COUNTA($AZ$37:$AZ$96),"",INDEX($AZ:$AZ,SMALL(IF(AZ$37:AZ$96&lt;&gt;"",ROW($37:$96)),ROW(I60)))),"")</f>
        <v/>
      </c>
      <c r="J96" s="1649" t="str">
        <f t="array" ref="J96">IFERROR(IF(ROW($J$1)&gt;COUNTA($BA$37:$BA$96),"",INDEX($BA:$BA,SMALL(IF(BA$37:BA$96&lt;&gt;"",ROW($37:$96)),ROW(J60)))),"")</f>
        <v/>
      </c>
      <c r="K96" s="1649" t="str">
        <f t="array" ref="K96">IFERROR(IF(ROW($K$1)&gt;COUNTA($BB$37:$BB$96),"",INDEX($BB:$BB,SMALL(IF(BB$37:BB$96&lt;&gt;"",ROW($37:$96)),ROW(K60)))),"")</f>
        <v/>
      </c>
      <c r="M96" s="1649" t="str">
        <f t="array" ref="M96">IFERROR(IF(ROW($M$1)&gt;COUNTA($BU$37:$BU$96),"",INDEX($BU:$BU,SMALL(IF(BU$37:BU$96&lt;&gt;"",ROW($37:$96)),ROW(M60)))),"")</f>
        <v/>
      </c>
      <c r="N96" s="1649" t="str">
        <f t="array" ref="N96">IFERROR(IF(ROW($N$1)&gt;COUNTA($BJ$37:$BJ$96),"",INDEX($BJ:$BJ,SMALL(IF(BJ$37:BJ$96&lt;&gt;"",ROW($37:$96)),ROW(N60)))),"")</f>
        <v/>
      </c>
      <c r="O96" s="1649" t="str">
        <f t="array" ref="O96">IFERROR(IF(ROW($O$1)&gt;COUNTA($BK$37:$BK$96),"",INDEX($BK:$BK,SMALL(IF(BK$37:BK$96&lt;&gt;"",ROW($37:$96)),ROW(O60)))),"")</f>
        <v/>
      </c>
      <c r="P96" s="1649" t="str">
        <f t="array" ref="P96">IFERROR(IF(ROW($P$1)&gt;COUNTA($BL$37:$BL$96),"",INDEX($BL:$BL,SMALL(IF(BL$37:BL$96&lt;&gt;"",ROW($37:$96)),ROW(P60)))),"")</f>
        <v/>
      </c>
      <c r="S96" s="1775"/>
      <c r="T96" s="1775"/>
      <c r="U96" s="1608" t="str">
        <f>IF(AND(S_30!$G$8="ja",S_30!$K$8="ja"),S_30!$C$2,"")</f>
        <v/>
      </c>
      <c r="V96" s="747" t="str">
        <f t="shared" si="17"/>
        <v/>
      </c>
      <c r="W96" s="1106" t="str">
        <f>IF($U96="","",S_30!$B$15)</f>
        <v/>
      </c>
      <c r="X96" s="1608" t="str">
        <f>IF($U96="","",S_30!$A$15)</f>
        <v/>
      </c>
      <c r="Y96" s="2604"/>
      <c r="Z96" s="1608" t="str">
        <f>IF($U96="","",S_30!$C$15)</f>
        <v/>
      </c>
      <c r="AA96" s="747" t="str">
        <f t="shared" si="18"/>
        <v/>
      </c>
      <c r="AB96" s="1608" t="str">
        <f>IF($U96="","",S_30!$CM$15)</f>
        <v/>
      </c>
      <c r="AC96" s="747" t="str">
        <f t="shared" si="19"/>
        <v/>
      </c>
      <c r="AQ96" s="1608">
        <f>IF(S_30!$DF$15&gt;0,1,0)</f>
        <v>0</v>
      </c>
      <c r="AR96" s="1608">
        <f>IF(S_30!$DG$15&gt;0,1,0)</f>
        <v>0</v>
      </c>
      <c r="AS96" s="1608">
        <f>IF(S_30!$DH$15&gt;0,1,0)</f>
        <v>0</v>
      </c>
      <c r="AT96" s="1608">
        <f>IF(S_30!$DI$15&gt;0,1,0)</f>
        <v>0</v>
      </c>
      <c r="AU96" s="1608">
        <f>IF(S_30!$DJ$15&gt;0,1,0)</f>
        <v>0</v>
      </c>
      <c r="AV96" s="1608">
        <f>IF(S_30!$DK$15&gt;0,1,0)</f>
        <v>0</v>
      </c>
      <c r="AW96" s="1608">
        <f t="shared" si="22"/>
        <v>0</v>
      </c>
      <c r="AX96" s="1608" t="str">
        <f t="shared" si="46"/>
        <v/>
      </c>
      <c r="AY96" s="1106" t="str">
        <f t="shared" si="62"/>
        <v/>
      </c>
      <c r="AZ96" s="1106" t="str">
        <f t="shared" si="48"/>
        <v/>
      </c>
      <c r="BA96" s="1793" t="str">
        <f t="shared" si="49"/>
        <v/>
      </c>
      <c r="BB96" s="1793" t="str">
        <f t="shared" si="50"/>
        <v/>
      </c>
      <c r="BC96" s="1608">
        <f>IF(S_30!$DN$15&gt;0,1,0)</f>
        <v>0</v>
      </c>
      <c r="BD96" s="1608">
        <f>IF(S_30!$DO$15&gt;0,1,0)</f>
        <v>0</v>
      </c>
      <c r="BE96" s="1608">
        <f>IF(S_30!$DP$15&gt;0,1,0)</f>
        <v>0</v>
      </c>
      <c r="BF96" s="1608">
        <f>IF(S_30!$DQ$15&gt;0,1,0)</f>
        <v>0</v>
      </c>
      <c r="BG96" s="1608">
        <f>IF(S_30!$DR$15&gt;0,1,0)</f>
        <v>0</v>
      </c>
      <c r="BH96" s="1608">
        <f>IF(S_30!$DS$15&gt;0,1,0)</f>
        <v>0</v>
      </c>
      <c r="BI96" s="1608">
        <f t="shared" si="23"/>
        <v>0</v>
      </c>
      <c r="BJ96" s="1106" t="str">
        <f t="shared" si="63"/>
        <v/>
      </c>
      <c r="BK96" s="1793" t="str">
        <f t="shared" si="52"/>
        <v/>
      </c>
      <c r="BL96" s="1793" t="str">
        <f t="shared" si="53"/>
        <v/>
      </c>
      <c r="BN96" s="747">
        <f>S_30!$DE$15</f>
        <v>0</v>
      </c>
      <c r="BO96" s="747">
        <f>S_30!$DM$15</f>
        <v>0</v>
      </c>
      <c r="BP96" s="747">
        <f>S_30!$CP$15</f>
        <v>0</v>
      </c>
      <c r="BQ96" s="747">
        <f>S_30!$CQ$15</f>
        <v>0</v>
      </c>
      <c r="BR96" s="1610" t="e">
        <f>BP96/Betrieb!$E$23</f>
        <v>#DIV/0!</v>
      </c>
      <c r="BS96" s="1610" t="e">
        <f>BQ96/Betrieb!$E$24</f>
        <v>#DIV/0!</v>
      </c>
      <c r="BT96" s="1615" t="str">
        <f t="shared" si="54"/>
        <v/>
      </c>
      <c r="BU96" s="1615" t="str">
        <f t="shared" si="55"/>
        <v/>
      </c>
      <c r="BV96" s="2569"/>
      <c r="BW96" s="2570"/>
      <c r="BX96" s="2566"/>
      <c r="BY96" s="2566"/>
    </row>
    <row r="97" spans="1:77" ht="20.25" hidden="1" customHeight="1" thickBot="1">
      <c r="S97" s="1775"/>
      <c r="T97" s="1775"/>
      <c r="V97" s="747">
        <f t="shared" si="17"/>
        <v>0</v>
      </c>
      <c r="AO97" s="747">
        <v>0</v>
      </c>
      <c r="AQ97" s="1608"/>
      <c r="BJ97" s="1106" t="str">
        <f t="shared" si="63"/>
        <v/>
      </c>
      <c r="BV97" s="1772"/>
      <c r="BW97" s="1774"/>
      <c r="BX97" s="2567">
        <f>SUM(BX37:BX96)+SUM(BY37:BY96)</f>
        <v>0</v>
      </c>
      <c r="BY97" s="2568"/>
    </row>
    <row r="98" spans="1:77" ht="20.25" customHeight="1">
      <c r="A98" s="1775"/>
      <c r="B98" s="1775"/>
      <c r="C98" s="1776"/>
      <c r="D98" s="1775"/>
      <c r="E98" s="1776"/>
      <c r="F98" s="1776"/>
      <c r="G98" s="1777"/>
      <c r="H98" s="1775"/>
      <c r="I98" s="1778"/>
      <c r="J98" s="1775"/>
      <c r="K98" s="1779"/>
      <c r="L98" s="1779"/>
      <c r="M98" s="1776"/>
      <c r="N98" s="1778"/>
      <c r="O98" s="1776"/>
      <c r="P98" s="1779"/>
      <c r="Q98" s="1775"/>
      <c r="R98" s="1775"/>
      <c r="S98" s="1775"/>
      <c r="T98" s="1775"/>
      <c r="AQ98" s="1608"/>
    </row>
    <row r="99" spans="1:77">
      <c r="A99" s="1775"/>
      <c r="B99" s="1775"/>
      <c r="C99" s="1776"/>
      <c r="D99" s="1775"/>
      <c r="E99" s="1776"/>
      <c r="F99" s="1776"/>
      <c r="G99" s="1777"/>
      <c r="H99" s="1775"/>
      <c r="I99" s="1778"/>
      <c r="J99" s="1775"/>
      <c r="K99" s="1779"/>
      <c r="L99" s="1779"/>
      <c r="M99" s="1776"/>
      <c r="N99" s="1778"/>
      <c r="O99" s="1776"/>
      <c r="P99" s="1779"/>
      <c r="Q99" s="1775"/>
      <c r="R99" s="1775"/>
      <c r="S99" s="1775"/>
      <c r="T99" s="1775"/>
      <c r="AQ99" s="1608"/>
    </row>
    <row r="100" spans="1:77">
      <c r="A100" s="1775"/>
      <c r="B100" s="1775"/>
      <c r="C100" s="1776"/>
      <c r="D100" s="1775"/>
      <c r="E100" s="1776"/>
      <c r="F100" s="1776"/>
      <c r="G100" s="1777"/>
      <c r="H100" s="1775"/>
      <c r="I100" s="1778"/>
      <c r="J100" s="1775"/>
      <c r="K100" s="1779"/>
      <c r="L100" s="1779"/>
      <c r="M100" s="1776"/>
      <c r="N100" s="1778"/>
      <c r="O100" s="1776"/>
      <c r="P100" s="1779"/>
      <c r="Q100" s="1775"/>
      <c r="R100" s="1775"/>
      <c r="S100" s="1775"/>
      <c r="T100" s="1775"/>
      <c r="AQ100" s="1608"/>
    </row>
    <row r="101" spans="1:77">
      <c r="A101" s="1775"/>
      <c r="B101" s="1775"/>
      <c r="C101" s="1776"/>
      <c r="D101" s="1775"/>
      <c r="E101" s="1776"/>
      <c r="F101" s="1776"/>
      <c r="G101" s="1777"/>
      <c r="H101" s="1775"/>
      <c r="I101" s="1778"/>
      <c r="J101" s="1775"/>
      <c r="K101" s="1779"/>
      <c r="L101" s="1779"/>
      <c r="M101" s="1776"/>
      <c r="N101" s="1778"/>
      <c r="O101" s="1776"/>
      <c r="P101" s="1779"/>
      <c r="Q101" s="1775"/>
      <c r="R101" s="1775"/>
      <c r="S101" s="1775"/>
      <c r="T101" s="1775"/>
    </row>
    <row r="102" spans="1:77">
      <c r="A102" s="1775"/>
      <c r="B102" s="1775"/>
      <c r="C102" s="1776"/>
      <c r="D102" s="1775"/>
      <c r="E102" s="1776"/>
      <c r="F102" s="1776"/>
      <c r="G102" s="1777"/>
      <c r="H102" s="1775"/>
      <c r="I102" s="1778"/>
      <c r="J102" s="1775"/>
      <c r="K102" s="1779"/>
      <c r="L102" s="1779"/>
      <c r="M102" s="1776"/>
      <c r="N102" s="1778"/>
      <c r="O102" s="1776"/>
      <c r="P102" s="1779"/>
      <c r="Q102" s="1775"/>
      <c r="R102" s="1775"/>
      <c r="S102" s="1775"/>
      <c r="T102" s="1775"/>
    </row>
    <row r="103" spans="1:77">
      <c r="A103" s="1775"/>
      <c r="B103" s="1775"/>
      <c r="C103" s="1776"/>
      <c r="D103" s="1775"/>
      <c r="E103" s="1776"/>
      <c r="F103" s="1776"/>
      <c r="G103" s="1777"/>
      <c r="H103" s="1775"/>
      <c r="I103" s="1778"/>
      <c r="J103" s="1775"/>
      <c r="K103" s="1779"/>
      <c r="L103" s="1779"/>
      <c r="M103" s="1776"/>
      <c r="N103" s="1778"/>
      <c r="O103" s="1776"/>
      <c r="P103" s="1779"/>
      <c r="Q103" s="1775"/>
      <c r="R103" s="1775"/>
      <c r="S103" s="1775"/>
      <c r="T103" s="1775"/>
    </row>
    <row r="104" spans="1:77">
      <c r="A104" s="1775"/>
      <c r="B104" s="1775"/>
      <c r="C104" s="1776"/>
      <c r="D104" s="1775"/>
      <c r="E104" s="1776"/>
      <c r="F104" s="1776"/>
      <c r="G104" s="1777"/>
      <c r="H104" s="1775"/>
      <c r="I104" s="1778"/>
      <c r="J104" s="1775"/>
      <c r="K104" s="1779"/>
      <c r="L104" s="1779"/>
      <c r="M104" s="1776"/>
      <c r="N104" s="1778"/>
      <c r="O104" s="1776"/>
      <c r="P104" s="1779"/>
      <c r="Q104" s="1775"/>
      <c r="R104" s="1775"/>
      <c r="S104" s="1775"/>
      <c r="T104" s="1775"/>
    </row>
    <row r="105" spans="1:77">
      <c r="A105" s="1775"/>
      <c r="B105" s="1775"/>
      <c r="C105" s="1776"/>
      <c r="D105" s="1775"/>
      <c r="E105" s="1776"/>
      <c r="F105" s="1776"/>
      <c r="G105" s="1777"/>
      <c r="H105" s="1775"/>
      <c r="I105" s="1778"/>
      <c r="J105" s="1775"/>
      <c r="K105" s="1779"/>
      <c r="L105" s="1779"/>
      <c r="M105" s="1776"/>
      <c r="N105" s="1778"/>
      <c r="O105" s="1776"/>
      <c r="P105" s="1779"/>
      <c r="Q105" s="1775"/>
      <c r="R105" s="1775"/>
      <c r="S105" s="1775"/>
      <c r="T105" s="1775"/>
    </row>
    <row r="106" spans="1:77">
      <c r="A106" s="1775"/>
      <c r="B106" s="1775"/>
      <c r="C106" s="1776"/>
      <c r="D106" s="1775"/>
      <c r="E106" s="1776"/>
      <c r="F106" s="1776"/>
      <c r="G106" s="1777"/>
      <c r="H106" s="1775"/>
      <c r="I106" s="1778"/>
      <c r="J106" s="1775"/>
      <c r="K106" s="1779"/>
      <c r="L106" s="1779"/>
      <c r="M106" s="1776"/>
      <c r="N106" s="1778"/>
      <c r="O106" s="1776"/>
      <c r="P106" s="1779"/>
      <c r="Q106" s="1775"/>
      <c r="R106" s="1775"/>
      <c r="S106" s="1775"/>
      <c r="T106" s="1775"/>
    </row>
    <row r="107" spans="1:77">
      <c r="A107" s="1775"/>
      <c r="B107" s="1775"/>
      <c r="C107" s="1776"/>
      <c r="D107" s="1775"/>
      <c r="E107" s="1776"/>
      <c r="F107" s="1776"/>
      <c r="G107" s="1777"/>
      <c r="H107" s="1775"/>
      <c r="I107" s="1778"/>
      <c r="J107" s="1775"/>
      <c r="K107" s="1779"/>
      <c r="L107" s="1779"/>
      <c r="M107" s="1776"/>
      <c r="N107" s="1778"/>
      <c r="O107" s="1776"/>
      <c r="P107" s="1779"/>
      <c r="Q107" s="1775"/>
      <c r="R107" s="1775"/>
      <c r="S107" s="1775"/>
      <c r="T107" s="1775"/>
    </row>
    <row r="108" spans="1:77">
      <c r="A108" s="1775"/>
      <c r="B108" s="1775"/>
      <c r="C108" s="1776"/>
      <c r="D108" s="1775"/>
      <c r="E108" s="1776"/>
      <c r="F108" s="1776"/>
      <c r="G108" s="1777"/>
      <c r="H108" s="1775"/>
      <c r="I108" s="1778"/>
      <c r="J108" s="1775"/>
      <c r="K108" s="1779"/>
      <c r="L108" s="1779"/>
      <c r="M108" s="1776"/>
      <c r="N108" s="1778"/>
      <c r="O108" s="1776"/>
      <c r="P108" s="1779"/>
      <c r="Q108" s="1775"/>
      <c r="R108" s="1775"/>
      <c r="S108" s="1775"/>
      <c r="T108" s="1775"/>
    </row>
    <row r="109" spans="1:77">
      <c r="A109" s="1775"/>
      <c r="B109" s="1775"/>
      <c r="C109" s="1776"/>
      <c r="D109" s="1775"/>
      <c r="E109" s="1776"/>
      <c r="F109" s="1776"/>
      <c r="G109" s="1777"/>
      <c r="H109" s="1775"/>
      <c r="I109" s="1778"/>
      <c r="J109" s="1775"/>
      <c r="K109" s="1779"/>
      <c r="L109" s="1779"/>
      <c r="M109" s="1776"/>
      <c r="N109" s="1778"/>
      <c r="O109" s="1776"/>
      <c r="P109" s="1779"/>
      <c r="Q109" s="1775"/>
      <c r="R109" s="1775"/>
      <c r="S109" s="1775"/>
      <c r="T109" s="1775"/>
    </row>
  </sheetData>
  <sheetProtection algorithmName="SHA-512" hashValue="eqDuzUUFT4lW+WlzQD4KyMjLUNioqS1rqjowqm2LfFLllXdNjNeaUVG+Q5+YzdomcbygGZ79MlUIyUfwd4b/GQ==" saltValue="GwGDJ3+IyJ0tFPCOpaS3Fw==" spinCount="100000" sheet="1" objects="1" scenarios="1"/>
  <dataConsolidate link="1">
    <dataRefs count="2">
      <dataRef ref="C7:E9" sheet="Ergebnis"/>
      <dataRef ref="C10:E12" sheet="Ergebnis"/>
    </dataRefs>
  </dataConsolidate>
  <mergeCells count="194">
    <mergeCell ref="R39:R40"/>
    <mergeCell ref="R35:R38"/>
    <mergeCell ref="Y67:Y68"/>
    <mergeCell ref="Y69:Y70"/>
    <mergeCell ref="Y71:Y72"/>
    <mergeCell ref="Y73:Y74"/>
    <mergeCell ref="Y75:Y76"/>
    <mergeCell ref="Y57:Y58"/>
    <mergeCell ref="Y59:Y60"/>
    <mergeCell ref="Y61:Y62"/>
    <mergeCell ref="Y63:Y64"/>
    <mergeCell ref="Y65:Y66"/>
    <mergeCell ref="Y49:Y50"/>
    <mergeCell ref="Y51:Y52"/>
    <mergeCell ref="Y53:Y54"/>
    <mergeCell ref="Y55:Y56"/>
    <mergeCell ref="Y37:Y38"/>
    <mergeCell ref="Y39:Y40"/>
    <mergeCell ref="Y41:Y42"/>
    <mergeCell ref="Y43:Y44"/>
    <mergeCell ref="Y45:Y46"/>
    <mergeCell ref="Y47:Y48"/>
    <mergeCell ref="Y95:Y96"/>
    <mergeCell ref="Y77:Y78"/>
    <mergeCell ref="Y79:Y80"/>
    <mergeCell ref="Y81:Y82"/>
    <mergeCell ref="Y83:Y84"/>
    <mergeCell ref="Y85:Y86"/>
    <mergeCell ref="Y87:Y88"/>
    <mergeCell ref="Y89:Y90"/>
    <mergeCell ref="Y91:Y92"/>
    <mergeCell ref="Y93:Y94"/>
    <mergeCell ref="H36:K36"/>
    <mergeCell ref="M36:P36"/>
    <mergeCell ref="A37:C37"/>
    <mergeCell ref="A38:C38"/>
    <mergeCell ref="C3:D3"/>
    <mergeCell ref="C2:P2"/>
    <mergeCell ref="BP2:BQ2"/>
    <mergeCell ref="BR2:BU2"/>
    <mergeCell ref="AQ2:BB3"/>
    <mergeCell ref="BC2:BL3"/>
    <mergeCell ref="H3:K3"/>
    <mergeCell ref="M3:P3"/>
    <mergeCell ref="BN2:BO2"/>
    <mergeCell ref="A44:C44"/>
    <mergeCell ref="A47:C47"/>
    <mergeCell ref="A46:C46"/>
    <mergeCell ref="A45:C45"/>
    <mergeCell ref="A48:C48"/>
    <mergeCell ref="A39:C39"/>
    <mergeCell ref="A40:C40"/>
    <mergeCell ref="A41:C41"/>
    <mergeCell ref="A42:C42"/>
    <mergeCell ref="A43:C43"/>
    <mergeCell ref="BV37:BV38"/>
    <mergeCell ref="BW37:BW38"/>
    <mergeCell ref="BV39:BV40"/>
    <mergeCell ref="BW39:BW40"/>
    <mergeCell ref="BV2:BY3"/>
    <mergeCell ref="BX34:BY34"/>
    <mergeCell ref="BX37:BX38"/>
    <mergeCell ref="BX39:BX40"/>
    <mergeCell ref="A62:C62"/>
    <mergeCell ref="A59:C59"/>
    <mergeCell ref="A60:C60"/>
    <mergeCell ref="A36:D36"/>
    <mergeCell ref="A35:P35"/>
    <mergeCell ref="A61:C61"/>
    <mergeCell ref="A54:C54"/>
    <mergeCell ref="A55:C55"/>
    <mergeCell ref="A56:C56"/>
    <mergeCell ref="A57:C57"/>
    <mergeCell ref="A58:C58"/>
    <mergeCell ref="A49:C49"/>
    <mergeCell ref="A50:C50"/>
    <mergeCell ref="A51:C51"/>
    <mergeCell ref="A52:C52"/>
    <mergeCell ref="A53:C53"/>
    <mergeCell ref="BV61:BV62"/>
    <mergeCell ref="BW41:BW42"/>
    <mergeCell ref="BW43:BW44"/>
    <mergeCell ref="BW45:BW46"/>
    <mergeCell ref="BW47:BW48"/>
    <mergeCell ref="BW49:BW50"/>
    <mergeCell ref="BW51:BW52"/>
    <mergeCell ref="BW53:BW54"/>
    <mergeCell ref="BW55:BW56"/>
    <mergeCell ref="BW57:BW58"/>
    <mergeCell ref="BW59:BW60"/>
    <mergeCell ref="BW61:BW62"/>
    <mergeCell ref="BV51:BV52"/>
    <mergeCell ref="BV53:BV54"/>
    <mergeCell ref="BV55:BV56"/>
    <mergeCell ref="BV57:BV58"/>
    <mergeCell ref="BV59:BV60"/>
    <mergeCell ref="BV41:BV42"/>
    <mergeCell ref="BV43:BV44"/>
    <mergeCell ref="BV45:BV46"/>
    <mergeCell ref="BV47:BV48"/>
    <mergeCell ref="BV49:BV50"/>
    <mergeCell ref="BV71:BV72"/>
    <mergeCell ref="BV73:BV74"/>
    <mergeCell ref="BV75:BV76"/>
    <mergeCell ref="BV77:BV78"/>
    <mergeCell ref="BV63:BV64"/>
    <mergeCell ref="BW63:BW64"/>
    <mergeCell ref="BV65:BV66"/>
    <mergeCell ref="BW65:BW66"/>
    <mergeCell ref="BV67:BV68"/>
    <mergeCell ref="BW77:BW78"/>
    <mergeCell ref="BW67:BW68"/>
    <mergeCell ref="BW75:BW76"/>
    <mergeCell ref="BW73:BW74"/>
    <mergeCell ref="BW71:BW72"/>
    <mergeCell ref="BW69:BW70"/>
    <mergeCell ref="BX41:BX42"/>
    <mergeCell ref="BX43:BX44"/>
    <mergeCell ref="BX45:BX46"/>
    <mergeCell ref="BX47:BX48"/>
    <mergeCell ref="BX49:BX50"/>
    <mergeCell ref="BV89:BV90"/>
    <mergeCell ref="BV91:BV92"/>
    <mergeCell ref="BV93:BV94"/>
    <mergeCell ref="BV95:BV96"/>
    <mergeCell ref="BW95:BW96"/>
    <mergeCell ref="BW93:BW94"/>
    <mergeCell ref="BW91:BW92"/>
    <mergeCell ref="BW89:BW90"/>
    <mergeCell ref="BV79:BV80"/>
    <mergeCell ref="BV81:BV82"/>
    <mergeCell ref="BV83:BV84"/>
    <mergeCell ref="BV85:BV86"/>
    <mergeCell ref="BV87:BV88"/>
    <mergeCell ref="BW87:BW88"/>
    <mergeCell ref="BW85:BW86"/>
    <mergeCell ref="BW83:BW84"/>
    <mergeCell ref="BW81:BW82"/>
    <mergeCell ref="BW79:BW80"/>
    <mergeCell ref="BV69:BV70"/>
    <mergeCell ref="BY37:BY38"/>
    <mergeCell ref="BY39:BY40"/>
    <mergeCell ref="BY41:BY42"/>
    <mergeCell ref="BY43:BY44"/>
    <mergeCell ref="BY45:BY46"/>
    <mergeCell ref="BY47:BY48"/>
    <mergeCell ref="BY49:BY50"/>
    <mergeCell ref="BY51:BY52"/>
    <mergeCell ref="BY53:BY54"/>
    <mergeCell ref="BX77:BX78"/>
    <mergeCell ref="BY71:BY72"/>
    <mergeCell ref="BY73:BY74"/>
    <mergeCell ref="BY75:BY76"/>
    <mergeCell ref="BX51:BX52"/>
    <mergeCell ref="BX53:BX54"/>
    <mergeCell ref="BX61:BX62"/>
    <mergeCell ref="BX63:BX64"/>
    <mergeCell ref="BX65:BX66"/>
    <mergeCell ref="BX67:BX68"/>
    <mergeCell ref="BX69:BX70"/>
    <mergeCell ref="BX55:BX56"/>
    <mergeCell ref="BY55:BY56"/>
    <mergeCell ref="BX57:BX58"/>
    <mergeCell ref="BY57:BY58"/>
    <mergeCell ref="BX59:BX60"/>
    <mergeCell ref="BY59:BY60"/>
    <mergeCell ref="BY61:BY62"/>
    <mergeCell ref="BY63:BY64"/>
    <mergeCell ref="BY65:BY66"/>
    <mergeCell ref="BY67:BY68"/>
    <mergeCell ref="BY69:BY70"/>
    <mergeCell ref="BY77:BY78"/>
    <mergeCell ref="BY79:BY80"/>
    <mergeCell ref="BX97:BY97"/>
    <mergeCell ref="BX91:BX92"/>
    <mergeCell ref="BX93:BX94"/>
    <mergeCell ref="BX95:BX96"/>
    <mergeCell ref="BY81:BY82"/>
    <mergeCell ref="BY83:BY84"/>
    <mergeCell ref="BY85:BY86"/>
    <mergeCell ref="BY87:BY88"/>
    <mergeCell ref="BY89:BY90"/>
    <mergeCell ref="BY91:BY92"/>
    <mergeCell ref="BY93:BY94"/>
    <mergeCell ref="BY95:BY96"/>
    <mergeCell ref="BX81:BX82"/>
    <mergeCell ref="BX83:BX84"/>
    <mergeCell ref="BX85:BX86"/>
    <mergeCell ref="BX87:BX88"/>
    <mergeCell ref="BX89:BX90"/>
    <mergeCell ref="BX79:BX80"/>
    <mergeCell ref="BX71:BX72"/>
    <mergeCell ref="BX73:BX74"/>
    <mergeCell ref="BX75:BX76"/>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6" tint="-0.249977111117893"/>
  </sheetPr>
  <dimension ref="A1:IW102"/>
  <sheetViews>
    <sheetView zoomScale="90" zoomScaleNormal="90" workbookViewId="0">
      <selection activeCell="M22" sqref="M22"/>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6.2851562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4" style="10" customWidth="1"/>
    <col min="21" max="21" width="6.5703125" style="10" hidden="1" customWidth="1"/>
    <col min="22" max="22" width="12" style="10" hidden="1" customWidth="1"/>
    <col min="23" max="23" width="17.5703125" style="10" hidden="1" customWidth="1"/>
    <col min="24" max="24" width="13.7109375" style="10" customWidth="1"/>
    <col min="25" max="26" width="18"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90" width="16" style="10" hidden="1" customWidth="1"/>
    <col min="91" max="93" width="15.7109375" style="10" hidden="1" customWidth="1"/>
    <col min="94" max="94" width="22.5703125" style="10" hidden="1" customWidth="1"/>
    <col min="95" max="256" width="10.28515625" style="10" hidden="1" customWidth="1"/>
    <col min="257" max="257" width="12.7109375" style="10" hidden="1" customWidth="1"/>
    <col min="258" max="16384" width="12.7109375" style="10"/>
  </cols>
  <sheetData>
    <row r="1" spans="1:256" s="760" customFormat="1" ht="26.25" customHeight="1" thickBot="1">
      <c r="A1" s="1805" t="s">
        <v>856</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25">
        <f>Grünland!C5</f>
        <v>0</v>
      </c>
      <c r="D2" s="2626"/>
      <c r="E2" s="2627"/>
      <c r="F2" s="818"/>
      <c r="G2" s="1800" t="s">
        <v>1002</v>
      </c>
      <c r="H2" s="2635">
        <f>Grünland!D5</f>
        <v>0</v>
      </c>
      <c r="I2" s="2636"/>
      <c r="J2" s="818"/>
      <c r="K2" s="1801" t="s">
        <v>863</v>
      </c>
      <c r="L2" s="1800" t="s">
        <v>679</v>
      </c>
      <c r="M2" s="1040">
        <f>Grünland!H5</f>
        <v>0</v>
      </c>
      <c r="N2" s="2616" t="s">
        <v>1049</v>
      </c>
      <c r="O2" s="2617"/>
      <c r="P2" s="2629">
        <f>Grünland!J5</f>
        <v>0</v>
      </c>
      <c r="Q2" s="2630"/>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Grünland!G5</f>
        <v>0</v>
      </c>
      <c r="F3" s="818"/>
      <c r="G3" s="1044" t="s">
        <v>1048</v>
      </c>
      <c r="H3" s="2633">
        <f>Grünland!E5</f>
        <v>0</v>
      </c>
      <c r="I3" s="2634"/>
      <c r="J3" s="818"/>
      <c r="K3" s="818"/>
      <c r="L3" s="1050" t="s">
        <v>1050</v>
      </c>
      <c r="M3" s="2618">
        <f>Grünland!F5</f>
        <v>0</v>
      </c>
      <c r="N3" s="2619"/>
      <c r="O3" s="2619"/>
      <c r="P3" s="2619"/>
      <c r="Q3" s="2620"/>
      <c r="R3" s="1859" t="str">
        <f>Grünland!AH5</f>
        <v>normal</v>
      </c>
      <c r="S3" s="1859" t="str">
        <f>Grünland!AI5</f>
        <v>2,5 - 5,0 km</v>
      </c>
      <c r="T3" s="1859"/>
      <c r="U3" s="819"/>
      <c r="V3" s="819"/>
      <c r="W3" s="819"/>
      <c r="X3" s="819"/>
      <c r="Y3" s="819"/>
      <c r="Z3" s="819"/>
      <c r="AA3" s="835"/>
      <c r="AB3" s="1852"/>
      <c r="AC3" s="1852"/>
      <c r="AE3" s="1860">
        <f>Grünland!AP5</f>
        <v>0</v>
      </c>
      <c r="AF3" s="1861">
        <f>Grünland!AQ5</f>
        <v>0</v>
      </c>
      <c r="AG3" s="1862">
        <f>(Grünland!AR5+Grünland!AS5)</f>
        <v>0</v>
      </c>
      <c r="AH3" s="1863">
        <f>Grünland!AT5</f>
        <v>0</v>
      </c>
      <c r="AI3" s="1860">
        <f>Grünland!AU5</f>
        <v>0</v>
      </c>
      <c r="AJ3" s="1860">
        <f>Grünland!AV5</f>
        <v>0</v>
      </c>
      <c r="AK3" s="1860">
        <f>Grünland!AW5</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c r="DA5" s="1866"/>
    </row>
    <row r="6" spans="1:256" s="760" customFormat="1" ht="19.5" customHeight="1">
      <c r="A6" s="818"/>
      <c r="B6" s="818"/>
      <c r="C6" s="2623"/>
      <c r="D6" s="2624"/>
      <c r="E6" s="996">
        <f>Grünland!R5</f>
        <v>0</v>
      </c>
      <c r="F6" s="997">
        <f>Grünland!S5</f>
        <v>0</v>
      </c>
      <c r="G6" s="996">
        <f>Grünland!T5</f>
        <v>0</v>
      </c>
      <c r="H6" s="997">
        <f>Grünland!U5</f>
        <v>0</v>
      </c>
      <c r="I6" s="996">
        <f>Grünland!V5</f>
        <v>0</v>
      </c>
      <c r="J6" s="997">
        <f>Grünland!W5</f>
        <v>0</v>
      </c>
      <c r="K6" s="996">
        <f>Grünland!X5</f>
        <v>0</v>
      </c>
      <c r="L6" s="997">
        <f>Grünland!Y5</f>
        <v>0</v>
      </c>
      <c r="M6" s="996">
        <f>Grünland!Z5</f>
        <v>0</v>
      </c>
      <c r="N6" s="997">
        <f>Grünland!AA5</f>
        <v>0</v>
      </c>
      <c r="O6" s="996">
        <f>Grünland!AB5</f>
        <v>0</v>
      </c>
      <c r="P6" s="997">
        <f>Grünland!AC5</f>
        <v>0</v>
      </c>
      <c r="Q6" s="818"/>
      <c r="R6" s="827">
        <f>Grünland!L5</f>
        <v>0</v>
      </c>
      <c r="S6" s="1111">
        <f>Grünland!M5</f>
        <v>0</v>
      </c>
      <c r="T6" s="819"/>
      <c r="U6" s="2637">
        <f>Grünland!AL5</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2255">
        <f>IF(OR(C13="Düngung erhöhen",C13="Düngung reduzieren",C13="unverändert"),Grünland!$H$5,S_1!AB13)</f>
        <v>0</v>
      </c>
      <c r="R13" s="2256">
        <f>IFERROR(IF(ISNUMBER(B13),AE$32/B13,0),0)</f>
        <v>0</v>
      </c>
      <c r="S13" s="2257"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Grünland!AH$5</f>
        <v>normal</v>
      </c>
      <c r="CO13" s="1882" t="str">
        <f>Grünland!AI$5</f>
        <v>2,5 - 5,0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2255">
        <f>IF(OR(C14="Düngung erhöhen",C14="Düngung reduzieren",C14="unverändert"),Grünland!$H$5,S_1!AB14)</f>
        <v>0</v>
      </c>
      <c r="R14" s="2256">
        <f>IFERROR(IF(ISNUMBER(B14),AF$32/B14,0),0)</f>
        <v>0</v>
      </c>
      <c r="S14" s="2257"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IF($CD14="",IF($D14=1,"1",0),0)</f>
        <v>0</v>
      </c>
      <c r="CF14" s="1907">
        <f>IF($CD14="",IF($D14=2,"2",0),0)</f>
        <v>0</v>
      </c>
      <c r="CG14" s="1907">
        <f>IF($CD14="",IF($D14=3,"3",0),0)</f>
        <v>0</v>
      </c>
      <c r="CH14" s="1907">
        <f>IF($CD14="",IF($D14=4,"4",0),0)</f>
        <v>0</v>
      </c>
      <c r="CI14" s="1907">
        <f>IF($CD14="",IF($D14=5,"5",0),0)</f>
        <v>0</v>
      </c>
      <c r="CJ14" s="1907">
        <f>IF($CD14="",IF($D14=6,"6",0),0)</f>
        <v>0</v>
      </c>
      <c r="CK14" s="1907">
        <f>IF(AND(C14="als Dauerweide führen",D14=0),"7",0)</f>
        <v>0</v>
      </c>
      <c r="CL14" s="1907">
        <f t="shared" ref="CL14:CL15" si="2">CE14+CF14+CG14+CH14+CI14+CJ14+CK14</f>
        <v>0</v>
      </c>
      <c r="CM14" s="1908" t="str">
        <f>IF(CL14&gt;0,VLOOKUP(CL14,$CD$20:$CE$26,2,0),CD14)</f>
        <v/>
      </c>
      <c r="CN14" s="1852" t="str">
        <f>Grünland!AH$5</f>
        <v>normal</v>
      </c>
      <c r="CO14" s="1882" t="str">
        <f>Grünland!AI$5</f>
        <v>2,5 - 5,0 km</v>
      </c>
      <c r="CP14" s="1909">
        <f>DE14*B14</f>
        <v>0</v>
      </c>
      <c r="CQ14" s="1910">
        <f>DM14*B14</f>
        <v>0</v>
      </c>
      <c r="CR14" s="1911" t="e">
        <f>CP14/Betrieb!$E$23</f>
        <v>#DIV/0!</v>
      </c>
      <c r="CS14" s="1911" t="e">
        <f>CQ14/Betrieb!$E$24</f>
        <v>#DIV/0!</v>
      </c>
      <c r="CT14" s="1912">
        <f>(Betrieb!$E$21*Betrieb!$H$21)+(Betrieb!$E$23*Betrieb!$H$23)</f>
        <v>0</v>
      </c>
      <c r="CU14" s="1913">
        <f>(Betrieb!$E$22*Betrieb!$H$22)+(Betrieb!$E$24*Betrieb!$H$24)</f>
        <v>0</v>
      </c>
      <c r="CV14" s="1912">
        <f t="shared" ref="CV14:CV15" si="3">HV14</f>
        <v>0</v>
      </c>
      <c r="CW14" s="1913">
        <f t="shared" ref="CW14:CW15" si="4">IJ14</f>
        <v>0</v>
      </c>
      <c r="CX14" s="1914">
        <f t="shared" ref="CX14:CX15" si="5">DV14</f>
        <v>0</v>
      </c>
      <c r="CY14" s="1915">
        <f t="shared" ref="CY14:CY15" si="6">IFERROR((CR14/CV14)*CT14,0)</f>
        <v>0</v>
      </c>
      <c r="CZ14" s="1915">
        <f t="shared" ref="CZ14:CZ15" si="7">IFERROR((CS14/CW14)*CU14,0)</f>
        <v>0</v>
      </c>
      <c r="DA14" s="1916">
        <f>IF(DU14="Weide/Hutweide",$DA$34*B14,((($DA$22+$DA$23+$DA$24)*B14)*DU14)+(((CX14*B14)*$DA$26)*DU14))</f>
        <v>0</v>
      </c>
      <c r="DB14" s="1926" t="e">
        <f>IF(OR(C14="unverändert",C14=""),U6/H2*B14,CY14+CZ14+DA14)</f>
        <v>#DIV/0!</v>
      </c>
      <c r="DC14" s="2609">
        <f>W14-U6</f>
        <v>0</v>
      </c>
      <c r="DD14" s="2612">
        <f>U6-W14</f>
        <v>0</v>
      </c>
      <c r="DE14" s="1920">
        <f t="shared" ref="DE14" si="8">SUM(DF14:DK14)</f>
        <v>0</v>
      </c>
      <c r="DF14" s="1921">
        <f>(IFERROR(IF(SEARCH("gülle",E14),F14),0))+(IFERROR(IF(SEARCH("jauche",E14),F14),0))</f>
        <v>0</v>
      </c>
      <c r="DG14" s="1921">
        <f>(IFERROR(IF(SEARCH("gülle",G14),H14),0))+(IFERROR(IF(SEARCH("jauche",G14),H14),0))</f>
        <v>0</v>
      </c>
      <c r="DH14" s="1921">
        <f>(IFERROR(IF(SEARCH("gülle",I14),J14),0))+(IFERROR(IF(SEARCH("jauche",I14),J14),0))</f>
        <v>0</v>
      </c>
      <c r="DI14" s="1921">
        <f>(IFERROR(IF(SEARCH("gülle",K14),L14),0))+(IFERROR(IF(SEARCH("jauche",K14),L14),0))</f>
        <v>0</v>
      </c>
      <c r="DJ14" s="1921">
        <f>(IFERROR(IF(SEARCH("gülle",M14),N14),0))+(IFERROR(IF(SEARCH("jauche",M14),N14),0))</f>
        <v>0</v>
      </c>
      <c r="DK14" s="1921">
        <f>(IFERROR(IF(SEARCH("gülle",O14),P14),0))+(IFERROR(IF(SEARCH("jauche",O14),P14),0))</f>
        <v>0</v>
      </c>
      <c r="DM14" s="1920">
        <f t="shared" ref="DM14:DM15" si="9">SUM(DN14:DS14)</f>
        <v>0</v>
      </c>
      <c r="DN14" s="1917">
        <f>IFERROR(IF(SEARCH("mist",E14),F14),0)</f>
        <v>0</v>
      </c>
      <c r="DO14" s="1917">
        <f>IFERROR(IF(SEARCH("mist",G14),H14),0)</f>
        <v>0</v>
      </c>
      <c r="DP14" s="1917">
        <f>IFERROR(IF(SEARCH("mist",I14),J14),0)</f>
        <v>0</v>
      </c>
      <c r="DQ14" s="1917">
        <f>IFERROR(IF(SEARCH("mist",K14),L14),0)</f>
        <v>0</v>
      </c>
      <c r="DR14" s="1917">
        <f>IFERROR(IF(SEARCH("mist",M14),N14),0)</f>
        <v>0</v>
      </c>
      <c r="DS14" s="1917">
        <f>IFERROR(IF(SEARCH("mist",O14),P14),0)</f>
        <v>0</v>
      </c>
      <c r="DU14" s="1922">
        <f t="shared" ref="DU14:DU15" si="10">IF(OR(CM14="Mähweide",CM14="Dauerweide",CM14="Hutweide",CM14="Hutweide mit Düngung"),"Weide/Hutweide",(EI14+EV14+GG14+GT14+HG14+HT14))</f>
        <v>0</v>
      </c>
      <c r="DV14" s="1923">
        <f t="shared" ref="DV14:DV15" si="11">SUM(DW14:EH14)+SUM(EJ14:EU14)+SUM(EW14:GF14)+SUM(GH14:GS14)+SUM(GU14:HF14)+SUM(HH14:HS14)</f>
        <v>0</v>
      </c>
      <c r="DW14" s="1923">
        <f>IF(AND(CM14="Grünland  1 Nutzung",CN14= "günstig", CO14="bis 2,5 km"),$CO$24,0)</f>
        <v>0</v>
      </c>
      <c r="DX14" s="1923">
        <f>IF(AND(CM14="Grünland  1 Nutzung",CN14= "günstig", CO14="2,5 - 5,0 km"),$CO$25,0)</f>
        <v>0</v>
      </c>
      <c r="DY14" s="1923">
        <f>IF(AND(CM14="Grünland  1 Nutzung",CN14= "günstig", CO14="5,0 - 10 km"),$CO$26,0)</f>
        <v>0</v>
      </c>
      <c r="DZ14" s="1923">
        <f>IF(AND(CM14="Grünland  1 Nutzung",CN14= "günstig", CO14="über 10 km"),$CO$27,0)</f>
        <v>0</v>
      </c>
      <c r="EA14" s="1923">
        <f>IF(AND(CM14="Grünland  1 Nutzung",CN14= "normal", CO14="bis 2,5 km"),$CP$24,0)</f>
        <v>0</v>
      </c>
      <c r="EB14" s="1923">
        <f>IF(AND(CM14="Grünland  1 Nutzung",CN14= "normal", CO14="2,5 - 5,0 km"),$CP$25,0)</f>
        <v>0</v>
      </c>
      <c r="EC14" s="1923">
        <f>IF(AND(CM14="Grünland  1 Nutzung",CN14= "normal", CO14="5,0 - 10 km"),$CP$26,0)</f>
        <v>0</v>
      </c>
      <c r="ED14" s="1923">
        <f>IF(AND(CM14="Grünland  1 Nutzung",CN14= "normal", CO14="über 10 km"),$CP$27,0)</f>
        <v>0</v>
      </c>
      <c r="EE14" s="1923">
        <f>IF(AND(CM14="Grünland  1 Nutzung",CN14= "ungünstig", CO14="bis 2,5 km"),$CQ$24,0)</f>
        <v>0</v>
      </c>
      <c r="EF14" s="1923">
        <f>IF(AND(CM14="Grünland  1 Nutzung",CN14= "ungünstig", CO14="2,5 - 5,0 km"),$CQ$25,0)</f>
        <v>0</v>
      </c>
      <c r="EG14" s="1923">
        <f>IF(AND(CM14="Grünland  1 Nutzung",CN14= "ungünstig", CO14="5,0 - 10 km"),$CQ$26,0)</f>
        <v>0</v>
      </c>
      <c r="EH14" s="1923">
        <f>IF(AND(CM14="Grünland  1 Nutzung",CN14= "ungünstig", CO14="über 10 km"),$CQ$27,0)</f>
        <v>0</v>
      </c>
      <c r="EI14" s="1924">
        <f t="shared" ref="EI14:EI15" si="12">IF(SUM(DW14:EH14)&gt;0,1,0)</f>
        <v>0</v>
      </c>
      <c r="EJ14" s="1923">
        <f>IF(AND(CM14="Grünland  2 Nutzungen",CN14= "günstig", CO14="bis 2,5 km"),$CR$24,0)</f>
        <v>0</v>
      </c>
      <c r="EK14" s="1923">
        <f>IF(AND(CM14="Grünland  2 Nutzungen",CN14= "günstig", CO14="2,5 - 5,0 km"),$CR$25,0)</f>
        <v>0</v>
      </c>
      <c r="EL14" s="1923">
        <f>IF(AND(CM14="Grünland  2 Nutzungen",CN14= "günstig", CO14="5,0 - 10 km"),$CR$26,0)</f>
        <v>0</v>
      </c>
      <c r="EM14" s="1923">
        <f>IF(AND(CM14="Grünland  2 Nutzungen",CN14= "günstig", CO14="über 10 km"),$CR$27,0)</f>
        <v>0</v>
      </c>
      <c r="EN14" s="1923">
        <f>IF(AND(CM14="Grünland  2 Nutzungen",CN14= "normal", CO14="bis 2,5 km"),$CS$24,0)</f>
        <v>0</v>
      </c>
      <c r="EO14" s="1923">
        <f>IF(AND(CM14="Grünland  2 Nutzungen",CN14= "normal", CO14="2,5 - 5,0 km"),$CS$25,0)</f>
        <v>0</v>
      </c>
      <c r="EP14" s="1923">
        <f>IF(AND(CM14="Grünland  2 Nutzungen",CN14= "normal", CO14="5,0 - 10 km"),$CS$26,0)</f>
        <v>0</v>
      </c>
      <c r="EQ14" s="1923">
        <f>IF(AND(CM14="Grünland  2 Nutzungen",CN14= "normal", CO14="über 10 km"),$CS$27,0)</f>
        <v>0</v>
      </c>
      <c r="ER14" s="1923">
        <f>IF(AND(CM14="Grünland  2 Nutzungen",CN14= "ungünstig", CO14="bis 2,5 km"),$CT$24,0)</f>
        <v>0</v>
      </c>
      <c r="ES14" s="1923">
        <f>IF(AND(CM14="Grünland  2 Nutzungen",CN14= "ungünstig", CO14="2,5 - 5,0 km"),$CT$25,0)</f>
        <v>0</v>
      </c>
      <c r="ET14" s="1923">
        <f>IF(AND(CM14="Grünland  2 Nutzungen",CN14= "ungünstig", CO14="5,0 - 10 km"),$CT$26,0)</f>
        <v>0</v>
      </c>
      <c r="EU14" s="1923">
        <f>IF(AND(CM14="Grünland  2 Nutzungen",CN14= "ungünstig", CO14="über 10 km"),$CT$27,0)</f>
        <v>0</v>
      </c>
      <c r="EV14" s="1925">
        <f t="shared" ref="EV14:EV15" si="13">IF(SUM(EJ14:EU14)&gt;0,2,0)</f>
        <v>0</v>
      </c>
      <c r="EW14" s="1923">
        <f>IF(AND(CM14="GL kleebetont 3 Nutz.",CN14= "günstig", CO14="bis 2,5 km"),$CR$24,0)</f>
        <v>0</v>
      </c>
      <c r="EX14" s="1923">
        <f>IF(AND(CM14="GL kleebetont 3 Nutz.",CN14= "günstig", CM14="2,5 - 5,0 km"),$CR$25,0)</f>
        <v>0</v>
      </c>
      <c r="EY14" s="1923">
        <f>IF(AND(CM14="GL kleebetont 3 Nutz.",CN14= "günstig", CM14="5,0 - 10 km"),$CR$26,0)</f>
        <v>0</v>
      </c>
      <c r="EZ14" s="1923">
        <f>IF(AND(CM14="GL kleebetont 3 Nutz.",CN14= "günstig", CO14="über 10 km"),$CR$27,0)</f>
        <v>0</v>
      </c>
      <c r="FA14" s="1923">
        <f>IF(AND(CM14="GL kleebetont 3 Nutz.",CN14= "normal", CO14="bis 2,5 km"),$CS$24,0)</f>
        <v>0</v>
      </c>
      <c r="FB14" s="1923">
        <f>IF(AND(CM14="GL kleebetont 3 Nutz.",CN14= "normal", CO14="2,5 - 5,0 km"),$CS$25,0)</f>
        <v>0</v>
      </c>
      <c r="FC14" s="1923">
        <f>IF(AND(CM14="GL kleebetont 3 Nutz.",CN14= "normal", CO14="5,0 - 10 km"),$CS$26,0)</f>
        <v>0</v>
      </c>
      <c r="FD14" s="1923">
        <f>IF(AND(CM14="GL kleebetont 3 Nutz.",CN14= "normal", CO14="über 10 km"),$CS$27,0)</f>
        <v>0</v>
      </c>
      <c r="FE14" s="1923">
        <f>IF(AND(CM14="GL kleebetont 3 Nutz.",CN14= "ungünstig", CO14="bis 2,5 km"),$CT$24,0)</f>
        <v>0</v>
      </c>
      <c r="FF14" s="1923">
        <f>IF(AND(CM14="GL kleebetont 3 Nutz.",CN14= "ungünstig", CO14="2,5 - 5,0 km"),$CT$25,0)</f>
        <v>0</v>
      </c>
      <c r="FG14" s="1923">
        <f>IF(AND(CM14="GL kleebetont 3 Nutz.",CN14= "ungünstig", CO14="5,0 - 10 km"),$CT$26,0)</f>
        <v>0</v>
      </c>
      <c r="FH14" s="1923">
        <f>IF(AND(CM14="GL kleebetont 3 Nutz.",CN14= "ungünstig", CO14="über 10 km"),$CT$27,0)</f>
        <v>0</v>
      </c>
      <c r="FI14" s="1923">
        <f>IF(AND(CM14="GL gräserbetont 3 Nutz.",CN14= "günstig", CO14="bis 2,5 km"),$CR$24,0)</f>
        <v>0</v>
      </c>
      <c r="FJ14" s="1923">
        <f>IF(AND(CM14="GL gräserbetont 3 Nutz.",CN14= "günstig", CO14="2,5 - 5,0 km"),$CR$25,0)</f>
        <v>0</v>
      </c>
      <c r="FK14" s="1923">
        <f>IF(AND(CM14="GL gräserbetont 3 Nutz.",CN14= "günstig", CO14="5,0 - 10 km"),$CR$26,0)</f>
        <v>0</v>
      </c>
      <c r="FL14" s="1923">
        <f>IF(AND(CM14="GL gräserbetont 3 Nutz.",CN14= "günstig", CO14="über 10 km"),$CR$27,0)</f>
        <v>0</v>
      </c>
      <c r="FM14" s="1923">
        <f>IF(AND(CM14="GL gräserbetont 3 Nutz.",CN14= "normal", CO14="bis 2,5 km"),$CS$24,0)</f>
        <v>0</v>
      </c>
      <c r="FN14" s="1923">
        <f>IF(AND(CM14="GL gräserbetont 3 Nutz.",CN14= "normal", CO14="2,5 - 5,0 km"),$CS$25,0)</f>
        <v>0</v>
      </c>
      <c r="FO14" s="1923">
        <f>IF(AND(CM14="GL gräserbetont 3 Nutz.",CN14= "normal", CO14="5,0 - 10 km"),$CS$26,0)</f>
        <v>0</v>
      </c>
      <c r="FP14" s="1923">
        <f>IF(AND(CM14="GL gräserbetont 3 Nutz.",CN14= "normal", CO14="über 10 km"),$CS$27,0)</f>
        <v>0</v>
      </c>
      <c r="FQ14" s="1923">
        <f>IF(AND(CM14="GL gräserbetont 3 Nutz.",CN14= "ungünstig", CO14="bis 2,5 km"),$CT$24,0)</f>
        <v>0</v>
      </c>
      <c r="FR14" s="1923">
        <f>IF(AND(CM14="GL gräserbetont 3 Nutz.",CN14= "ungünstig", CO14="2,5 - 5,0 km"),$CT$25,0)</f>
        <v>0</v>
      </c>
      <c r="FS14" s="1923">
        <f>IF(AND(CM14="GL gräserbetont 3 Nutz.",CN14= "ungünstig", CO14="5,0 - 10 km"),$CT$26,0)</f>
        <v>0</v>
      </c>
      <c r="FT14" s="1923">
        <f>IF(AND(CM14="GL gräserbetont 3 Nutz.",CN14= "ungünstig", CO14="über 10 km"),$CT$27,0)</f>
        <v>0</v>
      </c>
      <c r="FU14" s="1923">
        <f>IF(AND(CM14="GL 3 Nutzungen",CN14= "günstig", CO14="bis 2,5 km"),$CR$24,0)</f>
        <v>0</v>
      </c>
      <c r="FV14" s="1923">
        <f>IF(AND(CM14="GL 3 Nutzungen",CN14= "günstig", CO14="2,5 - 5,0 km"),$CR$25,0)</f>
        <v>0</v>
      </c>
      <c r="FW14" s="1923">
        <f>IF(AND(CM14="GL 3 Nutzungen",CN14= "günstig", CO14="5,0 - 10 km"),$CR$26,0)</f>
        <v>0</v>
      </c>
      <c r="FX14" s="1923">
        <f>IF(AND(CM14="GL 3 Nutzungen",CN14= "günstig", CO14="über 10 km"),$CR$27,0)</f>
        <v>0</v>
      </c>
      <c r="FY14" s="1923">
        <f>IF(AND(CM14="GL 3 Nutzungen",CN14= "normal", CO14="bis 2,5 km"),$CS$24,0)</f>
        <v>0</v>
      </c>
      <c r="FZ14" s="1923">
        <f>IF(AND(CM14="GL 3 Nutzungen",CN14= "normal", CO14="2,5 - 5,0 km"),$CS$25,0)</f>
        <v>0</v>
      </c>
      <c r="GA14" s="1923">
        <f>IF(AND(CM14="GL 3 Nutzungen",CN14= "normal", CO14="5,0 - 10 km"),$CS$26,0)</f>
        <v>0</v>
      </c>
      <c r="GB14" s="1923">
        <f>IF(AND(CM14="GL 3 Nutzungen",CN14= "normal", CO14="über 10 km"),$CS$27,0)</f>
        <v>0</v>
      </c>
      <c r="GC14" s="1923">
        <f>IF(AND(CM14="GL 3 Nutzungen",CN14= "ungünstig", CO14="bis 2,5 km"),$CT$24,0)</f>
        <v>0</v>
      </c>
      <c r="GD14" s="1923">
        <f>IF(AND(CM14="GL 3 Nutzungen",CN14= "ungünstig", CO14="2,5 - 5,0 km"),$CT$25,0)</f>
        <v>0</v>
      </c>
      <c r="GE14" s="1923">
        <f>IF(AND(CM14="GL 3 Nutzungen",CN14= "ungünstig", CO14="5,0 - 10 km"),$CT$26,0)</f>
        <v>0</v>
      </c>
      <c r="GF14" s="1923">
        <f>IF(AND(CM14="GL 3 Nutzungen",CN14= "ungünstig", CO14="über 10 km"),$CT$27,0)</f>
        <v>0</v>
      </c>
      <c r="GG14" s="1925">
        <f t="shared" ref="GG14:GG15" si="14">IF(SUM(EW14:GF14)&gt;0,3,0)</f>
        <v>0</v>
      </c>
      <c r="GH14" s="1923">
        <f>IF(AND(CM14="GL 4 Nutzungen",CN14= "günstig", CO14="bis 2,5 km"),$CR$24,0)</f>
        <v>0</v>
      </c>
      <c r="GI14" s="1923">
        <f>IF(AND(CM14="GL 4 Nutzungen",CN14= "günstig", CO14="2,5 - 5,0 km"),$CR$25,0)</f>
        <v>0</v>
      </c>
      <c r="GJ14" s="1923">
        <f>IF(AND(CM14="GL 4 Nutzungen",CN14= "günstig", CO14="5,0 - 10 km"),$CR$26,0)</f>
        <v>0</v>
      </c>
      <c r="GK14" s="1923">
        <f>IF(AND(CM14="GL 4 Nutzungen",CN14= "günstig", CO14="über 10 km"),$CR$27,0)</f>
        <v>0</v>
      </c>
      <c r="GL14" s="1923">
        <f>IF(AND(CM14="GL 4 Nutzungen",CN14= "normal", CO14="bis 2,5 km"),$CS$24,0)</f>
        <v>0</v>
      </c>
      <c r="GM14" s="1923">
        <f>IF(AND(CM14="GL 4 Nutzungen",CN14= "normal", CO14="2,5 - 5,0 km"),$CS$25,0)</f>
        <v>0</v>
      </c>
      <c r="GN14" s="1923">
        <f>IF(AND(CM14="GL 4 Nutzungen",CN14= "normal", CO14="5,0 - 10 km"),$CS$26,0)</f>
        <v>0</v>
      </c>
      <c r="GO14" s="1923">
        <f>IF(AND(CM14="GL 4 Nutzungen",CN14= "normal", CO14="über 10 km"),$CS$27,0)</f>
        <v>0</v>
      </c>
      <c r="GP14" s="1923">
        <f>IF(AND(CM14="GL 4 Nutzungen",CN14= "ungünstig", CO14="bis 2,5 km"),$CT$24,0)</f>
        <v>0</v>
      </c>
      <c r="GQ14" s="1923">
        <f>IF(AND(CM14="GL 4 Nutzungen",CN14= "ungünstig", CO14="2,5 - 5,0 km"),$CT$25,0)</f>
        <v>0</v>
      </c>
      <c r="GR14" s="1923">
        <f>IF(AND(CM14="GL 4 Nutzungen",CN14= "ungünstig", CO14="5,0 - 10 km"),$CT$26,0)</f>
        <v>0</v>
      </c>
      <c r="GS14" s="1923">
        <f>IF(AND(CM14="GL 4 Nutzungen",CN14= "ungünstig", CO14="über 10 km"),$CT$27,0)</f>
        <v>0</v>
      </c>
      <c r="GT14" s="1925">
        <f t="shared" ref="GT14:GT15" si="15">IF(SUM(GH14:GS14)&gt;0,4,0)</f>
        <v>0</v>
      </c>
      <c r="GU14" s="1923">
        <f>IF(AND(CM14="GL 5 Nutzungen",CN14= "günstig", CO14="bis 2,5 km"),$CU$24,0)</f>
        <v>0</v>
      </c>
      <c r="GV14" s="1923">
        <f>IF(AND(CM14="GL 5 Nutzungen",CN14= "günstig", CO14="2,5 - 5,0 km"),$CU$25,0)</f>
        <v>0</v>
      </c>
      <c r="GW14" s="1923">
        <f>IF(AND(CM14="GL 5 Nutzungen",CN14= "günstig", CO14="5,0 - 10 km"),$CU$26,0)</f>
        <v>0</v>
      </c>
      <c r="GX14" s="1923">
        <f>IF(AND(CM14="GL 5 Nutzungen",CN14= "günstig", CO14="über 10 km"),$CU$27,0)</f>
        <v>0</v>
      </c>
      <c r="GY14" s="1923">
        <f>IF(AND(CM14="GL 5 Nutzungen",CN14= "normal", CO14="bis 2,5 km"),$CV$24,0)</f>
        <v>0</v>
      </c>
      <c r="GZ14" s="1923">
        <f>IF(AND(CM14="GL 5 Nutzungen",CN14= "normal", CO14="2,5 - 5,0 km"),$CV$25,0)</f>
        <v>0</v>
      </c>
      <c r="HA14" s="1923">
        <f>IF(AND(CM14="GL 5 Nutzungen",CN14= "normal", CO14="5,0 - 10 km"),$CV$26,0)</f>
        <v>0</v>
      </c>
      <c r="HB14" s="1923">
        <f>IF(AND(CM14="GL 5 Nutzungen",CN14= "normal", CO14="über 10 km"),$CV$27,0)</f>
        <v>0</v>
      </c>
      <c r="HC14" s="1923">
        <f>IF(AND(CM14="GL 5 Nutzungen",CN14= "ungünstig", CO14="bis 2,5 km"),$CW$24,0)</f>
        <v>0</v>
      </c>
      <c r="HD14" s="1923">
        <f>IF(AND(CM14="GL 5 Nutzungen",CN14= "ungünstig", CO14="2,5 - 5,0 km"),$CW$25,0)</f>
        <v>0</v>
      </c>
      <c r="HE14" s="1923">
        <f>IF(AND(CM14="GL 5 Nutzungen",CN14= "ungünstig", CO14="5,0 - 10 km"),$CW$26,0)</f>
        <v>0</v>
      </c>
      <c r="HF14" s="1923">
        <f>IF(AND(CM14="GL 5 Nutzungen",CN14= "ungünstig", CO14="über 10 km"),$CW$27,0)</f>
        <v>0</v>
      </c>
      <c r="HG14" s="1925">
        <f t="shared" ref="HG14:HG15" si="16">IF(SUM(GU14:HF14)&gt;0,5,0)</f>
        <v>0</v>
      </c>
      <c r="HH14" s="1923">
        <f>IF(AND(CM14="GL 6 Nutzungen",CN14= "günstig", CO14="bis 2,5 km"),$CU$24,0)</f>
        <v>0</v>
      </c>
      <c r="HI14" s="1923">
        <f>IF(AND(CM14="GL 6 Nutzungen",CN14= "günstig", CO14="2,5 - 5,0 km"),$CU$25,0)</f>
        <v>0</v>
      </c>
      <c r="HJ14" s="1923">
        <f>IF(AND(CM14="GL 6 Nutzungen",CN14= "günstig", CO14="5,0 - 10 km"),$CU$26,0)</f>
        <v>0</v>
      </c>
      <c r="HK14" s="1923">
        <f>IF(AND(CM14="GL 6 Nutzungen",CN14= "günstig", CO14="über 10 km"),$CU$27,0)</f>
        <v>0</v>
      </c>
      <c r="HL14" s="1923">
        <f>IF(AND(CM14="GL 6 Nutzungen",CN14= "normal", CO14="bis 2,5 km"),$CV$24,0)</f>
        <v>0</v>
      </c>
      <c r="HM14" s="1923">
        <f>IF(AND(CM14="GL 6 Nutzungen",CN14= "normal", CO14="2,5 - 5,0 km"),$CV$25,0)</f>
        <v>0</v>
      </c>
      <c r="HN14" s="1923">
        <f>IF(AND(CM14="GL 6 Nutzungen",CN14= "normal", CO14="5,0 - 10 km"),$CV$26,0)</f>
        <v>0</v>
      </c>
      <c r="HO14" s="1923">
        <f>IF(AND(CM14="GL 6 Nutzungen",CN14= "normal", CO14="über 10 km"),$CV$27,0)</f>
        <v>0</v>
      </c>
      <c r="HP14" s="1923">
        <f>IF(AND(CM14="GL 6 Nutzungen",CN14= "ungünstig", CO14="bis 2,5 km"),$CW$24,0)</f>
        <v>0</v>
      </c>
      <c r="HQ14" s="1923">
        <f>IF(AND(CM14="GL 6 Nutzungen",CN14= "ungünstig", CO14="2,5 - 5,0 km"),$CW$25,0)</f>
        <v>0</v>
      </c>
      <c r="HR14" s="1923">
        <f>IF(AND(CM14="GL 6 Nutzungen",CN14= "ungünstig", CO14="5,0 - 10 km"),$CW$26,0)</f>
        <v>0</v>
      </c>
      <c r="HS14" s="1923">
        <f>IF(AND(CM14="GL 6 Nutzungen",CN14= "ungünstig", CO14="über 10 km"),$CW$27,0)</f>
        <v>0</v>
      </c>
      <c r="HT14" s="1925">
        <f t="shared" ref="HT14:HT15" si="17">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8">SUM(IK14:IV14)</f>
        <v>0</v>
      </c>
      <c r="IK14" s="1917">
        <f t="shared" ref="IK14:IK15" si="19">IF(AND(DM14&gt;0,CN14="günstig",CO14="bis 2,5 km"),$CO$38,0)</f>
        <v>0</v>
      </c>
      <c r="IL14" s="1917">
        <f t="shared" ref="IL14:IL15" si="20">IF(AND(DM14&gt;0,CN14="günstig",CO14="2,5 - 5,0 km"),$CO$39,0)</f>
        <v>0</v>
      </c>
      <c r="IM14" s="1917">
        <f t="shared" ref="IM14:IM15" si="21">IF(AND(DM14&gt;0,CN14="günstig",CO14="5,0 - 10 km"),$CO$40,0)</f>
        <v>0</v>
      </c>
      <c r="IN14" s="1917">
        <f t="shared" ref="IN14:IN15" si="22">IF(AND(DM14&gt;0,CN14="günstig",CO14="über 10 km"),$CO$41,0)</f>
        <v>0</v>
      </c>
      <c r="IO14" s="1917">
        <f t="shared" ref="IO14:IO15" si="23">IF(AND(DM14&gt;0,CN14="normal",CO14="bis 2,5 km"),$CP$38,0)</f>
        <v>0</v>
      </c>
      <c r="IP14" s="1917">
        <f t="shared" ref="IP14:IP15" si="24">IF(AND(DM14&gt;0,CN14="normal",CO14="2,5 - 5,0 km"),$CP$39,0)</f>
        <v>0</v>
      </c>
      <c r="IQ14" s="1917">
        <f t="shared" ref="IQ14:IQ15" si="25">IF(AND(DM14&gt;0,CN14="normal",CO14="5,0 - 10 km"),$CP$40,0)</f>
        <v>0</v>
      </c>
      <c r="IR14" s="1917">
        <f t="shared" ref="IR14:IR15" si="26">IF(AND(DM14&gt;0,CN14="normal",CO14="über 10 km"),$CP$41,0)</f>
        <v>0</v>
      </c>
      <c r="IS14" s="1917">
        <f t="shared" ref="IS14:IS15" si="27">IF(AND(DM14&gt;0,CN14="ungünstig",CO14="bis 2,5 km"),$CQ$38,0)</f>
        <v>0</v>
      </c>
      <c r="IT14" s="1917">
        <f t="shared" ref="IT14:IT15" si="28">IF(AND(DM14&gt;0,CN14="ungünstig",CO14="2,5 - 5,0 km"),$CQ$39,0)</f>
        <v>0</v>
      </c>
      <c r="IU14" s="1917">
        <f t="shared" ref="IU14:IU15" si="29">IF(AND(DM14&gt;0,CN14="ungünstig",CO14="5,0 - 10 km"),$CQ$40,0)</f>
        <v>0</v>
      </c>
      <c r="IV14" s="1917">
        <f t="shared" ref="IV14:IV15" si="30">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2255">
        <f>IF(OR(C15="Düngung erhöhen",C15="Düngung reduzieren",C15="unverändert"),Grünland!$H$5,S_1!AB15)</f>
        <v>0</v>
      </c>
      <c r="R15" s="2256">
        <f>IFERROR(IF(ISNUMBER(B15),AG$32/B15,0),0)</f>
        <v>0</v>
      </c>
      <c r="S15" s="2257"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IF($CD15="",IF($D15=1,"1",0),0)</f>
        <v>0</v>
      </c>
      <c r="CF15" s="1907">
        <f>IF($CD15="",IF($D15=2,"2",0),0)</f>
        <v>0</v>
      </c>
      <c r="CG15" s="1907">
        <f>IF($CD15="",IF($D15=3,"3",0),0)</f>
        <v>0</v>
      </c>
      <c r="CH15" s="1907">
        <f>IF($CD15="",IF($D15=4,"4",0),0)</f>
        <v>0</v>
      </c>
      <c r="CI15" s="1907">
        <f>IF($CD15="",IF($D15=5,"5",0),0)</f>
        <v>0</v>
      </c>
      <c r="CJ15" s="1907">
        <f>IF($CD15="",IF($D15=6,"6",0),0)</f>
        <v>0</v>
      </c>
      <c r="CK15" s="1907">
        <f>IF(AND(C15="als Dauerweide führen",D15=0),"7",0)</f>
        <v>0</v>
      </c>
      <c r="CL15" s="1907">
        <f t="shared" si="2"/>
        <v>0</v>
      </c>
      <c r="CM15" s="1908" t="str">
        <f>IF(CL15&gt;0,VLOOKUP(CL15,$CD$20:$CE$26,2,0),CD15)</f>
        <v/>
      </c>
      <c r="CN15" s="1852" t="str">
        <f>Grünland!AH$5</f>
        <v>normal</v>
      </c>
      <c r="CO15" s="1882" t="str">
        <f>Grünland!AI$5</f>
        <v>2,5 - 5,0 km</v>
      </c>
      <c r="CP15" s="1909">
        <f>DE15*B15</f>
        <v>0</v>
      </c>
      <c r="CQ15" s="1910">
        <f>DM15*B15</f>
        <v>0</v>
      </c>
      <c r="CR15" s="1911" t="e">
        <f>CP15/Betrieb!$E$23</f>
        <v>#DIV/0!</v>
      </c>
      <c r="CS15" s="1911" t="e">
        <f>CQ15/Betrieb!$E$24</f>
        <v>#DIV/0!</v>
      </c>
      <c r="CT15" s="1912">
        <f>(Betrieb!$E$21*Betrieb!$H$21)+(Betrieb!$E$23*Betrieb!$H$23)</f>
        <v>0</v>
      </c>
      <c r="CU15" s="1913">
        <f>(Betrieb!$E$22*Betrieb!$H$22)+(Betrieb!$E$24*Betrieb!$H$24)</f>
        <v>0</v>
      </c>
      <c r="CV15" s="1912">
        <f t="shared" si="3"/>
        <v>0</v>
      </c>
      <c r="CW15" s="1913">
        <f t="shared" si="4"/>
        <v>0</v>
      </c>
      <c r="CX15" s="1914">
        <f t="shared" si="5"/>
        <v>0</v>
      </c>
      <c r="CY15" s="1915">
        <f t="shared" si="6"/>
        <v>0</v>
      </c>
      <c r="CZ15" s="1915">
        <f t="shared" si="7"/>
        <v>0</v>
      </c>
      <c r="DA15" s="1916">
        <f>IF(DU15="Weide/Hutweide",$DA$34*B15,((($DA$22+$DA$23+$DA$24)*B15)*DU15)+(((CX15*B15)*$DA$26)*DU15))</f>
        <v>0</v>
      </c>
      <c r="DB15" s="1926" t="e">
        <f>IF(OR(C15="unverändert",C15=""),U6/H2*B15,CY15+CZ15+DA15)</f>
        <v>#DIV/0!</v>
      </c>
      <c r="DC15" s="2610"/>
      <c r="DD15" s="2612"/>
      <c r="DE15" s="1920">
        <f>SUM(DF15:DK15)</f>
        <v>0</v>
      </c>
      <c r="DF15" s="1921">
        <f>(IFERROR(IF(SEARCH("gülle",E15),F15),0))+(IFERROR(IF(SEARCH("jauche",E15),F15),0))</f>
        <v>0</v>
      </c>
      <c r="DG15" s="1921">
        <f>(IFERROR(IF(SEARCH("gülle",G15),H15),0))+(IFERROR(IF(SEARCH("jauche",G15),H15),0))</f>
        <v>0</v>
      </c>
      <c r="DH15" s="1921">
        <f>(IFERROR(IF(SEARCH("gülle",I15),J15),0))+(IFERROR(IF(SEARCH("jauche",I15),J15),0))</f>
        <v>0</v>
      </c>
      <c r="DI15" s="1921">
        <f>(IFERROR(IF(SEARCH("gülle",K15),L15),0))+(IFERROR(IF(SEARCH("jauche",K15),L15),0))</f>
        <v>0</v>
      </c>
      <c r="DJ15" s="1921">
        <f>(IFERROR(IF(SEARCH("gülle",M15),N15),0))+(IFERROR(IF(SEARCH("jauche",M15),N15),0))</f>
        <v>0</v>
      </c>
      <c r="DK15" s="1921">
        <f>(IFERROR(IF(SEARCH("gülle",O15),P15),0))+(IFERROR(IF(SEARCH("jauche",O15),P15),0))</f>
        <v>0</v>
      </c>
      <c r="DM15" s="1920">
        <f t="shared" si="9"/>
        <v>0</v>
      </c>
      <c r="DN15" s="1917">
        <f>IFERROR(IF(SEARCH("mist",E15),F15),0)</f>
        <v>0</v>
      </c>
      <c r="DO15" s="1917">
        <f>IFERROR(IF(SEARCH("mist",G15),H15),0)</f>
        <v>0</v>
      </c>
      <c r="DP15" s="1917">
        <f>IFERROR(IF(SEARCH("mist",I15),J15),0)</f>
        <v>0</v>
      </c>
      <c r="DQ15" s="1917">
        <f>IFERROR(IF(SEARCH("mist",K15),L15),0)</f>
        <v>0</v>
      </c>
      <c r="DR15" s="1917">
        <f>IFERROR(IF(SEARCH("mist",M15),N15),0)</f>
        <v>0</v>
      </c>
      <c r="DS15" s="1917">
        <f>IFERROR(IF(SEARCH("mist",O15),P15),0)</f>
        <v>0</v>
      </c>
      <c r="DU15" s="1922">
        <f t="shared" si="10"/>
        <v>0</v>
      </c>
      <c r="DV15" s="1923">
        <f t="shared" si="11"/>
        <v>0</v>
      </c>
      <c r="DW15" s="1923">
        <f>IF(AND(CM15="Grünland  1 Nutzung",CN15= "günstig", CO15="bis 2,5 km"),$CO$24,0)</f>
        <v>0</v>
      </c>
      <c r="DX15" s="1923">
        <f>IF(AND(CM15="Grünland  1 Nutzung",CN15= "günstig", CO15="2,5 - 5,0 km"),$CO$25,0)</f>
        <v>0</v>
      </c>
      <c r="DY15" s="1923">
        <f>IF(AND(CM15="Grünland  1 Nutzung",CN15= "günstig", CO15="5,0 - 10 km"),$CO$26,0)</f>
        <v>0</v>
      </c>
      <c r="DZ15" s="1923">
        <f>IF(AND(CM15="Grünland  1 Nutzung",CN15= "günstig", CO15="über 10 km"),$CO$27,0)</f>
        <v>0</v>
      </c>
      <c r="EA15" s="1923">
        <f>IF(AND(CM15="Grünland  1 Nutzung",CN15= "normal", CO15="bis 2,5 km"),$CP$24,0)</f>
        <v>0</v>
      </c>
      <c r="EB15" s="1923">
        <f>IF(AND(CM15="Grünland  1 Nutzung",CN15= "normal", CO15="2,5 - 5,0 km"),$CP$25,0)</f>
        <v>0</v>
      </c>
      <c r="EC15" s="1923">
        <f>IF(AND(CM15="Grünland  1 Nutzung",CN15= "normal", CO15="5,0 - 10 km"),$CP$26,0)</f>
        <v>0</v>
      </c>
      <c r="ED15" s="1923">
        <f>IF(AND(CM15="Grünland  1 Nutzung",CN15= "normal", CO15="über 10 km"),$CP$27,0)</f>
        <v>0</v>
      </c>
      <c r="EE15" s="1923">
        <f>IF(AND(CM15="Grünland  1 Nutzung",CN15= "ungünstig", CO15="bis 2,5 km"),$CQ$24,0)</f>
        <v>0</v>
      </c>
      <c r="EF15" s="1923">
        <f>IF(AND(CM15="Grünland  1 Nutzung",CN15= "ungünstig", CO15="2,5 - 5,0 km"),$CQ$25,0)</f>
        <v>0</v>
      </c>
      <c r="EG15" s="1923">
        <f>IF(AND(CM15="Grünland  1 Nutzung",CN15= "ungünstig", CO15="5,0 - 10 km"),$CQ$26,0)</f>
        <v>0</v>
      </c>
      <c r="EH15" s="1923">
        <f>IF(AND(CM15="Grünland  1 Nutzung",CN15= "ungünstig", CO15="über 10 km"),$CQ$27,0)</f>
        <v>0</v>
      </c>
      <c r="EI15" s="1924">
        <f t="shared" si="12"/>
        <v>0</v>
      </c>
      <c r="EJ15" s="1923">
        <f>IF(AND(CM15="Grünland  2 Nutzungen",CN15= "günstig", CO15="bis 2,5 km"),$CR$24,0)</f>
        <v>0</v>
      </c>
      <c r="EK15" s="1923">
        <f>IF(AND(CM15="Grünland  2 Nutzungen",CN15= "günstig", CO15="2,5 - 5,0 km"),$CR$25,0)</f>
        <v>0</v>
      </c>
      <c r="EL15" s="1923">
        <f>IF(AND(CM15="Grünland  2 Nutzungen",CN15= "günstig", CO15="5,0 - 10 km"),$CR$26,0)</f>
        <v>0</v>
      </c>
      <c r="EM15" s="1923">
        <f>IF(AND(CM15="Grünland  2 Nutzungen",CN15= "günstig", CO15="über 10 km"),$CR$27,0)</f>
        <v>0</v>
      </c>
      <c r="EN15" s="1923">
        <f>IF(AND(CM15="Grünland  2 Nutzungen",CN15= "normal", CO15="bis 2,5 km"),$CS$24,0)</f>
        <v>0</v>
      </c>
      <c r="EO15" s="1923">
        <f>IF(AND(CM15="Grünland  2 Nutzungen",CN15= "normal", CO15="2,5 - 5,0 km"),$CS$25,0)</f>
        <v>0</v>
      </c>
      <c r="EP15" s="1923">
        <f>IF(AND(CM15="Grünland  2 Nutzungen",CN15= "normal", CO15="5,0 - 10 km"),$CS$26,0)</f>
        <v>0</v>
      </c>
      <c r="EQ15" s="1923">
        <f>IF(AND(CM15="Grünland  2 Nutzungen",CN15= "normal", CO15="über 10 km"),$CS$27,0)</f>
        <v>0</v>
      </c>
      <c r="ER15" s="1923">
        <f>IF(AND(CM15="Grünland  2 Nutzungen",CN15= "ungünstig", CO15="bis 2,5 km"),$CT$24,0)</f>
        <v>0</v>
      </c>
      <c r="ES15" s="1923">
        <f>IF(AND(CM15="Grünland  2 Nutzungen",CN15= "ungünstig", CO15="2,5 - 5,0 km"),$CT$25,0)</f>
        <v>0</v>
      </c>
      <c r="ET15" s="1923">
        <f>IF(AND(CM15="Grünland  2 Nutzungen",CN15= "ungünstig", CO15="5,0 - 10 km"),$CT$26,0)</f>
        <v>0</v>
      </c>
      <c r="EU15" s="1923">
        <f>IF(AND(CM15="Grünland  2 Nutzungen",CN15= "ungünstig", CO15="über 10 km"),$CT$27,0)</f>
        <v>0</v>
      </c>
      <c r="EV15" s="1925">
        <f t="shared" si="13"/>
        <v>0</v>
      </c>
      <c r="EW15" s="1923">
        <f>IF(AND(CM15="GL kleebetont 3 Nutz.",CN15= "günstig", CO15="bis 2,5 km"),$CR$24,0)</f>
        <v>0</v>
      </c>
      <c r="EX15" s="1923">
        <f>IF(AND(CM15="GL kleebetont 3 Nutz.",CN15= "günstig", CM15="2,5 - 5,0 km"),$CR$25,0)</f>
        <v>0</v>
      </c>
      <c r="EY15" s="1923">
        <f>IF(AND(CM15="GL kleebetont 3 Nutz.",CN15= "günstig", CM15="5,0 - 10 km"),$CR$26,0)</f>
        <v>0</v>
      </c>
      <c r="EZ15" s="1923">
        <f>IF(AND(CM15="GL kleebetont 3 Nutz.",CN15= "günstig", CO15="über 10 km"),$CR$27,0)</f>
        <v>0</v>
      </c>
      <c r="FA15" s="1923">
        <f>IF(AND(CM15="GL kleebetont 3 Nutz.",CN15= "normal", CO15="bis 2,5 km"),$CS$24,0)</f>
        <v>0</v>
      </c>
      <c r="FB15" s="1923">
        <f>IF(AND(CM15="GL kleebetont 3 Nutz.",CN15= "normal", CO15="2,5 - 5,0 km"),$CS$25,0)</f>
        <v>0</v>
      </c>
      <c r="FC15" s="1923">
        <f>IF(AND(CM15="GL kleebetont 3 Nutz.",CN15= "normal", CO15="5,0 - 10 km"),$CS$26,0)</f>
        <v>0</v>
      </c>
      <c r="FD15" s="1923">
        <f>IF(AND(CM15="GL kleebetont 3 Nutz.",CN15= "normal", CO15="über 10 km"),$CS$27,0)</f>
        <v>0</v>
      </c>
      <c r="FE15" s="1923">
        <f>IF(AND(CM15="GL kleebetont 3 Nutz.",CN15= "ungünstig", CO15="bis 2,5 km"),$CT$24,0)</f>
        <v>0</v>
      </c>
      <c r="FF15" s="1923">
        <f>IF(AND(CM15="GL kleebetont 3 Nutz.",CN15= "ungünstig", CO15="2,5 - 5,0 km"),$CT$25,0)</f>
        <v>0</v>
      </c>
      <c r="FG15" s="1923">
        <f>IF(AND(CM15="GL kleebetont 3 Nutz.",CN15= "ungünstig", CO15="5,0 - 10 km"),$CT$26,0)</f>
        <v>0</v>
      </c>
      <c r="FH15" s="1923">
        <f>IF(AND(CM15="GL kleebetont 3 Nutz.",CN15= "ungünstig", CO15="über 10 km"),$CT$27,0)</f>
        <v>0</v>
      </c>
      <c r="FI15" s="1923">
        <f>IF(AND(CM15="GL gräserbetont 3 Nutz.",CN15= "günstig", CO15="bis 2,5 km"),$CR$24,0)</f>
        <v>0</v>
      </c>
      <c r="FJ15" s="1923">
        <f>IF(AND(CM15="GL gräserbetont 3 Nutz.",CN15= "günstig", CO15="2,5 - 5,0 km"),$CR$25,0)</f>
        <v>0</v>
      </c>
      <c r="FK15" s="1923">
        <f>IF(AND(CM15="GL gräserbetont 3 Nutz.",CN15= "günstig", CO15="5,0 - 10 km"),$CR$26,0)</f>
        <v>0</v>
      </c>
      <c r="FL15" s="1923">
        <f>IF(AND(CM15="GL gräserbetont 3 Nutz.",CN15= "günstig", CO15="über 10 km"),$CR$27,0)</f>
        <v>0</v>
      </c>
      <c r="FM15" s="1923">
        <f>IF(AND(CM15="GL gräserbetont 3 Nutz.",CN15= "normal", CO15="bis 2,5 km"),$CS$24,0)</f>
        <v>0</v>
      </c>
      <c r="FN15" s="1923">
        <f>IF(AND(CM15="GL gräserbetont 3 Nutz.",CN15= "normal", CO15="2,5 - 5,0 km"),$CS$25,0)</f>
        <v>0</v>
      </c>
      <c r="FO15" s="1923">
        <f>IF(AND(CM15="GL gräserbetont 3 Nutz.",CN15= "normal", CO15="5,0 - 10 km"),$CS$26,0)</f>
        <v>0</v>
      </c>
      <c r="FP15" s="1923">
        <f>IF(AND(CM15="GL gräserbetont 3 Nutz.",CN15= "normal", CO15="über 10 km"),$CS$27,0)</f>
        <v>0</v>
      </c>
      <c r="FQ15" s="1923">
        <f>IF(AND(CM15="GL gräserbetont 3 Nutz.",CN15= "ungünstig", CO15="bis 2,5 km"),$CT$24,0)</f>
        <v>0</v>
      </c>
      <c r="FR15" s="1923">
        <f>IF(AND(CM15="GL gräserbetont 3 Nutz.",CN15= "ungünstig", CO15="2,5 - 5,0 km"),$CT$25,0)</f>
        <v>0</v>
      </c>
      <c r="FS15" s="1923">
        <f>IF(AND(CM15="GL gräserbetont 3 Nutz.",CN15= "ungünstig", CO15="5,0 - 10 km"),$CT$26,0)</f>
        <v>0</v>
      </c>
      <c r="FT15" s="1923">
        <f>IF(AND(CM15="GL gräserbetont 3 Nutz.",CN15= "ungünstig", CO15="über 10 km"),$CT$27,0)</f>
        <v>0</v>
      </c>
      <c r="FU15" s="1923">
        <f>IF(AND(CM15="GL 3 Nutzungen",CN15= "günstig", CO15="bis 2,5 km"),$CR$24,0)</f>
        <v>0</v>
      </c>
      <c r="FV15" s="1923">
        <f>IF(AND(CM15="GL 3 Nutzungen",CN15= "günstig", CO15="2,5 - 5,0 km"),$CR$25,0)</f>
        <v>0</v>
      </c>
      <c r="FW15" s="1923">
        <f>IF(AND(CM15="GL 3 Nutzungen",CN15= "günstig", CO15="5,0 - 10 km"),$CR$26,0)</f>
        <v>0</v>
      </c>
      <c r="FX15" s="1923">
        <f>IF(AND(CM15="GL 3 Nutzungen",CN15= "günstig", CO15="über 10 km"),$CR$27,0)</f>
        <v>0</v>
      </c>
      <c r="FY15" s="1923">
        <f>IF(AND(CM15="GL 3 Nutzungen",CN15= "normal", CO15="bis 2,5 km"),$CS$24,0)</f>
        <v>0</v>
      </c>
      <c r="FZ15" s="1923">
        <f>IF(AND(CM15="GL 3 Nutzungen",CN15= "normal", CO15="2,5 - 5,0 km"),$CS$25,0)</f>
        <v>0</v>
      </c>
      <c r="GA15" s="1923">
        <f>IF(AND(CM15="GL 3 Nutzungen",CN15= "normal", CO15="5,0 - 10 km"),$CS$26,0)</f>
        <v>0</v>
      </c>
      <c r="GB15" s="1923">
        <f>IF(AND(CM15="GL 3 Nutzungen",CN15= "normal", CO15="über 10 km"),$CS$27,0)</f>
        <v>0</v>
      </c>
      <c r="GC15" s="1923">
        <f>IF(AND(CM15="GL 3 Nutzungen",CN15= "ungünstig", CO15="bis 2,5 km"),$CT$24,0)</f>
        <v>0</v>
      </c>
      <c r="GD15" s="1923">
        <f>IF(AND(CM15="GL 3 Nutzungen",CN15= "ungünstig", CO15="2,5 - 5,0 km"),$CT$25,0)</f>
        <v>0</v>
      </c>
      <c r="GE15" s="1923">
        <f>IF(AND(CM15="GL 3 Nutzungen",CN15= "ungünstig", CO15="5,0 - 10 km"),$CT$26,0)</f>
        <v>0</v>
      </c>
      <c r="GF15" s="1923">
        <f>IF(AND(CM15="GL 3 Nutzungen",CN15= "ungünstig", CO15="über 10 km"),$CT$27,0)</f>
        <v>0</v>
      </c>
      <c r="GG15" s="1925">
        <f t="shared" si="14"/>
        <v>0</v>
      </c>
      <c r="GH15" s="1923">
        <f>IF(AND(CM15="GL 4 Nutzungen",CN15= "günstig", CO15="bis 2,5 km"),$CR$24,0)</f>
        <v>0</v>
      </c>
      <c r="GI15" s="1923">
        <f>IF(AND(CM15="GL 4 Nutzungen",CN15= "günstig", CO15="2,5 - 5,0 km"),$CR$25,0)</f>
        <v>0</v>
      </c>
      <c r="GJ15" s="1923">
        <f>IF(AND(CM15="GL 4 Nutzungen",CN15= "günstig", CO15="5,0 - 10 km"),$CR$26,0)</f>
        <v>0</v>
      </c>
      <c r="GK15" s="1923">
        <f>IF(AND(CM15="GL 4 Nutzungen",CN15= "günstig", CO15="über 10 km"),$CR$27,0)</f>
        <v>0</v>
      </c>
      <c r="GL15" s="1923">
        <f>IF(AND(CM15="GL 4 Nutzungen",CN15= "normal", CO15="bis 2,5 km"),$CS$24,0)</f>
        <v>0</v>
      </c>
      <c r="GM15" s="1923">
        <f>IF(AND(CM15="GL 4 Nutzungen",CN15= "normal", CO15="2,5 - 5,0 km"),$CS$25,0)</f>
        <v>0</v>
      </c>
      <c r="GN15" s="1923">
        <f>IF(AND(CM15="GL 4 Nutzungen",CN15= "normal", CO15="5,0 - 10 km"),$CS$26,0)</f>
        <v>0</v>
      </c>
      <c r="GO15" s="1923">
        <f>IF(AND(CM15="GL 4 Nutzungen",CN15= "normal", CO15="über 10 km"),$CS$27,0)</f>
        <v>0</v>
      </c>
      <c r="GP15" s="1923">
        <f>IF(AND(CM15="GL 4 Nutzungen",CN15= "ungünstig", CO15="bis 2,5 km"),$CT$24,0)</f>
        <v>0</v>
      </c>
      <c r="GQ15" s="1923">
        <f>IF(AND(CM15="GL 4 Nutzungen",CN15= "ungünstig", CO15="2,5 - 5,0 km"),$CT$25,0)</f>
        <v>0</v>
      </c>
      <c r="GR15" s="1923">
        <f>IF(AND(CM15="GL 4 Nutzungen",CN15= "ungünstig", CO15="5,0 - 10 km"),$CT$26,0)</f>
        <v>0</v>
      </c>
      <c r="GS15" s="1923">
        <f>IF(AND(CM15="GL 4 Nutzungen",CN15= "ungünstig", CO15="über 10 km"),$CT$27,0)</f>
        <v>0</v>
      </c>
      <c r="GT15" s="1925">
        <f t="shared" si="15"/>
        <v>0</v>
      </c>
      <c r="GU15" s="1923">
        <f>IF(AND(CM15="GL 5 Nutzungen",CN15= "günstig", CO15="bis 2,5 km"),$CU$24,0)</f>
        <v>0</v>
      </c>
      <c r="GV15" s="1923">
        <f>IF(AND(CM15="GL 5 Nutzungen",CN15= "günstig", CO15="2,5 - 5,0 km"),$CU$25,0)</f>
        <v>0</v>
      </c>
      <c r="GW15" s="1923">
        <f>IF(AND(CM15="GL 5 Nutzungen",CN15= "günstig", CO15="5,0 - 10 km"),$CU$26,0)</f>
        <v>0</v>
      </c>
      <c r="GX15" s="1923">
        <f>IF(AND(CM15="GL 5 Nutzungen",CN15= "günstig", CO15="über 10 km"),$CU$27,0)</f>
        <v>0</v>
      </c>
      <c r="GY15" s="1923">
        <f>IF(AND(CM15="GL 5 Nutzungen",CN15= "normal", CO15="bis 2,5 km"),$CV$24,0)</f>
        <v>0</v>
      </c>
      <c r="GZ15" s="1923">
        <f>IF(AND(CM15="GL 5 Nutzungen",CN15= "normal", CO15="2,5 - 5,0 km"),$CV$25,0)</f>
        <v>0</v>
      </c>
      <c r="HA15" s="1923">
        <f>IF(AND(CM15="GL 5 Nutzungen",CN15= "normal", CO15="5,0 - 10 km"),$CV$26,0)</f>
        <v>0</v>
      </c>
      <c r="HB15" s="1923">
        <f>IF(AND(CM15="GL 5 Nutzungen",CN15= "normal", CO15="über 10 km"),$CV$27,0)</f>
        <v>0</v>
      </c>
      <c r="HC15" s="1923">
        <f>IF(AND(CM15="GL 5 Nutzungen",CN15= "ungünstig", CO15="bis 2,5 km"),$CW$24,0)</f>
        <v>0</v>
      </c>
      <c r="HD15" s="1923">
        <f>IF(AND(CM15="GL 5 Nutzungen",CN15= "ungünstig", CO15="2,5 - 5,0 km"),$CW$25,0)</f>
        <v>0</v>
      </c>
      <c r="HE15" s="1923">
        <f>IF(AND(CM15="GL 5 Nutzungen",CN15= "ungünstig", CO15="5,0 - 10 km"),$CW$26,0)</f>
        <v>0</v>
      </c>
      <c r="HF15" s="1923">
        <f>IF(AND(CM15="GL 5 Nutzungen",CN15= "ungünstig", CO15="über 10 km"),$CW$27,0)</f>
        <v>0</v>
      </c>
      <c r="HG15" s="1925">
        <f t="shared" si="16"/>
        <v>0</v>
      </c>
      <c r="HH15" s="1923">
        <f>IF(AND(CM15="GL 6 Nutzungen",CN15= "günstig", CO15="bis 2,5 km"),$CU$24,0)</f>
        <v>0</v>
      </c>
      <c r="HI15" s="1923">
        <f>IF(AND(CM15="GL 6 Nutzungen",CN15= "günstig", CO15="2,5 - 5,0 km"),$CU$25,0)</f>
        <v>0</v>
      </c>
      <c r="HJ15" s="1923">
        <f>IF(AND(CM15="GL 6 Nutzungen",CN15= "günstig", CO15="5,0 - 10 km"),$CU$26,0)</f>
        <v>0</v>
      </c>
      <c r="HK15" s="1923">
        <f>IF(AND(CM15="GL 6 Nutzungen",CN15= "günstig", CO15="über 10 km"),$CU$27,0)</f>
        <v>0</v>
      </c>
      <c r="HL15" s="1923">
        <f>IF(AND(CM15="GL 6 Nutzungen",CN15= "normal", CO15="bis 2,5 km"),$CV$24,0)</f>
        <v>0</v>
      </c>
      <c r="HM15" s="1923">
        <f>IF(AND(CM15="GL 6 Nutzungen",CN15= "normal", CO15="2,5 - 5,0 km"),$CV$25,0)</f>
        <v>0</v>
      </c>
      <c r="HN15" s="1923">
        <f>IF(AND(CM15="GL 6 Nutzungen",CN15= "normal", CO15="5,0 - 10 km"),$CV$26,0)</f>
        <v>0</v>
      </c>
      <c r="HO15" s="1923">
        <f>IF(AND(CM15="GL 6 Nutzungen",CN15= "normal", CO15="über 10 km"),$CV$27,0)</f>
        <v>0</v>
      </c>
      <c r="HP15" s="1923">
        <f>IF(AND(CM15="GL 6 Nutzungen",CN15= "ungünstig", CO15="bis 2,5 km"),$CW$24,0)</f>
        <v>0</v>
      </c>
      <c r="HQ15" s="1923">
        <f>IF(AND(CM15="GL 6 Nutzungen",CN15= "ungünstig", CO15="2,5 - 5,0 km"),$CW$25,0)</f>
        <v>0</v>
      </c>
      <c r="HR15" s="1923">
        <f>IF(AND(CM15="GL 6 Nutzungen",CN15= "ungünstig", CO15="5,0 - 10 km"),$CW$26,0)</f>
        <v>0</v>
      </c>
      <c r="HS15" s="1923">
        <f>IF(AND(CM15="GL 6 Nutzungen",CN15= "ungünstig", CO15="über 10 km"),$CW$27,0)</f>
        <v>0</v>
      </c>
      <c r="HT15" s="1925">
        <f t="shared" si="17"/>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9"/>
        <v>0</v>
      </c>
      <c r="IL15" s="1917">
        <f t="shared" si="20"/>
        <v>0</v>
      </c>
      <c r="IM15" s="1917">
        <f t="shared" si="21"/>
        <v>0</v>
      </c>
      <c r="IN15" s="1917">
        <f t="shared" si="22"/>
        <v>0</v>
      </c>
      <c r="IO15" s="1917">
        <f t="shared" si="23"/>
        <v>0</v>
      </c>
      <c r="IP15" s="1917">
        <f t="shared" si="24"/>
        <v>0</v>
      </c>
      <c r="IQ15" s="1917">
        <f t="shared" si="25"/>
        <v>0</v>
      </c>
      <c r="IR15" s="1917">
        <f t="shared" si="26"/>
        <v>0</v>
      </c>
      <c r="IS15" s="1917">
        <f t="shared" si="27"/>
        <v>0</v>
      </c>
      <c r="IT15" s="1917">
        <f t="shared" si="28"/>
        <v>0</v>
      </c>
      <c r="IU15" s="1917">
        <f t="shared" si="29"/>
        <v>0</v>
      </c>
      <c r="IV15" s="1917">
        <f t="shared" si="30"/>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1932" t="s">
        <v>1052</v>
      </c>
      <c r="D18" s="193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1605"/>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E31" si="31">$P20*AH20</f>
        <v>0</v>
      </c>
      <c r="AF20" s="1952">
        <f t="shared" ref="AF20:AF31" si="32">$P20*AI20</f>
        <v>0</v>
      </c>
      <c r="AG20" s="1953">
        <f t="shared" ref="AG20:AG31" si="33">$P20*AJ20</f>
        <v>0</v>
      </c>
      <c r="AH20" s="1954">
        <f>IF(ISNA(B13),0,SUM(AO20:AT20)*$B$13)</f>
        <v>0</v>
      </c>
      <c r="AI20" s="1955">
        <f>IF(ISNA(B14),0,SUM(AV20:BA20)*$B$14)</f>
        <v>0</v>
      </c>
      <c r="AJ20" s="1956">
        <f>IF(ISNUMBER($B$15),(SUM(BC20:BH20)*$B$15),0)</f>
        <v>0</v>
      </c>
      <c r="AK20" s="1957">
        <f>SUM(AH20:AJ20)</f>
        <v>0</v>
      </c>
      <c r="AL20" s="1958">
        <f>Summen_GL!F$109</f>
        <v>0</v>
      </c>
      <c r="AM20" s="1952">
        <f>AK20-AL20</f>
        <v>0</v>
      </c>
      <c r="AO20" s="826">
        <f t="shared" ref="AO20:AO31" si="34">IF($O20=$E$13,$F$13,0)</f>
        <v>0</v>
      </c>
      <c r="AP20" s="826">
        <f t="shared" ref="AP20:AP31" si="35">IF($O20=$G$13,$H$13,0)</f>
        <v>0</v>
      </c>
      <c r="AQ20" s="826">
        <f t="shared" ref="AQ20:AQ31" si="36">IF($O20=$I$13,$J$13,0)</f>
        <v>0</v>
      </c>
      <c r="AR20" s="826">
        <f t="shared" ref="AR20:AR31" si="37">IF($O20=$K$13,$L$13,0)</f>
        <v>0</v>
      </c>
      <c r="AS20" s="826">
        <f t="shared" ref="AS20:AS31" si="38">IF($O20=$M$13,$N$13,0)</f>
        <v>0</v>
      </c>
      <c r="AT20" s="826">
        <f t="shared" ref="AT20:AT31" si="39">IF($O20=$O$13,$P$13,0)</f>
        <v>0</v>
      </c>
      <c r="AV20" s="826">
        <f t="shared" ref="AV20:AV31" si="40">IF($O20=$E$14,$F$14,0)</f>
        <v>0</v>
      </c>
      <c r="AW20" s="826">
        <f t="shared" ref="AW20:AW31" si="41">IF($O20=$G$14,$H$14,0)</f>
        <v>0</v>
      </c>
      <c r="AX20" s="826">
        <f t="shared" ref="AX20:AX31" si="42">IF($O20=$I$14,$J$14,0)</f>
        <v>0</v>
      </c>
      <c r="AY20" s="826">
        <f t="shared" ref="AY20:AY31" si="43">IF($O20=$K$14,$L$14,0)</f>
        <v>0</v>
      </c>
      <c r="AZ20" s="826">
        <f t="shared" ref="AZ20:AZ31" si="44">IF($O20=$M$14,$N$14,0)</f>
        <v>0</v>
      </c>
      <c r="BA20" s="826">
        <f t="shared" ref="BA20:BA31" si="45">IF($O20=$O$14,$P$14,0)</f>
        <v>0</v>
      </c>
      <c r="BC20" s="826">
        <f t="shared" ref="BC20:BC31" si="46">IF($O20=$E$15,$F$15,0)</f>
        <v>0</v>
      </c>
      <c r="BD20" s="826">
        <f t="shared" ref="BD20:BD31" si="47">IF($O20=$G$15,$H$15,0)</f>
        <v>0</v>
      </c>
      <c r="BE20" s="826">
        <f t="shared" ref="BE20:BE31" si="48">IF($O20=$I$15,$J$15,0)</f>
        <v>0</v>
      </c>
      <c r="BF20" s="826">
        <f t="shared" ref="BF20:BF31" si="49">IF($O20=$K$15,$L$15,0)</f>
        <v>0</v>
      </c>
      <c r="BG20" s="826">
        <f t="shared" ref="BG20:BG31" si="50">IF($O20=$M$15,$N$15,0)</f>
        <v>0</v>
      </c>
      <c r="BH20" s="826">
        <f t="shared" ref="BH20:BH31" si="51">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1786"/>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31"/>
        <v>0</v>
      </c>
      <c r="AF21" s="1952">
        <f t="shared" si="32"/>
        <v>0</v>
      </c>
      <c r="AG21" s="1953">
        <f t="shared" si="33"/>
        <v>0</v>
      </c>
      <c r="AH21" s="1954">
        <f>SUM(AO21:AT21)*$B$13</f>
        <v>0</v>
      </c>
      <c r="AI21" s="1955">
        <f>IF(ISNA(B15),0,SUM(AV21:BA21)*$B$14)</f>
        <v>0</v>
      </c>
      <c r="AJ21" s="1956">
        <f>IF(ISNUMBER($B$15),(SUM(BC21:BH21)*$B$15),0)</f>
        <v>0</v>
      </c>
      <c r="AK21" s="1957">
        <f t="shared" ref="AK21:AK31" si="52">SUM(AH21:AJ21)</f>
        <v>0</v>
      </c>
      <c r="AL21" s="1958">
        <f>Summen_GL!G$109</f>
        <v>0</v>
      </c>
      <c r="AM21" s="1952">
        <f t="shared" ref="AM21:AM31" si="53">AK21-AL21</f>
        <v>0</v>
      </c>
      <c r="AO21" s="826">
        <f t="shared" si="34"/>
        <v>0</v>
      </c>
      <c r="AP21" s="826">
        <f t="shared" si="35"/>
        <v>0</v>
      </c>
      <c r="AQ21" s="826">
        <f t="shared" si="36"/>
        <v>0</v>
      </c>
      <c r="AR21" s="826">
        <f t="shared" si="37"/>
        <v>0</v>
      </c>
      <c r="AS21" s="826">
        <f t="shared" si="38"/>
        <v>0</v>
      </c>
      <c r="AT21" s="826">
        <f t="shared" si="39"/>
        <v>0</v>
      </c>
      <c r="AV21" s="826">
        <f t="shared" si="40"/>
        <v>0</v>
      </c>
      <c r="AW21" s="826">
        <f t="shared" si="41"/>
        <v>0</v>
      </c>
      <c r="AX21" s="826">
        <f t="shared" si="42"/>
        <v>0</v>
      </c>
      <c r="AY21" s="826">
        <f t="shared" si="43"/>
        <v>0</v>
      </c>
      <c r="AZ21" s="826">
        <f t="shared" si="44"/>
        <v>0</v>
      </c>
      <c r="BA21" s="826">
        <f t="shared" si="45"/>
        <v>0</v>
      </c>
      <c r="BC21" s="826">
        <f t="shared" si="46"/>
        <v>0</v>
      </c>
      <c r="BD21" s="826">
        <f t="shared" si="47"/>
        <v>0</v>
      </c>
      <c r="BE21" s="826">
        <f t="shared" si="48"/>
        <v>0</v>
      </c>
      <c r="BF21" s="826">
        <f t="shared" si="49"/>
        <v>0</v>
      </c>
      <c r="BG21" s="826">
        <f t="shared" si="50"/>
        <v>0</v>
      </c>
      <c r="BH21" s="826">
        <f t="shared" si="51"/>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31"/>
        <v>0</v>
      </c>
      <c r="AF22" s="1952">
        <f t="shared" si="32"/>
        <v>0</v>
      </c>
      <c r="AG22" s="1953">
        <f t="shared" si="33"/>
        <v>0</v>
      </c>
      <c r="AH22" s="1954">
        <f t="shared" ref="AH22:AH31" si="54">SUM(AO22:AT22)*$B$13</f>
        <v>0</v>
      </c>
      <c r="AI22" s="1955">
        <f>IF(ISNA(B16),0,SUM(AV22:BA22)*$B$14)</f>
        <v>0</v>
      </c>
      <c r="AJ22" s="1956">
        <f t="shared" ref="AJ22:AJ31" si="55">IF(ISNUMBER($B$15),(SUM(BC22:BH22)*$B$15),0)</f>
        <v>0</v>
      </c>
      <c r="AK22" s="1957">
        <f t="shared" si="52"/>
        <v>0</v>
      </c>
      <c r="AL22" s="1958">
        <f>Summen_GL!H$109</f>
        <v>0</v>
      </c>
      <c r="AM22" s="1952">
        <f t="shared" si="53"/>
        <v>0</v>
      </c>
      <c r="AO22" s="826">
        <f t="shared" si="34"/>
        <v>0</v>
      </c>
      <c r="AP22" s="826">
        <f t="shared" si="35"/>
        <v>0</v>
      </c>
      <c r="AQ22" s="826">
        <f t="shared" si="36"/>
        <v>0</v>
      </c>
      <c r="AR22" s="826">
        <f t="shared" si="37"/>
        <v>0</v>
      </c>
      <c r="AS22" s="826">
        <f t="shared" si="38"/>
        <v>0</v>
      </c>
      <c r="AT22" s="826">
        <f t="shared" si="39"/>
        <v>0</v>
      </c>
      <c r="AV22" s="826">
        <f t="shared" si="40"/>
        <v>0</v>
      </c>
      <c r="AW22" s="826">
        <f t="shared" si="41"/>
        <v>0</v>
      </c>
      <c r="AX22" s="826">
        <f t="shared" si="42"/>
        <v>0</v>
      </c>
      <c r="AY22" s="826">
        <f t="shared" si="43"/>
        <v>0</v>
      </c>
      <c r="AZ22" s="826">
        <f t="shared" si="44"/>
        <v>0</v>
      </c>
      <c r="BA22" s="826">
        <f t="shared" si="45"/>
        <v>0</v>
      </c>
      <c r="BC22" s="826">
        <f t="shared" si="46"/>
        <v>0</v>
      </c>
      <c r="BD22" s="826">
        <f t="shared" si="47"/>
        <v>0</v>
      </c>
      <c r="BE22" s="826">
        <f t="shared" si="48"/>
        <v>0</v>
      </c>
      <c r="BF22" s="826">
        <f t="shared" si="49"/>
        <v>0</v>
      </c>
      <c r="BG22" s="826">
        <f t="shared" si="50"/>
        <v>0</v>
      </c>
      <c r="BH22" s="826">
        <f t="shared" si="51"/>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31"/>
        <v>0</v>
      </c>
      <c r="AF23" s="1952">
        <f t="shared" si="32"/>
        <v>0</v>
      </c>
      <c r="AG23" s="1953">
        <f t="shared" si="33"/>
        <v>0</v>
      </c>
      <c r="AH23" s="1954">
        <f t="shared" si="54"/>
        <v>0</v>
      </c>
      <c r="AI23" s="1955">
        <f>IF(ISNA(#REF!),0,SUM(AV23:BA23)*$B$14)</f>
        <v>0</v>
      </c>
      <c r="AJ23" s="1956">
        <f t="shared" si="55"/>
        <v>0</v>
      </c>
      <c r="AK23" s="1957">
        <f t="shared" si="52"/>
        <v>0</v>
      </c>
      <c r="AL23" s="1958">
        <f>Summen_GL!I$109</f>
        <v>0</v>
      </c>
      <c r="AM23" s="1952">
        <f t="shared" si="53"/>
        <v>0</v>
      </c>
      <c r="AO23" s="826">
        <f t="shared" si="34"/>
        <v>0</v>
      </c>
      <c r="AP23" s="826">
        <f t="shared" si="35"/>
        <v>0</v>
      </c>
      <c r="AQ23" s="826">
        <f t="shared" si="36"/>
        <v>0</v>
      </c>
      <c r="AR23" s="826">
        <f t="shared" si="37"/>
        <v>0</v>
      </c>
      <c r="AS23" s="826">
        <f t="shared" si="38"/>
        <v>0</v>
      </c>
      <c r="AT23" s="826">
        <f t="shared" si="39"/>
        <v>0</v>
      </c>
      <c r="AV23" s="826">
        <f t="shared" si="40"/>
        <v>0</v>
      </c>
      <c r="AW23" s="826">
        <f t="shared" si="41"/>
        <v>0</v>
      </c>
      <c r="AX23" s="826">
        <f t="shared" si="42"/>
        <v>0</v>
      </c>
      <c r="AY23" s="826">
        <f t="shared" si="43"/>
        <v>0</v>
      </c>
      <c r="AZ23" s="826">
        <f t="shared" si="44"/>
        <v>0</v>
      </c>
      <c r="BA23" s="826">
        <f t="shared" si="45"/>
        <v>0</v>
      </c>
      <c r="BC23" s="826">
        <f t="shared" si="46"/>
        <v>0</v>
      </c>
      <c r="BD23" s="826">
        <f t="shared" si="47"/>
        <v>0</v>
      </c>
      <c r="BE23" s="826">
        <f t="shared" si="48"/>
        <v>0</v>
      </c>
      <c r="BF23" s="826">
        <f t="shared" si="49"/>
        <v>0</v>
      </c>
      <c r="BG23" s="826">
        <f t="shared" si="50"/>
        <v>0</v>
      </c>
      <c r="BH23" s="826">
        <f t="shared" si="51"/>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31"/>
        <v>0</v>
      </c>
      <c r="AF24" s="1952">
        <f t="shared" si="32"/>
        <v>0</v>
      </c>
      <c r="AG24" s="1953">
        <f t="shared" si="33"/>
        <v>0</v>
      </c>
      <c r="AH24" s="1954">
        <f t="shared" si="54"/>
        <v>0</v>
      </c>
      <c r="AI24" s="1973">
        <f>IF(ISNA(#REF!),0,SUM(AV24:BA24)*$B$14)</f>
        <v>0</v>
      </c>
      <c r="AJ24" s="1956">
        <f t="shared" si="55"/>
        <v>0</v>
      </c>
      <c r="AK24" s="1957">
        <f t="shared" si="52"/>
        <v>0</v>
      </c>
      <c r="AL24" s="1958">
        <f>Summen_GL!J$109</f>
        <v>0</v>
      </c>
      <c r="AM24" s="1952">
        <f t="shared" si="53"/>
        <v>0</v>
      </c>
      <c r="AO24" s="826">
        <f t="shared" si="34"/>
        <v>0</v>
      </c>
      <c r="AP24" s="826">
        <f t="shared" si="35"/>
        <v>0</v>
      </c>
      <c r="AQ24" s="826">
        <f t="shared" si="36"/>
        <v>0</v>
      </c>
      <c r="AR24" s="826">
        <f t="shared" si="37"/>
        <v>0</v>
      </c>
      <c r="AS24" s="826">
        <f t="shared" si="38"/>
        <v>0</v>
      </c>
      <c r="AT24" s="826">
        <f t="shared" si="39"/>
        <v>0</v>
      </c>
      <c r="AV24" s="826">
        <f t="shared" si="40"/>
        <v>0</v>
      </c>
      <c r="AW24" s="826">
        <f t="shared" si="41"/>
        <v>0</v>
      </c>
      <c r="AX24" s="826">
        <f t="shared" si="42"/>
        <v>0</v>
      </c>
      <c r="AY24" s="826">
        <f t="shared" si="43"/>
        <v>0</v>
      </c>
      <c r="AZ24" s="826">
        <f t="shared" si="44"/>
        <v>0</v>
      </c>
      <c r="BA24" s="826">
        <f t="shared" si="45"/>
        <v>0</v>
      </c>
      <c r="BC24" s="826">
        <f t="shared" si="46"/>
        <v>0</v>
      </c>
      <c r="BD24" s="826">
        <f t="shared" si="47"/>
        <v>0</v>
      </c>
      <c r="BE24" s="826">
        <f t="shared" si="48"/>
        <v>0</v>
      </c>
      <c r="BF24" s="826">
        <f t="shared" si="49"/>
        <v>0</v>
      </c>
      <c r="BG24" s="826">
        <f t="shared" si="50"/>
        <v>0</v>
      </c>
      <c r="BH24" s="826">
        <f t="shared" si="51"/>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31"/>
        <v>0</v>
      </c>
      <c r="AF25" s="1952">
        <f t="shared" si="32"/>
        <v>0</v>
      </c>
      <c r="AG25" s="1953">
        <f t="shared" si="33"/>
        <v>0</v>
      </c>
      <c r="AH25" s="1954">
        <f t="shared" si="54"/>
        <v>0</v>
      </c>
      <c r="AI25" s="1955">
        <f>IF(ISNA(#REF!),0,SUM(AV25:BA25)*$B$14)</f>
        <v>0</v>
      </c>
      <c r="AJ25" s="1956">
        <f t="shared" si="55"/>
        <v>0</v>
      </c>
      <c r="AK25" s="1957">
        <f t="shared" si="52"/>
        <v>0</v>
      </c>
      <c r="AL25" s="1958">
        <f>Summen_GL!K$109</f>
        <v>0</v>
      </c>
      <c r="AM25" s="1952">
        <f t="shared" si="53"/>
        <v>0</v>
      </c>
      <c r="AO25" s="826">
        <f t="shared" si="34"/>
        <v>0</v>
      </c>
      <c r="AP25" s="826">
        <f t="shared" si="35"/>
        <v>0</v>
      </c>
      <c r="AQ25" s="826">
        <f t="shared" si="36"/>
        <v>0</v>
      </c>
      <c r="AR25" s="826">
        <f t="shared" si="37"/>
        <v>0</v>
      </c>
      <c r="AS25" s="826">
        <f t="shared" si="38"/>
        <v>0</v>
      </c>
      <c r="AT25" s="826">
        <f t="shared" si="39"/>
        <v>0</v>
      </c>
      <c r="AV25" s="826">
        <f t="shared" si="40"/>
        <v>0</v>
      </c>
      <c r="AW25" s="826">
        <f t="shared" si="41"/>
        <v>0</v>
      </c>
      <c r="AX25" s="826">
        <f t="shared" si="42"/>
        <v>0</v>
      </c>
      <c r="AY25" s="826">
        <f t="shared" si="43"/>
        <v>0</v>
      </c>
      <c r="AZ25" s="826">
        <f t="shared" si="44"/>
        <v>0</v>
      </c>
      <c r="BA25" s="826">
        <f t="shared" si="45"/>
        <v>0</v>
      </c>
      <c r="BC25" s="826">
        <f t="shared" si="46"/>
        <v>0</v>
      </c>
      <c r="BD25" s="826">
        <f t="shared" si="47"/>
        <v>0</v>
      </c>
      <c r="BE25" s="826">
        <f t="shared" si="48"/>
        <v>0</v>
      </c>
      <c r="BF25" s="826">
        <f t="shared" si="49"/>
        <v>0</v>
      </c>
      <c r="BG25" s="826">
        <f t="shared" si="50"/>
        <v>0</v>
      </c>
      <c r="BH25" s="826">
        <f t="shared" si="51"/>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56">CP25*0.9</f>
        <v>0.9</v>
      </c>
      <c r="CP25" s="1959">
        <v>1</v>
      </c>
      <c r="CQ25" s="1959">
        <f t="shared" ref="CQ25:CQ27" si="57">CP25*1.1</f>
        <v>1.1000000000000001</v>
      </c>
      <c r="CR25" s="1959">
        <f t="shared" ref="CR25:CR27" si="58">CS25*0.9</f>
        <v>0.67500000000000004</v>
      </c>
      <c r="CS25" s="1959">
        <v>0.75</v>
      </c>
      <c r="CT25" s="10">
        <f t="shared" ref="CT25:CT27" si="59">CS25*1.1</f>
        <v>0.82500000000000007</v>
      </c>
      <c r="CU25" s="10">
        <f t="shared" ref="CU25:CU27" si="60">CV25*0.9</f>
        <v>0.63</v>
      </c>
      <c r="CV25" s="10">
        <v>0.7</v>
      </c>
      <c r="CW25" s="10">
        <f t="shared" ref="CW25:CW27" si="61">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31"/>
        <v>0</v>
      </c>
      <c r="AF26" s="1952">
        <f t="shared" si="32"/>
        <v>0</v>
      </c>
      <c r="AG26" s="1953">
        <f t="shared" si="33"/>
        <v>0</v>
      </c>
      <c r="AH26" s="1954">
        <f t="shared" si="54"/>
        <v>0</v>
      </c>
      <c r="AI26" s="1955">
        <f>IF(ISNA(#REF!),0,SUM(AV26:BA26)*$B$14)</f>
        <v>0</v>
      </c>
      <c r="AJ26" s="1956">
        <f t="shared" si="55"/>
        <v>0</v>
      </c>
      <c r="AK26" s="1957">
        <f t="shared" si="52"/>
        <v>0</v>
      </c>
      <c r="AL26" s="1958">
        <f>Summen_GL!L$109</f>
        <v>0</v>
      </c>
      <c r="AM26" s="1952">
        <f t="shared" si="53"/>
        <v>0</v>
      </c>
      <c r="AO26" s="826">
        <f t="shared" si="34"/>
        <v>0</v>
      </c>
      <c r="AP26" s="826">
        <f t="shared" si="35"/>
        <v>0</v>
      </c>
      <c r="AQ26" s="826">
        <f t="shared" si="36"/>
        <v>0</v>
      </c>
      <c r="AR26" s="826">
        <f t="shared" si="37"/>
        <v>0</v>
      </c>
      <c r="AS26" s="826">
        <f t="shared" si="38"/>
        <v>0</v>
      </c>
      <c r="AT26" s="826">
        <f t="shared" si="39"/>
        <v>0</v>
      </c>
      <c r="AV26" s="826">
        <f t="shared" si="40"/>
        <v>0</v>
      </c>
      <c r="AW26" s="826">
        <f t="shared" si="41"/>
        <v>0</v>
      </c>
      <c r="AX26" s="826">
        <f t="shared" si="42"/>
        <v>0</v>
      </c>
      <c r="AY26" s="826">
        <f t="shared" si="43"/>
        <v>0</v>
      </c>
      <c r="AZ26" s="826">
        <f t="shared" si="44"/>
        <v>0</v>
      </c>
      <c r="BA26" s="826">
        <f t="shared" si="45"/>
        <v>0</v>
      </c>
      <c r="BC26" s="826">
        <f t="shared" si="46"/>
        <v>0</v>
      </c>
      <c r="BD26" s="826">
        <f t="shared" si="47"/>
        <v>0</v>
      </c>
      <c r="BE26" s="826">
        <f t="shared" si="48"/>
        <v>0</v>
      </c>
      <c r="BF26" s="826">
        <f t="shared" si="49"/>
        <v>0</v>
      </c>
      <c r="BG26" s="826">
        <f t="shared" si="50"/>
        <v>0</v>
      </c>
      <c r="BH26" s="826">
        <f t="shared" si="51"/>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56"/>
        <v>1.125</v>
      </c>
      <c r="CP26" s="1959">
        <v>1.25</v>
      </c>
      <c r="CQ26" s="1959">
        <f t="shared" si="57"/>
        <v>1.375</v>
      </c>
      <c r="CR26" s="1959">
        <f t="shared" si="58"/>
        <v>0.9</v>
      </c>
      <c r="CS26" s="1959">
        <v>1</v>
      </c>
      <c r="CT26" s="10">
        <f t="shared" si="59"/>
        <v>1.1000000000000001</v>
      </c>
      <c r="CU26" s="10">
        <f t="shared" si="60"/>
        <v>0.9</v>
      </c>
      <c r="CV26" s="10">
        <v>1</v>
      </c>
      <c r="CW26" s="10">
        <f t="shared" si="61"/>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31"/>
        <v>0</v>
      </c>
      <c r="AF27" s="1952">
        <f t="shared" si="32"/>
        <v>0</v>
      </c>
      <c r="AG27" s="1953">
        <f t="shared" si="33"/>
        <v>0</v>
      </c>
      <c r="AH27" s="1954">
        <f t="shared" si="54"/>
        <v>0</v>
      </c>
      <c r="AI27" s="1955">
        <f>IF(ISNA(#REF!),0,SUM(AV27:BA27)*$B$14)</f>
        <v>0</v>
      </c>
      <c r="AJ27" s="1956">
        <f t="shared" si="55"/>
        <v>0</v>
      </c>
      <c r="AK27" s="1957">
        <f t="shared" si="52"/>
        <v>0</v>
      </c>
      <c r="AL27" s="1958">
        <f>Summen_GL!M$109</f>
        <v>0</v>
      </c>
      <c r="AM27" s="1952">
        <f t="shared" si="53"/>
        <v>0</v>
      </c>
      <c r="AO27" s="826">
        <f t="shared" si="34"/>
        <v>0</v>
      </c>
      <c r="AP27" s="826">
        <f t="shared" si="35"/>
        <v>0</v>
      </c>
      <c r="AQ27" s="826">
        <f t="shared" si="36"/>
        <v>0</v>
      </c>
      <c r="AR27" s="826">
        <f t="shared" si="37"/>
        <v>0</v>
      </c>
      <c r="AS27" s="826">
        <f t="shared" si="38"/>
        <v>0</v>
      </c>
      <c r="AT27" s="826">
        <f t="shared" si="39"/>
        <v>0</v>
      </c>
      <c r="AV27" s="826">
        <f t="shared" si="40"/>
        <v>0</v>
      </c>
      <c r="AW27" s="826">
        <f t="shared" si="41"/>
        <v>0</v>
      </c>
      <c r="AX27" s="826">
        <f t="shared" si="42"/>
        <v>0</v>
      </c>
      <c r="AY27" s="826">
        <f t="shared" si="43"/>
        <v>0</v>
      </c>
      <c r="AZ27" s="826">
        <f t="shared" si="44"/>
        <v>0</v>
      </c>
      <c r="BA27" s="826">
        <f t="shared" si="45"/>
        <v>0</v>
      </c>
      <c r="BC27" s="826">
        <f t="shared" si="46"/>
        <v>0</v>
      </c>
      <c r="BD27" s="826">
        <f t="shared" si="47"/>
        <v>0</v>
      </c>
      <c r="BE27" s="826">
        <f t="shared" si="48"/>
        <v>0</v>
      </c>
      <c r="BF27" s="826">
        <f t="shared" si="49"/>
        <v>0</v>
      </c>
      <c r="BG27" s="826">
        <f t="shared" si="50"/>
        <v>0</v>
      </c>
      <c r="BH27" s="826">
        <f t="shared" si="51"/>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56"/>
        <v>1.35</v>
      </c>
      <c r="CP27" s="1959">
        <v>1.5</v>
      </c>
      <c r="CQ27" s="1959">
        <f t="shared" si="57"/>
        <v>1.6500000000000001</v>
      </c>
      <c r="CR27" s="1959">
        <f t="shared" si="58"/>
        <v>1.125</v>
      </c>
      <c r="CS27" s="1959">
        <v>1.25</v>
      </c>
      <c r="CT27" s="10">
        <f t="shared" si="59"/>
        <v>1.375</v>
      </c>
      <c r="CU27" s="10">
        <f t="shared" si="60"/>
        <v>1.125</v>
      </c>
      <c r="CV27" s="10">
        <v>1.25</v>
      </c>
      <c r="CW27" s="10">
        <f t="shared" si="61"/>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31"/>
        <v>0</v>
      </c>
      <c r="AF28" s="1952">
        <f t="shared" si="32"/>
        <v>0</v>
      </c>
      <c r="AG28" s="1953">
        <f t="shared" si="33"/>
        <v>0</v>
      </c>
      <c r="AH28" s="1954">
        <f t="shared" si="54"/>
        <v>0</v>
      </c>
      <c r="AI28" s="1955">
        <f>IF(ISNA(#REF!),0,SUM(AV28:BA28)*$B$14)</f>
        <v>0</v>
      </c>
      <c r="AJ28" s="1956">
        <f t="shared" si="55"/>
        <v>0</v>
      </c>
      <c r="AK28" s="1957">
        <f t="shared" si="52"/>
        <v>0</v>
      </c>
      <c r="AL28" s="1958">
        <f>Summen_GL!N$109</f>
        <v>0</v>
      </c>
      <c r="AM28" s="1952">
        <f t="shared" si="53"/>
        <v>0</v>
      </c>
      <c r="AO28" s="826">
        <f t="shared" si="34"/>
        <v>0</v>
      </c>
      <c r="AP28" s="826">
        <f t="shared" si="35"/>
        <v>0</v>
      </c>
      <c r="AQ28" s="826">
        <f t="shared" si="36"/>
        <v>0</v>
      </c>
      <c r="AR28" s="826">
        <f t="shared" si="37"/>
        <v>0</v>
      </c>
      <c r="AS28" s="826">
        <f t="shared" si="38"/>
        <v>0</v>
      </c>
      <c r="AT28" s="826">
        <f t="shared" si="39"/>
        <v>0</v>
      </c>
      <c r="AV28" s="826">
        <f t="shared" si="40"/>
        <v>0</v>
      </c>
      <c r="AW28" s="826">
        <f t="shared" si="41"/>
        <v>0</v>
      </c>
      <c r="AX28" s="826">
        <f t="shared" si="42"/>
        <v>0</v>
      </c>
      <c r="AY28" s="826">
        <f t="shared" si="43"/>
        <v>0</v>
      </c>
      <c r="AZ28" s="826">
        <f t="shared" si="44"/>
        <v>0</v>
      </c>
      <c r="BA28" s="826">
        <f t="shared" si="45"/>
        <v>0</v>
      </c>
      <c r="BC28" s="826">
        <f t="shared" si="46"/>
        <v>0</v>
      </c>
      <c r="BD28" s="826">
        <f t="shared" si="47"/>
        <v>0</v>
      </c>
      <c r="BE28" s="826">
        <f t="shared" si="48"/>
        <v>0</v>
      </c>
      <c r="BF28" s="826">
        <f t="shared" si="49"/>
        <v>0</v>
      </c>
      <c r="BG28" s="826">
        <f t="shared" si="50"/>
        <v>0</v>
      </c>
      <c r="BH28" s="826">
        <f t="shared" si="51"/>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31"/>
        <v>0</v>
      </c>
      <c r="AF29" s="1952">
        <f t="shared" si="32"/>
        <v>0</v>
      </c>
      <c r="AG29" s="1953">
        <f t="shared" si="33"/>
        <v>0</v>
      </c>
      <c r="AH29" s="1954">
        <f t="shared" si="54"/>
        <v>0</v>
      </c>
      <c r="AI29" s="1955">
        <f>IF(ISNA(C18),0,SUM(AV29:BA29)*$B$14)</f>
        <v>0</v>
      </c>
      <c r="AJ29" s="1956">
        <f t="shared" si="55"/>
        <v>0</v>
      </c>
      <c r="AK29" s="1957">
        <f t="shared" si="52"/>
        <v>0</v>
      </c>
      <c r="AL29" s="1958">
        <f>Summen_GL!O$109</f>
        <v>0</v>
      </c>
      <c r="AM29" s="1952">
        <f t="shared" si="53"/>
        <v>0</v>
      </c>
      <c r="AO29" s="826">
        <f t="shared" si="34"/>
        <v>0</v>
      </c>
      <c r="AP29" s="826">
        <f t="shared" si="35"/>
        <v>0</v>
      </c>
      <c r="AQ29" s="826">
        <f t="shared" si="36"/>
        <v>0</v>
      </c>
      <c r="AR29" s="826">
        <f t="shared" si="37"/>
        <v>0</v>
      </c>
      <c r="AS29" s="826">
        <f t="shared" si="38"/>
        <v>0</v>
      </c>
      <c r="AT29" s="826">
        <f t="shared" si="39"/>
        <v>0</v>
      </c>
      <c r="AV29" s="826">
        <f t="shared" si="40"/>
        <v>0</v>
      </c>
      <c r="AW29" s="826">
        <f t="shared" si="41"/>
        <v>0</v>
      </c>
      <c r="AX29" s="826">
        <f t="shared" si="42"/>
        <v>0</v>
      </c>
      <c r="AY29" s="826">
        <f t="shared" si="43"/>
        <v>0</v>
      </c>
      <c r="AZ29" s="826">
        <f t="shared" si="44"/>
        <v>0</v>
      </c>
      <c r="BA29" s="826">
        <f t="shared" si="45"/>
        <v>0</v>
      </c>
      <c r="BC29" s="826">
        <f t="shared" si="46"/>
        <v>0</v>
      </c>
      <c r="BD29" s="826">
        <f t="shared" si="47"/>
        <v>0</v>
      </c>
      <c r="BE29" s="826">
        <f t="shared" si="48"/>
        <v>0</v>
      </c>
      <c r="BF29" s="826">
        <f t="shared" si="49"/>
        <v>0</v>
      </c>
      <c r="BG29" s="826">
        <f t="shared" si="50"/>
        <v>0</v>
      </c>
      <c r="BH29" s="826">
        <f t="shared" si="51"/>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31"/>
        <v>0</v>
      </c>
      <c r="AF30" s="1952">
        <f t="shared" si="32"/>
        <v>0</v>
      </c>
      <c r="AG30" s="1953">
        <f t="shared" si="33"/>
        <v>0</v>
      </c>
      <c r="AH30" s="1954">
        <f t="shared" si="54"/>
        <v>0</v>
      </c>
      <c r="AI30" s="1955">
        <f>IF(ISNA(B19),0,SUM(AV30:BA30)*$B$14)</f>
        <v>0</v>
      </c>
      <c r="AJ30" s="1956">
        <f t="shared" si="55"/>
        <v>0</v>
      </c>
      <c r="AK30" s="1957">
        <f t="shared" si="52"/>
        <v>0</v>
      </c>
      <c r="AL30" s="1958">
        <f>Summen_GL!P$109</f>
        <v>0</v>
      </c>
      <c r="AM30" s="1952">
        <f t="shared" si="53"/>
        <v>0</v>
      </c>
      <c r="AO30" s="826">
        <f t="shared" si="34"/>
        <v>0</v>
      </c>
      <c r="AP30" s="826">
        <f t="shared" si="35"/>
        <v>0</v>
      </c>
      <c r="AQ30" s="826">
        <f t="shared" si="36"/>
        <v>0</v>
      </c>
      <c r="AR30" s="826">
        <f t="shared" si="37"/>
        <v>0</v>
      </c>
      <c r="AS30" s="826">
        <f t="shared" si="38"/>
        <v>0</v>
      </c>
      <c r="AT30" s="826">
        <f t="shared" si="39"/>
        <v>0</v>
      </c>
      <c r="AV30" s="826">
        <f t="shared" si="40"/>
        <v>0</v>
      </c>
      <c r="AW30" s="826">
        <f t="shared" si="41"/>
        <v>0</v>
      </c>
      <c r="AX30" s="826">
        <f t="shared" si="42"/>
        <v>0</v>
      </c>
      <c r="AY30" s="826">
        <f t="shared" si="43"/>
        <v>0</v>
      </c>
      <c r="AZ30" s="826">
        <f t="shared" si="44"/>
        <v>0</v>
      </c>
      <c r="BA30" s="826">
        <f t="shared" si="45"/>
        <v>0</v>
      </c>
      <c r="BC30" s="826">
        <f t="shared" si="46"/>
        <v>0</v>
      </c>
      <c r="BD30" s="826">
        <f t="shared" si="47"/>
        <v>0</v>
      </c>
      <c r="BE30" s="826">
        <f t="shared" si="48"/>
        <v>0</v>
      </c>
      <c r="BF30" s="826">
        <f t="shared" si="49"/>
        <v>0</v>
      </c>
      <c r="BG30" s="826">
        <f t="shared" si="50"/>
        <v>0</v>
      </c>
      <c r="BH30" s="826">
        <f t="shared" si="51"/>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31"/>
        <v>0</v>
      </c>
      <c r="AF31" s="1952">
        <f t="shared" si="32"/>
        <v>0</v>
      </c>
      <c r="AG31" s="1953">
        <f t="shared" si="33"/>
        <v>0</v>
      </c>
      <c r="AH31" s="1954">
        <f t="shared" si="54"/>
        <v>0</v>
      </c>
      <c r="AI31" s="1955">
        <f>IF(ISNA(B30),0,SUM(AV31:BA31)*$B$14)</f>
        <v>0</v>
      </c>
      <c r="AJ31" s="1956">
        <f t="shared" si="55"/>
        <v>0</v>
      </c>
      <c r="AK31" s="1957">
        <f t="shared" si="52"/>
        <v>0</v>
      </c>
      <c r="AL31" s="1958">
        <f>Summen_GL!Q$109</f>
        <v>0</v>
      </c>
      <c r="AM31" s="1952">
        <f t="shared" si="53"/>
        <v>0</v>
      </c>
      <c r="AO31" s="826">
        <f t="shared" si="34"/>
        <v>0</v>
      </c>
      <c r="AP31" s="826">
        <f t="shared" si="35"/>
        <v>0</v>
      </c>
      <c r="AQ31" s="826">
        <f t="shared" si="36"/>
        <v>0</v>
      </c>
      <c r="AR31" s="826">
        <f t="shared" si="37"/>
        <v>0</v>
      </c>
      <c r="AS31" s="826">
        <f t="shared" si="38"/>
        <v>0</v>
      </c>
      <c r="AT31" s="826">
        <f t="shared" si="39"/>
        <v>0</v>
      </c>
      <c r="AV31" s="826">
        <f t="shared" si="40"/>
        <v>0</v>
      </c>
      <c r="AW31" s="826">
        <f t="shared" si="41"/>
        <v>0</v>
      </c>
      <c r="AX31" s="826">
        <f t="shared" si="42"/>
        <v>0</v>
      </c>
      <c r="AY31" s="826">
        <f t="shared" si="43"/>
        <v>0</v>
      </c>
      <c r="AZ31" s="826">
        <f t="shared" si="44"/>
        <v>0</v>
      </c>
      <c r="BA31" s="826">
        <f t="shared" si="45"/>
        <v>0</v>
      </c>
      <c r="BC31" s="826">
        <f t="shared" si="46"/>
        <v>0</v>
      </c>
      <c r="BD31" s="826">
        <f t="shared" si="47"/>
        <v>0</v>
      </c>
      <c r="BE31" s="826">
        <f t="shared" si="48"/>
        <v>0</v>
      </c>
      <c r="BF31" s="826">
        <f t="shared" si="49"/>
        <v>0</v>
      </c>
      <c r="BG31" s="826">
        <f t="shared" si="50"/>
        <v>0</v>
      </c>
      <c r="BH31" s="826">
        <f t="shared" si="51"/>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62">CO39*0.97</f>
        <v>1.94</v>
      </c>
      <c r="CQ39" s="1959">
        <f t="shared" ref="CQ39:CQ41" si="63">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62"/>
        <v>0.97</v>
      </c>
      <c r="CQ40" s="1959">
        <f t="shared" si="63"/>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62"/>
        <v>0.72750000000000004</v>
      </c>
      <c r="CQ41" s="1959">
        <f t="shared" si="63"/>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A2sjIzi7GI8vmstfnDaMvFDVnXnh1HW8viCPWbw5hZ/kFTF3JjkdlZiVUJDVlOfUbtiiNnwo4xU/PNK2M0XxIQ==" saltValue="mQZ95Kd29elyZlv8VpdN1Q==" spinCount="100000" sheet="1" formatCells="0" formatColumns="0" formatRows="0"/>
  <mergeCells count="75">
    <mergeCell ref="FU12:FX12"/>
    <mergeCell ref="FY12:GB12"/>
    <mergeCell ref="U11:V12"/>
    <mergeCell ref="W11:W12"/>
    <mergeCell ref="CP11:CS11"/>
    <mergeCell ref="CT11:CU11"/>
    <mergeCell ref="FI12:FL12"/>
    <mergeCell ref="FM12:FP12"/>
    <mergeCell ref="FE12:FH12"/>
    <mergeCell ref="AH19:AJ19"/>
    <mergeCell ref="U14:U15"/>
    <mergeCell ref="V14:V15"/>
    <mergeCell ref="W14:W15"/>
    <mergeCell ref="I8:J8"/>
    <mergeCell ref="I12:J12"/>
    <mergeCell ref="K12:L12"/>
    <mergeCell ref="M12:N12"/>
    <mergeCell ref="O12:P12"/>
    <mergeCell ref="C10:I10"/>
    <mergeCell ref="E12:F12"/>
    <mergeCell ref="G12:H12"/>
    <mergeCell ref="AE18:AG18"/>
    <mergeCell ref="HV11:IH11"/>
    <mergeCell ref="N2:O2"/>
    <mergeCell ref="M3:Q3"/>
    <mergeCell ref="C5:D6"/>
    <mergeCell ref="C2:E2"/>
    <mergeCell ref="C3:D3"/>
    <mergeCell ref="P2:Q2"/>
    <mergeCell ref="E5:F5"/>
    <mergeCell ref="G5:H5"/>
    <mergeCell ref="H3:I3"/>
    <mergeCell ref="H2:I2"/>
    <mergeCell ref="I5:J5"/>
    <mergeCell ref="K5:L5"/>
    <mergeCell ref="M5:N5"/>
    <mergeCell ref="O5:P5"/>
    <mergeCell ref="U6:V6"/>
    <mergeCell ref="U4:V5"/>
    <mergeCell ref="CV11:CX11"/>
    <mergeCell ref="CY11:DA11"/>
    <mergeCell ref="DM11:DS11"/>
    <mergeCell ref="CD11:CL11"/>
    <mergeCell ref="HL12:HO12"/>
    <mergeCell ref="DC14:DC16"/>
    <mergeCell ref="DD14:DD16"/>
    <mergeCell ref="IJ11:IV11"/>
    <mergeCell ref="DW12:DZ12"/>
    <mergeCell ref="EA12:ED12"/>
    <mergeCell ref="EE12:EH12"/>
    <mergeCell ref="EJ12:EM12"/>
    <mergeCell ref="EN12:EQ12"/>
    <mergeCell ref="FQ12:FT12"/>
    <mergeCell ref="GH12:GK12"/>
    <mergeCell ref="GL12:GO12"/>
    <mergeCell ref="GP12:GS12"/>
    <mergeCell ref="ER12:EU12"/>
    <mergeCell ref="EW12:EZ12"/>
    <mergeCell ref="FA12:FD12"/>
    <mergeCell ref="R1:S1"/>
    <mergeCell ref="GC12:GF12"/>
    <mergeCell ref="IO12:IR12"/>
    <mergeCell ref="IS12:IV12"/>
    <mergeCell ref="CO23:CQ23"/>
    <mergeCell ref="CR23:CT23"/>
    <mergeCell ref="CU23:CW23"/>
    <mergeCell ref="HP12:HS12"/>
    <mergeCell ref="HW12:HZ12"/>
    <mergeCell ref="IA12:ID12"/>
    <mergeCell ref="IE12:IH12"/>
    <mergeCell ref="IK12:IN12"/>
    <mergeCell ref="GU12:GX12"/>
    <mergeCell ref="GY12:HB12"/>
    <mergeCell ref="HC12:HF12"/>
    <mergeCell ref="HH12:HK12"/>
  </mergeCells>
  <conditionalFormatting sqref="B14 P14:P15 S14">
    <cfRule type="expression" dxfId="1232" priority="62" stopIfTrue="1">
      <formula>#REF!="nein"</formula>
    </cfRule>
  </conditionalFormatting>
  <conditionalFormatting sqref="B39">
    <cfRule type="expression" dxfId="1231" priority="60">
      <formula>#REF!="nein"</formula>
    </cfRule>
  </conditionalFormatting>
  <conditionalFormatting sqref="B41">
    <cfRule type="expression" dxfId="1230" priority="59">
      <formula>$B$13=" "</formula>
    </cfRule>
  </conditionalFormatting>
  <conditionalFormatting sqref="S15">
    <cfRule type="expression" dxfId="1229" priority="56" stopIfTrue="1">
      <formula>#REF!="nein"</formula>
    </cfRule>
  </conditionalFormatting>
  <conditionalFormatting sqref="A12:S15">
    <cfRule type="expression" dxfId="1228" priority="50">
      <formula>IF($G$8="NEIN",1,0)</formula>
    </cfRule>
  </conditionalFormatting>
  <conditionalFormatting sqref="I8:K8">
    <cfRule type="expression" dxfId="1227" priority="49">
      <formula>IF($G$8="NEIN",1,0)</formula>
    </cfRule>
  </conditionalFormatting>
  <conditionalFormatting sqref="B15">
    <cfRule type="expression" dxfId="1226" priority="87">
      <formula>($B$13+B14)&lt;$H$2</formula>
    </cfRule>
  </conditionalFormatting>
  <conditionalFormatting sqref="C10">
    <cfRule type="expression" dxfId="1225" priority="48">
      <formula>IF($G$8="JA",1,0)</formula>
    </cfRule>
  </conditionalFormatting>
  <conditionalFormatting sqref="A14 A15 B15:S15">
    <cfRule type="expression" dxfId="1224" priority="43">
      <formula>IF($K$8="",1,0)</formula>
    </cfRule>
    <cfRule type="expression" dxfId="1223" priority="46">
      <formula>IF($K$8="NEIN",1,0)</formula>
    </cfRule>
  </conditionalFormatting>
  <conditionalFormatting sqref="B14:S14">
    <cfRule type="expression" dxfId="1222" priority="42">
      <formula>IF($K$8="",1,0)</formula>
    </cfRule>
    <cfRule type="expression" dxfId="1221" priority="45">
      <formula>IF($K$8="NEIN",1,0)</formula>
    </cfRule>
  </conditionalFormatting>
  <conditionalFormatting sqref="A10:S15">
    <cfRule type="expression" dxfId="1220" priority="44">
      <formula>IF($G$8="",1,0)</formula>
    </cfRule>
  </conditionalFormatting>
  <conditionalFormatting sqref="B13:S13">
    <cfRule type="expression" dxfId="1219" priority="41">
      <formula>IF($K$8="JA",1,0)</formula>
    </cfRule>
  </conditionalFormatting>
  <conditionalFormatting sqref="B14">
    <cfRule type="expression" dxfId="1218" priority="38">
      <formula>IF($K$8="",1,0)</formula>
    </cfRule>
    <cfRule type="expression" dxfId="1217" priority="39">
      <formula>IF($K$8="NEIN",1,0)</formula>
    </cfRule>
  </conditionalFormatting>
  <conditionalFormatting sqref="S14">
    <cfRule type="expression" dxfId="1216" priority="32">
      <formula>IF($K$8="JA",1,0)</formula>
    </cfRule>
  </conditionalFormatting>
  <conditionalFormatting sqref="S15">
    <cfRule type="expression" dxfId="1215" priority="30">
      <formula>IF($K$8="JA",1,0)</formula>
    </cfRule>
  </conditionalFormatting>
  <conditionalFormatting sqref="U13:W13">
    <cfRule type="expression" dxfId="1214" priority="17">
      <formula>IF($G$8="NEIN",1,0)</formula>
    </cfRule>
    <cfRule type="expression" dxfId="1213" priority="18">
      <formula>IF($G$8="",1,0)</formula>
    </cfRule>
    <cfRule type="expression" dxfId="1212" priority="19">
      <formula>IF($K$8="JA",1,0)</formula>
    </cfRule>
  </conditionalFormatting>
  <conditionalFormatting sqref="U14:V15">
    <cfRule type="expression" dxfId="1211" priority="13">
      <formula>IF($G$8="NEIN",1,0)</formula>
    </cfRule>
    <cfRule type="expression" dxfId="1210" priority="14">
      <formula>IF($K$8="NEIN",1,0)</formula>
    </cfRule>
    <cfRule type="expression" dxfId="1209" priority="15">
      <formula>IF($G$8="",1,0)</formula>
    </cfRule>
    <cfRule type="expression" dxfId="1208" priority="16">
      <formula>IF($K$8="",1,0)</formula>
    </cfRule>
  </conditionalFormatting>
  <conditionalFormatting sqref="U11:W13 U14:V15">
    <cfRule type="expression" dxfId="1207" priority="12">
      <formula>IF($G$8="",1,0)</formula>
    </cfRule>
  </conditionalFormatting>
  <conditionalFormatting sqref="U11:W13">
    <cfRule type="expression" dxfId="1206" priority="11">
      <formula>IF($G$8="NEIN",1,0)</formula>
    </cfRule>
  </conditionalFormatting>
  <conditionalFormatting sqref="W14:W15">
    <cfRule type="expression" dxfId="1205" priority="2">
      <formula>IF($G$8="NEIN",1,0)</formula>
    </cfRule>
    <cfRule type="expression" dxfId="1204" priority="3">
      <formula>IF($K$8="NEIN",1,0)</formula>
    </cfRule>
    <cfRule type="expression" dxfId="1203" priority="4">
      <formula>IF($G$8="",1,0)</formula>
    </cfRule>
    <cfRule type="expression" dxfId="1202" priority="5">
      <formula>IF($K$8="",1,0)</formula>
    </cfRule>
  </conditionalFormatting>
  <conditionalFormatting sqref="W14:W15">
    <cfRule type="expression" dxfId="1201" priority="1">
      <formula>IF($G$8="",1,0)</formula>
    </cfRule>
  </conditionalFormatting>
  <dataValidations count="5">
    <dataValidation type="list" allowBlank="1" showInputMessage="1" showErrorMessage="1" sqref="K13:K15 M13:M15 O13:O15 E13:E15 G13:G15 I13:I15 I37 G37 E37 G39 M37 K37 K41 K39 M41 M39 I41 I39 E41 E39 G41">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Planung!F13" display="◄"/>
    <hyperlink ref="R1:S1" location="S_2!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ignoredErrors>
    <ignoredError sqref="CL13" evalError="1"/>
    <ignoredError sqref="Q13" unlockedFormula="1"/>
  </ignoredErrors>
  <legacyDrawingHF r:id="rId2"/>
  <extLst>
    <ext xmlns:x14="http://schemas.microsoft.com/office/spreadsheetml/2009/9/main" uri="{78C0D931-6437-407d-A8EE-F0AAD7539E65}">
      <x14:conditionalFormattings>
        <x14:conditionalFormatting xmlns:xm="http://schemas.microsoft.com/office/excel/2006/main">
          <x14:cfRule type="iconSet" priority="57" id="{76E74C54-9CD0-40DF-969E-8229B2F9D75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33" id="{492C8A91-4E3E-44AD-936C-A44F9E6936F4}">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31" id="{FAC03541-A122-4221-A8BA-CEA72848B5E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9" id="{51B43E2D-2AC4-4D99-917C-9C64530DDE94}">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6" tint="-0.249977111117893"/>
  </sheetPr>
  <dimension ref="A1:IV102"/>
  <sheetViews>
    <sheetView zoomScale="90" zoomScaleNormal="90" workbookViewId="0">
      <selection activeCell="G8" sqref="G8"/>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4" style="10" customWidth="1"/>
    <col min="21" max="21" width="6.5703125" style="10" hidden="1" customWidth="1"/>
    <col min="22" max="22" width="12" style="10" hidden="1" customWidth="1"/>
    <col min="23" max="23" width="17.42578125" style="10" hidden="1" customWidth="1"/>
    <col min="24" max="24" width="13.7109375" style="10" customWidth="1"/>
    <col min="25" max="26" width="17.855468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4" width="15.5703125" style="10" hidden="1" customWidth="1"/>
    <col min="85" max="85" width="21.85546875" style="10" hidden="1" customWidth="1"/>
    <col min="86" max="234" width="9.42578125" style="10" hidden="1" customWidth="1"/>
    <col min="235" max="256" width="12.7109375" style="10" hidden="1" customWidth="1"/>
    <col min="257" max="257" width="0" style="10" hidden="1" customWidth="1"/>
    <col min="258" max="16384" width="12.7109375" style="10"/>
  </cols>
  <sheetData>
    <row r="1" spans="1:256" s="760" customFormat="1" ht="26.25" customHeight="1" thickBot="1">
      <c r="A1" s="1805" t="s">
        <v>1003</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1854"/>
      <c r="BL1" s="1854"/>
      <c r="BM1" s="1854"/>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f>Grünland!C6</f>
        <v>0</v>
      </c>
      <c r="D2" s="2626"/>
      <c r="E2" s="2627"/>
      <c r="F2" s="818"/>
      <c r="G2" s="1800" t="s">
        <v>1002</v>
      </c>
      <c r="H2" s="2635">
        <f>Grünland!D6</f>
        <v>0</v>
      </c>
      <c r="I2" s="2636"/>
      <c r="J2" s="818"/>
      <c r="K2" s="1801" t="s">
        <v>863</v>
      </c>
      <c r="L2" s="1800" t="s">
        <v>679</v>
      </c>
      <c r="M2" s="1040">
        <f>Grünland!H6</f>
        <v>0</v>
      </c>
      <c r="N2" s="2616" t="s">
        <v>1049</v>
      </c>
      <c r="O2" s="2617"/>
      <c r="P2" s="2653">
        <f>Grünland!J6</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1854"/>
      <c r="BL2" s="1854"/>
      <c r="BM2" s="1854"/>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Grünland!G6</f>
        <v>0</v>
      </c>
      <c r="F3" s="818"/>
      <c r="G3" s="1044" t="s">
        <v>1048</v>
      </c>
      <c r="H3" s="2633">
        <f>Grünland!E6</f>
        <v>0</v>
      </c>
      <c r="I3" s="2634"/>
      <c r="J3" s="818"/>
      <c r="K3" s="818"/>
      <c r="L3" s="1050" t="s">
        <v>1050</v>
      </c>
      <c r="M3" s="2618">
        <f>Grünland!F6</f>
        <v>0</v>
      </c>
      <c r="N3" s="2619"/>
      <c r="O3" s="2619"/>
      <c r="P3" s="2619"/>
      <c r="Q3" s="2620"/>
      <c r="R3" s="1859" t="str">
        <f>Grünland!AH6</f>
        <v>normal</v>
      </c>
      <c r="S3" s="1859" t="str">
        <f>Grünland!AI6</f>
        <v>bis 2,5 km</v>
      </c>
      <c r="T3" s="1859"/>
      <c r="U3" s="819"/>
      <c r="V3" s="819"/>
      <c r="W3" s="819"/>
      <c r="X3" s="819"/>
      <c r="Y3" s="819"/>
      <c r="Z3" s="819"/>
      <c r="AA3" s="835"/>
      <c r="AB3" s="1852"/>
      <c r="AC3" s="1852"/>
      <c r="AE3" s="1860">
        <f>Grünland!AP6</f>
        <v>0</v>
      </c>
      <c r="AF3" s="1861">
        <f>Grünland!AQ6</f>
        <v>0</v>
      </c>
      <c r="AG3" s="1862">
        <f>(Grünland!AR6+Grünland!AS6)</f>
        <v>0</v>
      </c>
      <c r="AH3" s="1863">
        <f>Grünland!AT6</f>
        <v>0</v>
      </c>
      <c r="AI3" s="1860">
        <f>Grünland!AU6</f>
        <v>0</v>
      </c>
      <c r="AJ3" s="1860">
        <f>Grünland!AV6</f>
        <v>0</v>
      </c>
      <c r="AK3" s="1860">
        <f>Grünland!AW6</f>
        <v>0</v>
      </c>
      <c r="AL3" s="1860">
        <v>0</v>
      </c>
      <c r="AM3" s="1860">
        <v>0</v>
      </c>
      <c r="BK3" s="1854"/>
      <c r="BL3" s="1854"/>
      <c r="BM3" s="1854"/>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1854"/>
      <c r="BL4" s="1854"/>
      <c r="BM4" s="1854"/>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BK5" s="1854"/>
      <c r="BL5" s="1854"/>
      <c r="BM5" s="1854"/>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Grünland!R6</f>
        <v>0</v>
      </c>
      <c r="F6" s="997">
        <f>Grünland!S6</f>
        <v>0</v>
      </c>
      <c r="G6" s="996">
        <f>Grünland!T6</f>
        <v>0</v>
      </c>
      <c r="H6" s="997">
        <f>Grünland!U6</f>
        <v>0</v>
      </c>
      <c r="I6" s="996">
        <f>Grünland!V6</f>
        <v>0</v>
      </c>
      <c r="J6" s="997">
        <f>Grünland!W6</f>
        <v>0</v>
      </c>
      <c r="K6" s="996">
        <f>Grünland!X6</f>
        <v>0</v>
      </c>
      <c r="L6" s="997">
        <f>Grünland!Y6</f>
        <v>0</v>
      </c>
      <c r="M6" s="996">
        <f>Grünland!Z6</f>
        <v>0</v>
      </c>
      <c r="N6" s="997">
        <f>Grünland!AA6</f>
        <v>0</v>
      </c>
      <c r="O6" s="996">
        <f>Grünland!AB6</f>
        <v>0</v>
      </c>
      <c r="P6" s="997">
        <f>Grünland!AC6</f>
        <v>0</v>
      </c>
      <c r="Q6" s="818"/>
      <c r="R6" s="827">
        <f>Grünland!L6</f>
        <v>0</v>
      </c>
      <c r="S6" s="1111">
        <f>Grünland!M6</f>
        <v>0</v>
      </c>
      <c r="T6" s="819"/>
      <c r="U6" s="2637">
        <f>Grünland!AL6</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1854"/>
      <c r="BL6" s="1854"/>
      <c r="BM6" s="1854"/>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1854"/>
      <c r="BL7" s="1854"/>
      <c r="BM7" s="1854"/>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1854"/>
      <c r="BL8" s="1854"/>
      <c r="BM8" s="1854"/>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1854"/>
      <c r="BL9" s="1854"/>
      <c r="BM9" s="1854"/>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1854"/>
      <c r="BL10" s="1854"/>
      <c r="BM10" s="1854"/>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1854"/>
      <c r="BL11" s="1854"/>
      <c r="BM11" s="1854"/>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1889"/>
      <c r="BL12" s="1889"/>
      <c r="BM12" s="188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reduzieren",C13="unverändert"),Grünland!$H$6,S_2!AB13)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1889"/>
      <c r="BL13" s="1889"/>
      <c r="BM13" s="188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Grünland!AH$6</f>
        <v>normal</v>
      </c>
      <c r="CO13" s="1882" t="str">
        <f>Grünland!AI$6</f>
        <v>bis 2,5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reduzieren",C14="unverändert"),Grünland!$H$6,S_2!AB14)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1889"/>
      <c r="BL14" s="1889"/>
      <c r="BM14" s="188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t="str">
        <f>Grünland!AH$6</f>
        <v>normal</v>
      </c>
      <c r="CO14" s="1882" t="str">
        <f>Grünland!AI$6</f>
        <v>bis 2,5 km</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reduzieren",C15="unverändert"),Grünland!$H$6,S_2!AB15)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1889"/>
      <c r="BL15" s="1889"/>
      <c r="BM15" s="188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t="str">
        <f>Grünland!AH$6</f>
        <v>normal</v>
      </c>
      <c r="CO15" s="1882" t="str">
        <f>Grünland!AI$6</f>
        <v>bis 2,5 km</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1889"/>
      <c r="BL16" s="1889"/>
      <c r="BM16" s="188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1889"/>
      <c r="BL17" s="1889"/>
      <c r="BM17" s="1889"/>
      <c r="BN17" s="1889"/>
      <c r="BO17" s="1889"/>
      <c r="BP17" s="1889"/>
      <c r="BQ17" s="1889"/>
      <c r="BR17" s="1889"/>
      <c r="BS17" s="1889"/>
      <c r="BT17" s="1889"/>
      <c r="BU17" s="1889"/>
      <c r="BV17" s="1889"/>
      <c r="BW17" s="1889"/>
      <c r="BX17" s="1889"/>
      <c r="BY17" s="1889"/>
      <c r="BZ17" s="1889"/>
      <c r="CA17" s="1889"/>
      <c r="CB17" s="1889"/>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1889"/>
      <c r="BL18" s="1889"/>
      <c r="BM18" s="1889"/>
      <c r="BN18" s="1889"/>
      <c r="BO18" s="1889"/>
      <c r="BP18" s="1889"/>
      <c r="BQ18" s="1889"/>
      <c r="BR18" s="1889"/>
      <c r="BS18" s="1889"/>
      <c r="BT18" s="1889"/>
      <c r="BU18" s="1889"/>
      <c r="BV18" s="1889"/>
      <c r="BW18" s="1889"/>
      <c r="BX18" s="1889"/>
      <c r="BY18" s="1889"/>
      <c r="BZ18" s="1889"/>
      <c r="CA18" s="1889"/>
      <c r="CB18" s="1889"/>
    </row>
    <row r="19" spans="1:111" s="1852" customFormat="1" ht="30.75" customHeight="1">
      <c r="A19" s="819"/>
      <c r="B19" s="819"/>
      <c r="C19" s="1599" t="s">
        <v>1047</v>
      </c>
      <c r="D19" s="1600"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1889"/>
      <c r="BL19" s="1889"/>
      <c r="BM19" s="188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Summen_GL!F$110</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1889"/>
      <c r="BL20" s="1889"/>
      <c r="BM20" s="188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Summen_GL!G$110</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1889"/>
      <c r="BL21" s="1889"/>
      <c r="BM21" s="188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Summen_GL!H$110</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1889"/>
      <c r="BL22" s="1889"/>
      <c r="BM22" s="188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Summen_GL!I$110</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1889"/>
      <c r="BL23" s="1889"/>
      <c r="BM23" s="188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Summen_GL!J$110</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1889"/>
      <c r="BL24" s="1889"/>
      <c r="BM24" s="188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Summen_GL!K$110</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1889"/>
      <c r="BL25" s="1889"/>
      <c r="BM25" s="188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Summen_GL!L$110</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1889"/>
      <c r="BL26" s="1889"/>
      <c r="BM26" s="188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Summen_GL!M$110</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1889"/>
      <c r="BL27" s="1889"/>
      <c r="BM27" s="188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Summen_GL!N$110</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1889"/>
      <c r="BL28" s="1889"/>
      <c r="BM28" s="188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Summen_GL!O$110</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1889"/>
      <c r="BL29" s="1889"/>
      <c r="BM29" s="188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Summen_GL!P$110</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1889"/>
      <c r="BL30" s="1889"/>
      <c r="BM30" s="188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Summen_GL!Q$110</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1889"/>
      <c r="BL31" s="1889"/>
      <c r="BM31" s="188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1889"/>
      <c r="BL32" s="1889"/>
      <c r="BM32" s="188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1889"/>
      <c r="BL33" s="1889"/>
      <c r="BM33" s="1889"/>
      <c r="BN33" s="1889"/>
      <c r="BO33" s="1889"/>
      <c r="BP33" s="1889"/>
      <c r="BQ33" s="1889"/>
      <c r="BR33" s="1889"/>
      <c r="BS33" s="1889"/>
      <c r="BT33" s="1889"/>
      <c r="BU33" s="1889"/>
      <c r="BV33" s="1889"/>
      <c r="BW33" s="1889"/>
      <c r="BX33" s="1889"/>
      <c r="BY33" s="1889"/>
      <c r="BZ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1889"/>
      <c r="BL34" s="1889"/>
      <c r="BM34" s="1889"/>
      <c r="BN34" s="1889"/>
      <c r="BO34" s="1889"/>
      <c r="BP34" s="1889"/>
      <c r="BQ34" s="1889"/>
      <c r="BR34" s="1889"/>
      <c r="BS34" s="1889"/>
      <c r="BT34" s="1889"/>
      <c r="BU34" s="1889"/>
      <c r="BV34" s="1889"/>
      <c r="BW34" s="1889"/>
      <c r="BX34" s="1889"/>
      <c r="BY34" s="1889"/>
      <c r="BZ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abwFxqnRzQp57vQw6pwHBruCT1QOdK6IzaH1Xf5FtVMZ67GHvJMjg/87qeO4WDDKYYclsrCoUdYIcf8TEXoO9Q==" saltValue="KO/odfO4NPzRaxoDNelKWg==" spinCount="100000" sheet="1" formatCells="0" formatColumns="0" formatRows="0"/>
  <mergeCells count="76">
    <mergeCell ref="W14:W15"/>
    <mergeCell ref="IO12:IR12"/>
    <mergeCell ref="IS12:IV12"/>
    <mergeCell ref="DC14:DC16"/>
    <mergeCell ref="DD14:DD16"/>
    <mergeCell ref="HP12:HS12"/>
    <mergeCell ref="HW12:HZ12"/>
    <mergeCell ref="IA12:ID12"/>
    <mergeCell ref="IE12:IH12"/>
    <mergeCell ref="IK12:IN12"/>
    <mergeCell ref="GL12:GO12"/>
    <mergeCell ref="GP12:GS12"/>
    <mergeCell ref="GH12:GK12"/>
    <mergeCell ref="GU12:GX12"/>
    <mergeCell ref="GY12:HB12"/>
    <mergeCell ref="W11:W12"/>
    <mergeCell ref="HV11:IH11"/>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HH12:HK12"/>
    <mergeCell ref="HL12:HO12"/>
    <mergeCell ref="DM11:DS11"/>
    <mergeCell ref="CD11:CL11"/>
    <mergeCell ref="CP11:CS11"/>
    <mergeCell ref="CT11:CU11"/>
    <mergeCell ref="CV11:CX11"/>
    <mergeCell ref="CY11:DA11"/>
    <mergeCell ref="HC12:HF12"/>
    <mergeCell ref="CO23:CQ23"/>
    <mergeCell ref="CR23:CT23"/>
    <mergeCell ref="CU23:CW23"/>
    <mergeCell ref="FY12:GB12"/>
    <mergeCell ref="GC12:GF12"/>
    <mergeCell ref="FU12:FX12"/>
    <mergeCell ref="U14:U15"/>
    <mergeCell ref="P2:Q2"/>
    <mergeCell ref="C3:D3"/>
    <mergeCell ref="H3:I3"/>
    <mergeCell ref="M3:Q3"/>
    <mergeCell ref="I5:J5"/>
    <mergeCell ref="K5:L5"/>
    <mergeCell ref="M5:N5"/>
    <mergeCell ref="C2:E2"/>
    <mergeCell ref="H2:I2"/>
    <mergeCell ref="N2:O2"/>
    <mergeCell ref="U4:V5"/>
    <mergeCell ref="U6:V6"/>
    <mergeCell ref="U11:V12"/>
    <mergeCell ref="V14:V15"/>
    <mergeCell ref="R1:S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s>
  <conditionalFormatting sqref="B39">
    <cfRule type="expression" dxfId="1200" priority="75">
      <formula>#REF!="nein"</formula>
    </cfRule>
  </conditionalFormatting>
  <conditionalFormatting sqref="B41">
    <cfRule type="expression" dxfId="1199" priority="74">
      <formula>$B$13=" "</formula>
    </cfRule>
  </conditionalFormatting>
  <conditionalFormatting sqref="B14 P14:P15">
    <cfRule type="expression" dxfId="1198" priority="59" stopIfTrue="1">
      <formula>#REF!="nein"</formula>
    </cfRule>
  </conditionalFormatting>
  <conditionalFormatting sqref="A12:S12 A13:R15">
    <cfRule type="expression" dxfId="1197" priority="56">
      <formula>IF($G$8="NEIN",1,0)</formula>
    </cfRule>
  </conditionalFormatting>
  <conditionalFormatting sqref="I8:K8">
    <cfRule type="expression" dxfId="1196" priority="55">
      <formula>IF($G$8="NEIN",1,0)</formula>
    </cfRule>
  </conditionalFormatting>
  <conditionalFormatting sqref="B15">
    <cfRule type="expression" dxfId="1195" priority="60">
      <formula>($B$13+B14)&lt;$H$2</formula>
    </cfRule>
  </conditionalFormatting>
  <conditionalFormatting sqref="C10">
    <cfRule type="expression" dxfId="1194" priority="54">
      <formula>IF($G$8="JA",1,0)</formula>
    </cfRule>
  </conditionalFormatting>
  <conditionalFormatting sqref="A14 A15:R15">
    <cfRule type="expression" dxfId="1193" priority="50">
      <formula>IF($K$8="",1,0)</formula>
    </cfRule>
    <cfRule type="expression" dxfId="1192" priority="53">
      <formula>IF($K$8="NEIN",1,0)</formula>
    </cfRule>
  </conditionalFormatting>
  <conditionalFormatting sqref="B14:R14">
    <cfRule type="expression" dxfId="1191" priority="49">
      <formula>IF($K$8="",1,0)</formula>
    </cfRule>
    <cfRule type="expression" dxfId="1190" priority="52">
      <formula>IF($K$8="NEIN",1,0)</formula>
    </cfRule>
  </conditionalFormatting>
  <conditionalFormatting sqref="A10:S12 A13:R15">
    <cfRule type="expression" dxfId="1189" priority="51">
      <formula>IF($G$8="",1,0)</formula>
    </cfRule>
  </conditionalFormatting>
  <conditionalFormatting sqref="B13:R13">
    <cfRule type="expression" dxfId="1188" priority="48">
      <formula>IF($K$8="JA",1,0)</formula>
    </cfRule>
  </conditionalFormatting>
  <conditionalFormatting sqref="B14">
    <cfRule type="expression" dxfId="1187" priority="46">
      <formula>IF($K$8="",1,0)</formula>
    </cfRule>
    <cfRule type="expression" dxfId="1186" priority="47">
      <formula>IF($K$8="NEIN",1,0)</formula>
    </cfRule>
  </conditionalFormatting>
  <conditionalFormatting sqref="S14">
    <cfRule type="expression" dxfId="1185" priority="44" stopIfTrue="1">
      <formula>#REF!="nein"</formula>
    </cfRule>
  </conditionalFormatting>
  <conditionalFormatting sqref="S15">
    <cfRule type="expression" dxfId="1184" priority="43" stopIfTrue="1">
      <formula>#REF!="nein"</formula>
    </cfRule>
  </conditionalFormatting>
  <conditionalFormatting sqref="S13:S15">
    <cfRule type="expression" dxfId="1183" priority="42">
      <formula>IF($G$8="NEIN",1,0)</formula>
    </cfRule>
  </conditionalFormatting>
  <conditionalFormatting sqref="S15">
    <cfRule type="expression" dxfId="1182" priority="38">
      <formula>IF($K$8="",1,0)</formula>
    </cfRule>
    <cfRule type="expression" dxfId="1181" priority="41">
      <formula>IF($K$8="NEIN",1,0)</formula>
    </cfRule>
  </conditionalFormatting>
  <conditionalFormatting sqref="S14">
    <cfRule type="expression" dxfId="1180" priority="37">
      <formula>IF($K$8="",1,0)</formula>
    </cfRule>
    <cfRule type="expression" dxfId="1179" priority="40">
      <formula>IF($K$8="NEIN",1,0)</formula>
    </cfRule>
  </conditionalFormatting>
  <conditionalFormatting sqref="S13:S15">
    <cfRule type="expression" dxfId="1178" priority="39">
      <formula>IF($G$8="",1,0)</formula>
    </cfRule>
  </conditionalFormatting>
  <conditionalFormatting sqref="S13">
    <cfRule type="expression" dxfId="1177" priority="36">
      <formula>IF($K$8="JA",1,0)</formula>
    </cfRule>
  </conditionalFormatting>
  <conditionalFormatting sqref="S14">
    <cfRule type="expression" dxfId="1176" priority="34">
      <formula>IF($K$8="JA",1,0)</formula>
    </cfRule>
  </conditionalFormatting>
  <conditionalFormatting sqref="S15">
    <cfRule type="expression" dxfId="1175" priority="32">
      <formula>IF($K$8="JA",1,0)</formula>
    </cfRule>
  </conditionalFormatting>
  <conditionalFormatting sqref="U13:W13">
    <cfRule type="expression" dxfId="1174" priority="28">
      <formula>IF($G$8="NEIN",1,0)</formula>
    </cfRule>
    <cfRule type="expression" dxfId="1173" priority="29">
      <formula>IF($G$8="",1,0)</formula>
    </cfRule>
    <cfRule type="expression" dxfId="1172" priority="30">
      <formula>IF($K$8="JA",1,0)</formula>
    </cfRule>
  </conditionalFormatting>
  <conditionalFormatting sqref="U11:W13">
    <cfRule type="expression" dxfId="1171" priority="27">
      <formula>IF($G$8="",1,0)</formula>
    </cfRule>
  </conditionalFormatting>
  <conditionalFormatting sqref="U11:W13">
    <cfRule type="expression" dxfId="1170" priority="26">
      <formula>IF($G$8="NEIN",1,0)</formula>
    </cfRule>
  </conditionalFormatting>
  <conditionalFormatting sqref="U14:V15">
    <cfRule type="expression" dxfId="1169" priority="7">
      <formula>IF($G$8="NEIN",1,0)</formula>
    </cfRule>
    <cfRule type="expression" dxfId="1168" priority="8">
      <formula>IF($K$8="NEIN",1,0)</formula>
    </cfRule>
    <cfRule type="expression" dxfId="1167" priority="9">
      <formula>IF($G$8="",1,0)</formula>
    </cfRule>
    <cfRule type="expression" dxfId="1166" priority="10">
      <formula>IF($K$8="",1,0)</formula>
    </cfRule>
  </conditionalFormatting>
  <conditionalFormatting sqref="U14:V15">
    <cfRule type="expression" dxfId="1165" priority="6">
      <formula>IF($G$8="",1,0)</formula>
    </cfRule>
  </conditionalFormatting>
  <conditionalFormatting sqref="W14:W15">
    <cfRule type="expression" dxfId="1164" priority="2">
      <formula>IF($G$8="NEIN",1,0)</formula>
    </cfRule>
    <cfRule type="expression" dxfId="1163" priority="3">
      <formula>IF($K$8="NEIN",1,0)</formula>
    </cfRule>
    <cfRule type="expression" dxfId="1162" priority="4">
      <formula>IF($G$8="",1,0)</formula>
    </cfRule>
    <cfRule type="expression" dxfId="1161" priority="5">
      <formula>IF($K$8="",1,0)</formula>
    </cfRule>
  </conditionalFormatting>
  <conditionalFormatting sqref="W14:W15">
    <cfRule type="expression" dxfId="1160"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M39 I41 I39 E41 E39 G41 I37 G37 E37 G39 M37 K37 K41 K39 M41 K13:K15 M13:M15 O13:O15 E13:E15 G13:G15 I13:I15">
      <formula1>meine_Dünger</formula1>
    </dataValidation>
  </dataValidations>
  <hyperlinks>
    <hyperlink ref="C10" location="S_2!A1" display="Keine Bewirtschaftungsänderung - Weiter zum nächsten Feldstück"/>
    <hyperlink ref="Q1" location="S_1!F13" display="◄"/>
    <hyperlink ref="R1:S1" location="S_3!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8" id="{9D580EE4-0346-4830-A27D-59E655BA69F2}">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35" id="{3FF8A60A-D522-4A59-81E7-B0AD71773118}">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33" id="{4DAE9EF8-F42E-4F0E-B2A2-EB5DC25D3926}">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31" id="{CBF9F68C-8CD8-41E0-BB74-4822CAE1108C}">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6" tint="-0.249977111117893"/>
  </sheetPr>
  <dimension ref="A1:IV102"/>
  <sheetViews>
    <sheetView zoomScale="90" zoomScaleNormal="90" workbookViewId="0">
      <selection activeCell="G8" sqref="G8"/>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4"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1053</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f>Grünland!C7</f>
        <v>0</v>
      </c>
      <c r="D2" s="2626"/>
      <c r="E2" s="2627"/>
      <c r="F2" s="818"/>
      <c r="G2" s="1800" t="s">
        <v>1002</v>
      </c>
      <c r="H2" s="2635">
        <f>Grünland!D7</f>
        <v>0</v>
      </c>
      <c r="I2" s="2636"/>
      <c r="J2" s="818"/>
      <c r="K2" s="1801" t="s">
        <v>863</v>
      </c>
      <c r="L2" s="1800" t="s">
        <v>679</v>
      </c>
      <c r="M2" s="1040">
        <f>Grünland!H7</f>
        <v>0</v>
      </c>
      <c r="N2" s="2616" t="s">
        <v>1049</v>
      </c>
      <c r="O2" s="2617"/>
      <c r="P2" s="2653">
        <f>Grünland!J7</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Grünland!G7</f>
        <v>0</v>
      </c>
      <c r="F3" s="818"/>
      <c r="G3" s="1044" t="s">
        <v>1048</v>
      </c>
      <c r="H3" s="2633">
        <f>Grünland!E7</f>
        <v>0</v>
      </c>
      <c r="I3" s="2634"/>
      <c r="J3" s="818"/>
      <c r="K3" s="818"/>
      <c r="L3" s="1050" t="s">
        <v>1050</v>
      </c>
      <c r="M3" s="2618">
        <f>Grünland!F7</f>
        <v>0</v>
      </c>
      <c r="N3" s="2619"/>
      <c r="O3" s="2619"/>
      <c r="P3" s="2619"/>
      <c r="Q3" s="2620"/>
      <c r="R3" s="1859" t="str">
        <f>Grünland!AH7</f>
        <v>ungünstig</v>
      </c>
      <c r="S3" s="1859" t="str">
        <f>Grünland!AI7</f>
        <v>bis 2,5 km</v>
      </c>
      <c r="T3" s="1859"/>
      <c r="U3" s="819"/>
      <c r="V3" s="819"/>
      <c r="W3" s="819"/>
      <c r="X3" s="819"/>
      <c r="Y3" s="819"/>
      <c r="Z3" s="819"/>
      <c r="AA3" s="835"/>
      <c r="AB3" s="1852"/>
      <c r="AC3" s="1852"/>
      <c r="AE3" s="1860">
        <f>Grünland!AP7</f>
        <v>0</v>
      </c>
      <c r="AF3" s="1861">
        <f>Grünland!AQ7</f>
        <v>0</v>
      </c>
      <c r="AG3" s="1862">
        <f>(Grünland!AR7+Grünland!AS7)</f>
        <v>0</v>
      </c>
      <c r="AH3" s="1863">
        <f>Grünland!AT7</f>
        <v>0</v>
      </c>
      <c r="AI3" s="1860">
        <f>Grünland!AU7</f>
        <v>0</v>
      </c>
      <c r="AJ3" s="1860">
        <f>Grünland!AV7</f>
        <v>0</v>
      </c>
      <c r="AK3" s="1860">
        <f>Grünland!AW7</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Grünland!R7</f>
        <v>0</v>
      </c>
      <c r="F6" s="997">
        <f>Grünland!S7</f>
        <v>0</v>
      </c>
      <c r="G6" s="996">
        <f>Grünland!T7</f>
        <v>0</v>
      </c>
      <c r="H6" s="997">
        <f>Grünland!U7</f>
        <v>0</v>
      </c>
      <c r="I6" s="996">
        <f>Grünland!V7</f>
        <v>0</v>
      </c>
      <c r="J6" s="997">
        <f>Grünland!W7</f>
        <v>0</v>
      </c>
      <c r="K6" s="996">
        <f>Grünland!X7</f>
        <v>0</v>
      </c>
      <c r="L6" s="997">
        <f>Grünland!Y7</f>
        <v>0</v>
      </c>
      <c r="M6" s="996">
        <f>Grünland!Z7</f>
        <v>0</v>
      </c>
      <c r="N6" s="997">
        <f>Grünland!AA7</f>
        <v>0</v>
      </c>
      <c r="O6" s="996">
        <f>Grünland!AB7</f>
        <v>0</v>
      </c>
      <c r="P6" s="997">
        <f>Grünland!AC7</f>
        <v>0</v>
      </c>
      <c r="Q6" s="818"/>
      <c r="R6" s="827">
        <f>Grünland!L7</f>
        <v>0</v>
      </c>
      <c r="S6" s="1111">
        <f>Grünland!M7</f>
        <v>0</v>
      </c>
      <c r="T6" s="819"/>
      <c r="U6" s="2637">
        <f>Grünland!AL7</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reduzieren",C13="unverändert"),Grünland!$H$7,S_3!AB13)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Grünland!AH$7</f>
        <v>ungünstig</v>
      </c>
      <c r="CO13" s="1882" t="str">
        <f>Grünland!AI$7</f>
        <v>bis 2,5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reduzieren",C14="unverändert"),Grünland!$H$7,S_3!AB14)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t="str">
        <f>Grünland!AH$7</f>
        <v>ungünstig</v>
      </c>
      <c r="CO14" s="1882" t="str">
        <f>Grünland!AI$7</f>
        <v>bis 2,5 km</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reduzieren",C15="unverändert"),Grünland!$H$7,S_3!AB15)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t="str">
        <f>Grünland!AH$7</f>
        <v>ungünstig</v>
      </c>
      <c r="CO15" s="1882" t="str">
        <f>Grünland!AI$7</f>
        <v>bis 2,5 km</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1.7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29.25" customHeight="1">
      <c r="A19" s="819"/>
      <c r="B19" s="819"/>
      <c r="C19" s="1599" t="s">
        <v>1047</v>
      </c>
      <c r="D19" s="1600"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1605"/>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Summen_GL!F$111</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Summen_GL!G$111</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Summen_GL!H$111</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Summen_GL!I$111</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Summen_GL!J$111</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Summen_GL!K$111</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Summen_GL!L$111</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Summen_GL!M$111</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Summen_GL!N$111</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Summen_GL!O$111</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Summen_GL!P$111</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Summen_GL!Q$111</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1788"/>
      <c r="P32" s="1788"/>
      <c r="Q32" s="1788"/>
      <c r="R32" s="1788"/>
      <c r="S32" s="1788"/>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mMp80+Nn0hh0ovoN45yW4/rInkd8oCDzgH5spRkcTOh75/sUACN020CKtL3JizTzrbK+qr7sQC/lcu0IxhMNrw==" saltValue="cVTeawntvl6kPLT94pJmmw=="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U4:V5"/>
    <mergeCell ref="P2:Q2"/>
    <mergeCell ref="C3:D3"/>
    <mergeCell ref="H3:I3"/>
    <mergeCell ref="M3:Q3"/>
    <mergeCell ref="I5:J5"/>
    <mergeCell ref="K5:L5"/>
    <mergeCell ref="M5:N5"/>
    <mergeCell ref="C2:E2"/>
    <mergeCell ref="H2:I2"/>
    <mergeCell ref="N2:O2"/>
    <mergeCell ref="R1:S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s>
  <conditionalFormatting sqref="B14 P14:P15">
    <cfRule type="expression" dxfId="1159" priority="53" stopIfTrue="1">
      <formula>#REF!="nein"</formula>
    </cfRule>
  </conditionalFormatting>
  <conditionalFormatting sqref="B39">
    <cfRule type="expression" dxfId="1158" priority="52">
      <formula>#REF!="nein"</formula>
    </cfRule>
  </conditionalFormatting>
  <conditionalFormatting sqref="B41">
    <cfRule type="expression" dxfId="1157" priority="51">
      <formula>$B$13=" "</formula>
    </cfRule>
  </conditionalFormatting>
  <conditionalFormatting sqref="A12:S12 A14:R15 A13 C13:R13">
    <cfRule type="expression" dxfId="1156" priority="48">
      <formula>IF($G$8="NEIN",1,0)</formula>
    </cfRule>
  </conditionalFormatting>
  <conditionalFormatting sqref="I8:K8">
    <cfRule type="expression" dxfId="1155" priority="47">
      <formula>IF($G$8="NEIN",1,0)</formula>
    </cfRule>
  </conditionalFormatting>
  <conditionalFormatting sqref="B15">
    <cfRule type="expression" dxfId="1154" priority="54">
      <formula>($B$13+B14)&lt;$H$2</formula>
    </cfRule>
  </conditionalFormatting>
  <conditionalFormatting sqref="C10">
    <cfRule type="expression" dxfId="1153" priority="46">
      <formula>IF($G$8="JA",1,0)</formula>
    </cfRule>
  </conditionalFormatting>
  <conditionalFormatting sqref="A14 A15:R15">
    <cfRule type="expression" dxfId="1152" priority="42">
      <formula>IF($K$8="",1,0)</formula>
    </cfRule>
    <cfRule type="expression" dxfId="1151" priority="45">
      <formula>IF($K$8="NEIN",1,0)</formula>
    </cfRule>
  </conditionalFormatting>
  <conditionalFormatting sqref="B14:R14">
    <cfRule type="expression" dxfId="1150" priority="41">
      <formula>IF($K$8="",1,0)</formula>
    </cfRule>
    <cfRule type="expression" dxfId="1149" priority="44">
      <formula>IF($K$8="NEIN",1,0)</formula>
    </cfRule>
  </conditionalFormatting>
  <conditionalFormatting sqref="A10:S12 A14:R15 A13 C13:R13">
    <cfRule type="expression" dxfId="1148" priority="43">
      <formula>IF($G$8="",1,0)</formula>
    </cfRule>
  </conditionalFormatting>
  <conditionalFormatting sqref="C13:R13">
    <cfRule type="expression" dxfId="1147" priority="40">
      <formula>IF($K$8="JA",1,0)</formula>
    </cfRule>
  </conditionalFormatting>
  <conditionalFormatting sqref="B14">
    <cfRule type="expression" dxfId="1146" priority="38">
      <formula>IF($K$8="",1,0)</formula>
    </cfRule>
    <cfRule type="expression" dxfId="1145" priority="39">
      <formula>IF($K$8="NEIN",1,0)</formula>
    </cfRule>
  </conditionalFormatting>
  <conditionalFormatting sqref="S14">
    <cfRule type="expression" dxfId="1144" priority="37" stopIfTrue="1">
      <formula>#REF!="nein"</formula>
    </cfRule>
  </conditionalFormatting>
  <conditionalFormatting sqref="S15">
    <cfRule type="expression" dxfId="1143" priority="36" stopIfTrue="1">
      <formula>#REF!="nein"</formula>
    </cfRule>
  </conditionalFormatting>
  <conditionalFormatting sqref="S13:S15">
    <cfRule type="expression" dxfId="1142" priority="35">
      <formula>IF($G$8="NEIN",1,0)</formula>
    </cfRule>
  </conditionalFormatting>
  <conditionalFormatting sqref="S15">
    <cfRule type="expression" dxfId="1141" priority="31">
      <formula>IF($K$8="",1,0)</formula>
    </cfRule>
    <cfRule type="expression" dxfId="1140" priority="34">
      <formula>IF($K$8="NEIN",1,0)</formula>
    </cfRule>
  </conditionalFormatting>
  <conditionalFormatting sqref="S14">
    <cfRule type="expression" dxfId="1139" priority="30">
      <formula>IF($K$8="",1,0)</formula>
    </cfRule>
    <cfRule type="expression" dxfId="1138" priority="33">
      <formula>IF($K$8="NEIN",1,0)</formula>
    </cfRule>
  </conditionalFormatting>
  <conditionalFormatting sqref="S13:S15">
    <cfRule type="expression" dxfId="1137" priority="32">
      <formula>IF($G$8="",1,0)</formula>
    </cfRule>
  </conditionalFormatting>
  <conditionalFormatting sqref="S13">
    <cfRule type="expression" dxfId="1136" priority="29">
      <formula>IF($K$8="JA",1,0)</formula>
    </cfRule>
  </conditionalFormatting>
  <conditionalFormatting sqref="S14">
    <cfRule type="expression" dxfId="1135" priority="27">
      <formula>IF($K$8="JA",1,0)</formula>
    </cfRule>
  </conditionalFormatting>
  <conditionalFormatting sqref="S15">
    <cfRule type="expression" dxfId="1134" priority="25">
      <formula>IF($K$8="JA",1,0)</formula>
    </cfRule>
  </conditionalFormatting>
  <conditionalFormatting sqref="U13:W13">
    <cfRule type="expression" dxfId="1133" priority="21">
      <formula>IF($G$8="NEIN",1,0)</formula>
    </cfRule>
    <cfRule type="expression" dxfId="1132" priority="22">
      <formula>IF($G$8="",1,0)</formula>
    </cfRule>
    <cfRule type="expression" dxfId="1131" priority="23">
      <formula>IF($K$8="JA",1,0)</formula>
    </cfRule>
  </conditionalFormatting>
  <conditionalFormatting sqref="U11:W13">
    <cfRule type="expression" dxfId="1130" priority="20">
      <formula>IF($G$8="",1,0)</formula>
    </cfRule>
  </conditionalFormatting>
  <conditionalFormatting sqref="U11:W13">
    <cfRule type="expression" dxfId="1129" priority="19">
      <formula>IF($G$8="NEIN",1,0)</formula>
    </cfRule>
  </conditionalFormatting>
  <conditionalFormatting sqref="U14:V15">
    <cfRule type="expression" dxfId="1128" priority="10">
      <formula>IF($G$8="NEIN",1,0)</formula>
    </cfRule>
    <cfRule type="expression" dxfId="1127" priority="11">
      <formula>IF($K$8="NEIN",1,0)</formula>
    </cfRule>
    <cfRule type="expression" dxfId="1126" priority="12">
      <formula>IF($G$8="",1,0)</formula>
    </cfRule>
    <cfRule type="expression" dxfId="1125" priority="13">
      <formula>IF($K$8="",1,0)</formula>
    </cfRule>
  </conditionalFormatting>
  <conditionalFormatting sqref="U14:V15">
    <cfRule type="expression" dxfId="1124" priority="9">
      <formula>IF($G$8="",1,0)</formula>
    </cfRule>
  </conditionalFormatting>
  <conditionalFormatting sqref="B13">
    <cfRule type="expression" dxfId="1123" priority="8">
      <formula>IF($G$8="NEIN",1,0)</formula>
    </cfRule>
  </conditionalFormatting>
  <conditionalFormatting sqref="B13">
    <cfRule type="expression" dxfId="1122" priority="7">
      <formula>IF($G$8="",1,0)</formula>
    </cfRule>
  </conditionalFormatting>
  <conditionalFormatting sqref="B13">
    <cfRule type="expression" dxfId="1121" priority="6">
      <formula>IF($K$8="JA",1,0)</formula>
    </cfRule>
  </conditionalFormatting>
  <conditionalFormatting sqref="W14:W15">
    <cfRule type="expression" dxfId="1120" priority="2">
      <formula>IF($G$8="NEIN",1,0)</formula>
    </cfRule>
    <cfRule type="expression" dxfId="1119" priority="3">
      <formula>IF($K$8="NEIN",1,0)</formula>
    </cfRule>
    <cfRule type="expression" dxfId="1118" priority="4">
      <formula>IF($G$8="",1,0)</formula>
    </cfRule>
    <cfRule type="expression" dxfId="1117" priority="5">
      <formula>IF($K$8="",1,0)</formula>
    </cfRule>
  </conditionalFormatting>
  <conditionalFormatting sqref="W14:W15">
    <cfRule type="expression" dxfId="1116"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2!F13" display="◄"/>
    <hyperlink ref="R1:S1" location="S_4!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0" id="{A34FC118-4D83-4768-A16E-A667CC9939C5}">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8" id="{F05B335A-01C8-4158-A2A6-ABE471205DBB}">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6" id="{9A88B8BD-DC0C-45B8-8D38-4C490CDB3426}">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4" id="{8DD44E39-5CA9-4E97-8F74-6066F1848673}">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6" tint="-0.249977111117893"/>
  </sheetPr>
  <dimension ref="A1:IV102"/>
  <sheetViews>
    <sheetView zoomScale="90" zoomScaleNormal="90" workbookViewId="0">
      <selection activeCell="G8" sqref="G8"/>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7" customHeight="1" thickBot="1">
      <c r="A1" s="1805" t="s">
        <v>1174</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f>Grünland!C8</f>
        <v>0</v>
      </c>
      <c r="D2" s="2626"/>
      <c r="E2" s="2627"/>
      <c r="F2" s="818"/>
      <c r="G2" s="1800" t="s">
        <v>1002</v>
      </c>
      <c r="H2" s="2635">
        <f>Grünland!D8</f>
        <v>0</v>
      </c>
      <c r="I2" s="2636"/>
      <c r="J2" s="818"/>
      <c r="K2" s="1801" t="s">
        <v>863</v>
      </c>
      <c r="L2" s="1800" t="s">
        <v>679</v>
      </c>
      <c r="M2" s="1040">
        <f>Grünland!H8</f>
        <v>0</v>
      </c>
      <c r="N2" s="2616" t="s">
        <v>1049</v>
      </c>
      <c r="O2" s="2617"/>
      <c r="P2" s="2653">
        <f>Grünland!J8</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Grünland!G8</f>
        <v>0</v>
      </c>
      <c r="F3" s="818"/>
      <c r="G3" s="1044" t="s">
        <v>1048</v>
      </c>
      <c r="H3" s="2633">
        <f>Grünland!E8</f>
        <v>0</v>
      </c>
      <c r="I3" s="2634"/>
      <c r="J3" s="818"/>
      <c r="K3" s="818"/>
      <c r="L3" s="1050" t="s">
        <v>1050</v>
      </c>
      <c r="M3" s="2618">
        <f>Grünland!F8</f>
        <v>0</v>
      </c>
      <c r="N3" s="2619"/>
      <c r="O3" s="2619"/>
      <c r="P3" s="2619"/>
      <c r="Q3" s="2620"/>
      <c r="R3" s="1859" t="str">
        <f>Grünland!AH8</f>
        <v>ungünstig</v>
      </c>
      <c r="S3" s="1859" t="str">
        <f>Grünland!AI8</f>
        <v>2,5 - 5,0 km</v>
      </c>
      <c r="T3" s="1859"/>
      <c r="U3" s="819"/>
      <c r="V3" s="819"/>
      <c r="W3" s="819"/>
      <c r="X3" s="819"/>
      <c r="Y3" s="819"/>
      <c r="Z3" s="819"/>
      <c r="AA3" s="835"/>
      <c r="AB3" s="1852"/>
      <c r="AC3" s="1852"/>
      <c r="AE3" s="1860">
        <f>Grünland!AP8</f>
        <v>0</v>
      </c>
      <c r="AF3" s="1861">
        <f>Grünland!AQ8</f>
        <v>0</v>
      </c>
      <c r="AG3" s="1862">
        <f>(Grünland!AR8+Grünland!AS8)</f>
        <v>0</v>
      </c>
      <c r="AH3" s="1863">
        <f>Grünland!AT8</f>
        <v>0</v>
      </c>
      <c r="AI3" s="1860">
        <f>Grünland!AU8</f>
        <v>0</v>
      </c>
      <c r="AJ3" s="1860">
        <f>Grünland!AV8</f>
        <v>0</v>
      </c>
      <c r="AK3" s="1860">
        <f>Grünland!AW8</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Grünland!R8</f>
        <v>0</v>
      </c>
      <c r="F6" s="997">
        <f>Grünland!S8</f>
        <v>0</v>
      </c>
      <c r="G6" s="996">
        <f>Grünland!T8</f>
        <v>0</v>
      </c>
      <c r="H6" s="997">
        <f>Grünland!U8</f>
        <v>0</v>
      </c>
      <c r="I6" s="996">
        <f>Grünland!V8</f>
        <v>0</v>
      </c>
      <c r="J6" s="997">
        <f>Grünland!W8</f>
        <v>0</v>
      </c>
      <c r="K6" s="996">
        <f>Grünland!X8</f>
        <v>0</v>
      </c>
      <c r="L6" s="997">
        <f>Grünland!Y8</f>
        <v>0</v>
      </c>
      <c r="M6" s="996">
        <f>Grünland!Z8</f>
        <v>0</v>
      </c>
      <c r="N6" s="997">
        <f>Grünland!AA8</f>
        <v>0</v>
      </c>
      <c r="O6" s="996">
        <f>Grünland!AB8</f>
        <v>0</v>
      </c>
      <c r="P6" s="997">
        <f>Grünland!AC8</f>
        <v>0</v>
      </c>
      <c r="Q6" s="818"/>
      <c r="R6" s="827">
        <f>Grünland!L8</f>
        <v>0</v>
      </c>
      <c r="S6" s="1111">
        <f>Grünland!M8</f>
        <v>0</v>
      </c>
      <c r="T6" s="819"/>
      <c r="U6" s="2637">
        <f>Grünland!AL8</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reduzieren",C13="unverändert"),Grünland!$H$8,S_4!AB13)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Grünland!AH$8</f>
        <v>ungünstig</v>
      </c>
      <c r="CO13" s="1882" t="str">
        <f>Grünland!AI$8</f>
        <v>2,5 - 5,0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reduzieren",C14="unverändert"),Grünland!$H$8,S_4!AB14)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t="str">
        <f>Grünland!AH$8</f>
        <v>ungünstig</v>
      </c>
      <c r="CO14" s="1882" t="str">
        <f>Grünland!AI$8</f>
        <v>2,5 - 5,0 km</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reduzieren",C15="unverändert"),Grünland!$H$8,S_4!AB15)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t="str">
        <f>Grünland!AH$8</f>
        <v>ungünstig</v>
      </c>
      <c r="CO15" s="1882" t="str">
        <f>Grünland!AI$8</f>
        <v>2,5 - 5,0 km</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Summen_GL!F$112</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Summen_GL!G$112</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Summen_GL!H$112</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Summen_GL!I$112</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Summen_GL!J$112</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Summen_GL!K$112</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Summen_GL!L$112</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Summen_GL!M$112</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Summen_GL!N$112</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Summen_GL!O$112</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Summen_GL!P$112</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Summen_GL!Q$112</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7Yjz6L9TmuiQBGE4c2LkT2TSrBmDrweKEY2gr/ucXhFnneTSOWPDFxY5GkTtuhlV3jkhNrLG3vwZVt7viMysug==" saltValue="KeJBTCOfIeYlgBUgtVULBw=="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U4:V5"/>
    <mergeCell ref="P2:Q2"/>
    <mergeCell ref="C3:D3"/>
    <mergeCell ref="H3:I3"/>
    <mergeCell ref="M3:Q3"/>
    <mergeCell ref="I5:J5"/>
    <mergeCell ref="K5:L5"/>
    <mergeCell ref="M5:N5"/>
    <mergeCell ref="C2:E2"/>
    <mergeCell ref="H2:I2"/>
    <mergeCell ref="N2:O2"/>
    <mergeCell ref="R1:S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s>
  <conditionalFormatting sqref="B14 P14:P15">
    <cfRule type="expression" dxfId="1115" priority="57" stopIfTrue="1">
      <formula>#REF!="nein"</formula>
    </cfRule>
  </conditionalFormatting>
  <conditionalFormatting sqref="B39">
    <cfRule type="expression" dxfId="1114" priority="56">
      <formula>#REF!="nein"</formula>
    </cfRule>
  </conditionalFormatting>
  <conditionalFormatting sqref="B41">
    <cfRule type="expression" dxfId="1113" priority="55">
      <formula>$B$13=" "</formula>
    </cfRule>
  </conditionalFormatting>
  <conditionalFormatting sqref="A12:S12 A14:R15 A13 C13:R13">
    <cfRule type="expression" dxfId="1112" priority="52">
      <formula>IF($G$8="NEIN",1,0)</formula>
    </cfRule>
  </conditionalFormatting>
  <conditionalFormatting sqref="I8:K8">
    <cfRule type="expression" dxfId="1111" priority="51">
      <formula>IF($G$8="NEIN",1,0)</formula>
    </cfRule>
  </conditionalFormatting>
  <conditionalFormatting sqref="B15">
    <cfRule type="expression" dxfId="1110" priority="58">
      <formula>($B$13+B14)&lt;$H$2</formula>
    </cfRule>
  </conditionalFormatting>
  <conditionalFormatting sqref="C10">
    <cfRule type="expression" dxfId="1109" priority="50">
      <formula>IF($G$8="JA",1,0)</formula>
    </cfRule>
  </conditionalFormatting>
  <conditionalFormatting sqref="A14 A15:R15">
    <cfRule type="expression" dxfId="1108" priority="46">
      <formula>IF($K$8="",1,0)</formula>
    </cfRule>
    <cfRule type="expression" dxfId="1107" priority="49">
      <formula>IF($K$8="NEIN",1,0)</formula>
    </cfRule>
  </conditionalFormatting>
  <conditionalFormatting sqref="B14:R14">
    <cfRule type="expression" dxfId="1106" priority="45">
      <formula>IF($K$8="",1,0)</formula>
    </cfRule>
    <cfRule type="expression" dxfId="1105" priority="48">
      <formula>IF($K$8="NEIN",1,0)</formula>
    </cfRule>
  </conditionalFormatting>
  <conditionalFormatting sqref="A10:S12 A14:R15 A13 C13:R13">
    <cfRule type="expression" dxfId="1104" priority="47">
      <formula>IF($G$8="",1,0)</formula>
    </cfRule>
  </conditionalFormatting>
  <conditionalFormatting sqref="C13:R13">
    <cfRule type="expression" dxfId="1103" priority="44">
      <formula>IF($K$8="JA",1,0)</formula>
    </cfRule>
  </conditionalFormatting>
  <conditionalFormatting sqref="B14">
    <cfRule type="expression" dxfId="1102" priority="42">
      <formula>IF($K$8="",1,0)</formula>
    </cfRule>
    <cfRule type="expression" dxfId="1101" priority="43">
      <formula>IF($K$8="NEIN",1,0)</formula>
    </cfRule>
  </conditionalFormatting>
  <conditionalFormatting sqref="S14">
    <cfRule type="expression" dxfId="1100" priority="37" stopIfTrue="1">
      <formula>#REF!="nein"</formula>
    </cfRule>
  </conditionalFormatting>
  <conditionalFormatting sqref="S15">
    <cfRule type="expression" dxfId="1099" priority="36" stopIfTrue="1">
      <formula>#REF!="nein"</formula>
    </cfRule>
  </conditionalFormatting>
  <conditionalFormatting sqref="S13:S15">
    <cfRule type="expression" dxfId="1098" priority="35">
      <formula>IF($G$8="NEIN",1,0)</formula>
    </cfRule>
  </conditionalFormatting>
  <conditionalFormatting sqref="S15">
    <cfRule type="expression" dxfId="1097" priority="31">
      <formula>IF($K$8="",1,0)</formula>
    </cfRule>
    <cfRule type="expression" dxfId="1096" priority="34">
      <formula>IF($K$8="NEIN",1,0)</formula>
    </cfRule>
  </conditionalFormatting>
  <conditionalFormatting sqref="S14">
    <cfRule type="expression" dxfId="1095" priority="30">
      <formula>IF($K$8="",1,0)</formula>
    </cfRule>
    <cfRule type="expression" dxfId="1094" priority="33">
      <formula>IF($K$8="NEIN",1,0)</formula>
    </cfRule>
  </conditionalFormatting>
  <conditionalFormatting sqref="S13:S15">
    <cfRule type="expression" dxfId="1093" priority="32">
      <formula>IF($G$8="",1,0)</formula>
    </cfRule>
  </conditionalFormatting>
  <conditionalFormatting sqref="S13">
    <cfRule type="expression" dxfId="1092" priority="29">
      <formula>IF($K$8="JA",1,0)</formula>
    </cfRule>
  </conditionalFormatting>
  <conditionalFormatting sqref="S14">
    <cfRule type="expression" dxfId="1091" priority="27">
      <formula>IF($K$8="JA",1,0)</formula>
    </cfRule>
  </conditionalFormatting>
  <conditionalFormatting sqref="S15">
    <cfRule type="expression" dxfId="1090" priority="25">
      <formula>IF($K$8="JA",1,0)</formula>
    </cfRule>
  </conditionalFormatting>
  <conditionalFormatting sqref="U13:W13">
    <cfRule type="expression" dxfId="1089" priority="21">
      <formula>IF($G$8="NEIN",1,0)</formula>
    </cfRule>
    <cfRule type="expression" dxfId="1088" priority="22">
      <formula>IF($G$8="",1,0)</formula>
    </cfRule>
    <cfRule type="expression" dxfId="1087" priority="23">
      <formula>IF($K$8="JA",1,0)</formula>
    </cfRule>
  </conditionalFormatting>
  <conditionalFormatting sqref="U11:W13">
    <cfRule type="expression" dxfId="1086" priority="20">
      <formula>IF($G$8="",1,0)</formula>
    </cfRule>
  </conditionalFormatting>
  <conditionalFormatting sqref="U11:W13">
    <cfRule type="expression" dxfId="1085" priority="19">
      <formula>IF($G$8="NEIN",1,0)</formula>
    </cfRule>
  </conditionalFormatting>
  <conditionalFormatting sqref="U14:V15">
    <cfRule type="expression" dxfId="1084" priority="10">
      <formula>IF($G$8="NEIN",1,0)</formula>
    </cfRule>
    <cfRule type="expression" dxfId="1083" priority="11">
      <formula>IF($K$8="NEIN",1,0)</formula>
    </cfRule>
    <cfRule type="expression" dxfId="1082" priority="12">
      <formula>IF($G$8="",1,0)</formula>
    </cfRule>
    <cfRule type="expression" dxfId="1081" priority="13">
      <formula>IF($K$8="",1,0)</formula>
    </cfRule>
  </conditionalFormatting>
  <conditionalFormatting sqref="U14:V15">
    <cfRule type="expression" dxfId="1080" priority="9">
      <formula>IF($G$8="",1,0)</formula>
    </cfRule>
  </conditionalFormatting>
  <conditionalFormatting sqref="B13">
    <cfRule type="expression" dxfId="1079" priority="8">
      <formula>IF($G$8="NEIN",1,0)</formula>
    </cfRule>
  </conditionalFormatting>
  <conditionalFormatting sqref="B13">
    <cfRule type="expression" dxfId="1078" priority="7">
      <formula>IF($G$8="",1,0)</formula>
    </cfRule>
  </conditionalFormatting>
  <conditionalFormatting sqref="B13">
    <cfRule type="expression" dxfId="1077" priority="6">
      <formula>IF($K$8="JA",1,0)</formula>
    </cfRule>
  </conditionalFormatting>
  <conditionalFormatting sqref="W14:W15">
    <cfRule type="expression" dxfId="1076" priority="2">
      <formula>IF($G$8="NEIN",1,0)</formula>
    </cfRule>
    <cfRule type="expression" dxfId="1075" priority="3">
      <formula>IF($K$8="NEIN",1,0)</formula>
    </cfRule>
    <cfRule type="expression" dxfId="1074" priority="4">
      <formula>IF($G$8="",1,0)</formula>
    </cfRule>
    <cfRule type="expression" dxfId="1073" priority="5">
      <formula>IF($K$8="",1,0)</formula>
    </cfRule>
  </conditionalFormatting>
  <conditionalFormatting sqref="W14:W15">
    <cfRule type="expression" dxfId="1072"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3!F13" display="◄"/>
    <hyperlink ref="R1:S1" location="S_5!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4" id="{79C10F89-05C0-4C1D-9B26-9416CB75598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8" id="{18143BD8-8295-4783-9D8F-58C240AFB343}">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6" id="{FE44788D-4C5B-4B1C-8E2C-BB4B27C3DD42}">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4" id="{9E187B3B-3DBC-451A-8CE2-D0A597583B1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59999389629810485"/>
  </sheetPr>
  <dimension ref="A1:IU39"/>
  <sheetViews>
    <sheetView tabSelected="1" zoomScale="90" zoomScaleNormal="90" workbookViewId="0">
      <selection activeCell="N13" sqref="N13"/>
    </sheetView>
  </sheetViews>
  <sheetFormatPr baseColWidth="10" defaultColWidth="12.7109375" defaultRowHeight="20.25" customHeight="1"/>
  <cols>
    <col min="1" max="1" width="3.140625" style="1" customWidth="1"/>
    <col min="2" max="2" width="15.5703125" style="1" customWidth="1"/>
    <col min="3" max="3" width="46.28515625" style="1" customWidth="1"/>
    <col min="4" max="4" width="4.140625" style="1" customWidth="1"/>
    <col min="5" max="5" width="17" style="1" customWidth="1"/>
    <col min="6" max="6" width="2.42578125" style="1" customWidth="1"/>
    <col min="7" max="7" width="38.85546875" style="1" customWidth="1"/>
    <col min="8" max="8" width="14.7109375" style="1" customWidth="1"/>
    <col min="9" max="9" width="12.28515625" style="1" customWidth="1"/>
    <col min="10" max="10" width="17.42578125" style="2" customWidth="1"/>
    <col min="11" max="11" width="19.85546875" style="2" customWidth="1"/>
    <col min="12" max="12" width="17.42578125" style="2" customWidth="1"/>
    <col min="13" max="13" width="13.85546875" style="2" customWidth="1"/>
    <col min="14" max="14" width="12.7109375" style="2"/>
    <col min="15" max="16384" width="12.7109375" style="1"/>
  </cols>
  <sheetData>
    <row r="1" spans="1:255" ht="66.75" customHeight="1">
      <c r="A1" s="878"/>
      <c r="B1" s="878"/>
      <c r="C1" s="878"/>
      <c r="D1" s="2309" t="s">
        <v>1437</v>
      </c>
      <c r="E1" s="2309"/>
      <c r="F1" s="2309"/>
      <c r="G1" s="2309"/>
      <c r="H1" s="2309"/>
      <c r="I1" s="2309"/>
      <c r="J1" s="247" t="s">
        <v>68</v>
      </c>
      <c r="K1" s="1826" t="s">
        <v>1438</v>
      </c>
      <c r="L1" s="878"/>
      <c r="M1" s="878"/>
      <c r="N1" s="878"/>
      <c r="O1" s="878"/>
      <c r="P1" s="878"/>
      <c r="Q1" s="878"/>
      <c r="R1" s="878"/>
      <c r="S1" s="878"/>
      <c r="T1" s="878"/>
      <c r="U1" s="878"/>
      <c r="V1" s="878"/>
      <c r="W1" s="747"/>
      <c r="X1" s="747"/>
      <c r="Y1" s="747"/>
      <c r="Z1" s="747"/>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c r="AY1" s="747"/>
      <c r="AZ1" s="747"/>
      <c r="BA1" s="747"/>
      <c r="BB1" s="747"/>
      <c r="BC1" s="747"/>
      <c r="BD1" s="747"/>
      <c r="BE1" s="747"/>
      <c r="BF1" s="747"/>
      <c r="BG1" s="747"/>
      <c r="BH1" s="747"/>
      <c r="BI1" s="747"/>
      <c r="BJ1" s="747"/>
      <c r="BK1" s="747"/>
      <c r="BL1" s="747"/>
      <c r="BM1" s="747"/>
      <c r="BN1" s="747"/>
      <c r="BO1" s="747"/>
      <c r="BP1" s="747"/>
      <c r="BQ1" s="747"/>
      <c r="BR1" s="747"/>
      <c r="BS1" s="747"/>
      <c r="BT1" s="747"/>
      <c r="BU1" s="747"/>
      <c r="BV1" s="747"/>
      <c r="BW1" s="747"/>
      <c r="BX1" s="747"/>
      <c r="BY1" s="747"/>
      <c r="BZ1" s="747"/>
      <c r="CA1" s="747"/>
      <c r="CB1" s="747"/>
      <c r="CC1" s="747"/>
      <c r="CD1" s="747"/>
      <c r="CE1" s="747"/>
      <c r="CF1" s="747"/>
      <c r="CG1" s="747"/>
      <c r="CH1" s="747"/>
      <c r="CI1" s="747"/>
      <c r="CJ1" s="747"/>
      <c r="CK1" s="747"/>
      <c r="CL1" s="747"/>
      <c r="CM1" s="747"/>
      <c r="CN1" s="747"/>
      <c r="CO1" s="747"/>
      <c r="CP1" s="747"/>
      <c r="CQ1" s="747"/>
      <c r="CR1" s="747"/>
      <c r="CS1" s="747"/>
      <c r="CT1" s="747"/>
      <c r="CU1" s="747"/>
      <c r="CV1" s="747"/>
      <c r="CW1" s="747"/>
      <c r="CX1" s="747"/>
      <c r="CY1" s="747"/>
      <c r="CZ1" s="747"/>
      <c r="DA1" s="747"/>
      <c r="DB1" s="747"/>
      <c r="DC1" s="747"/>
      <c r="DD1" s="747"/>
      <c r="DE1" s="747"/>
      <c r="DF1" s="747"/>
      <c r="DG1" s="747"/>
      <c r="DH1" s="747"/>
      <c r="DI1" s="747"/>
      <c r="DJ1" s="747"/>
      <c r="DK1" s="747"/>
      <c r="DL1" s="747"/>
      <c r="DM1" s="747"/>
      <c r="DN1" s="747"/>
      <c r="DO1" s="747"/>
      <c r="DP1" s="747"/>
      <c r="DQ1" s="747"/>
      <c r="DR1" s="747"/>
      <c r="DS1" s="747"/>
      <c r="DT1" s="747"/>
      <c r="DU1" s="747"/>
      <c r="DV1" s="747"/>
      <c r="DW1" s="747"/>
      <c r="DX1" s="747"/>
      <c r="DY1" s="747"/>
      <c r="DZ1" s="747"/>
      <c r="EA1" s="747"/>
      <c r="EB1" s="747"/>
      <c r="EC1" s="747"/>
      <c r="ED1" s="747"/>
      <c r="EE1" s="747"/>
      <c r="EF1" s="747"/>
      <c r="EG1" s="747"/>
      <c r="EH1" s="747"/>
      <c r="EI1" s="747"/>
      <c r="EJ1" s="747"/>
      <c r="EK1" s="747"/>
      <c r="EL1" s="747"/>
      <c r="EM1" s="747"/>
      <c r="EN1" s="747"/>
      <c r="EO1" s="747"/>
      <c r="EP1" s="747"/>
      <c r="EQ1" s="747"/>
      <c r="ER1" s="747"/>
      <c r="ES1" s="747"/>
      <c r="ET1" s="747"/>
      <c r="EU1" s="747"/>
      <c r="EV1" s="747"/>
      <c r="EW1" s="747"/>
      <c r="EX1" s="747"/>
      <c r="EY1" s="747"/>
      <c r="EZ1" s="747"/>
      <c r="FA1" s="747"/>
      <c r="FB1" s="747"/>
      <c r="FC1" s="747"/>
      <c r="FD1" s="747"/>
      <c r="FE1" s="747"/>
      <c r="FF1" s="747"/>
      <c r="FG1" s="747"/>
      <c r="FH1" s="747"/>
      <c r="FI1" s="747"/>
      <c r="FJ1" s="747"/>
      <c r="FK1" s="747"/>
      <c r="FL1" s="747"/>
      <c r="FM1" s="747"/>
      <c r="FN1" s="747"/>
      <c r="FO1" s="747"/>
      <c r="FP1" s="747"/>
      <c r="FQ1" s="747"/>
      <c r="FR1" s="747"/>
      <c r="FS1" s="747"/>
      <c r="FT1" s="747"/>
      <c r="FU1" s="747"/>
      <c r="FV1" s="747"/>
      <c r="FW1" s="747"/>
      <c r="FX1" s="747"/>
      <c r="FY1" s="747"/>
      <c r="FZ1" s="747"/>
      <c r="GA1" s="747"/>
      <c r="GB1" s="747"/>
      <c r="GC1" s="747"/>
      <c r="GD1" s="747"/>
      <c r="GE1" s="747"/>
      <c r="GF1" s="747"/>
      <c r="GG1" s="747"/>
      <c r="GH1" s="747"/>
      <c r="GI1" s="747"/>
      <c r="GJ1" s="747"/>
      <c r="GK1" s="747"/>
      <c r="GL1" s="747"/>
      <c r="GM1" s="747"/>
      <c r="GN1" s="747"/>
      <c r="GO1" s="747"/>
      <c r="GP1" s="747"/>
      <c r="GQ1" s="747"/>
      <c r="GR1" s="747"/>
      <c r="GS1" s="747"/>
      <c r="GT1" s="747"/>
      <c r="GU1" s="747"/>
      <c r="GV1" s="747"/>
      <c r="GW1" s="747"/>
      <c r="GX1" s="747"/>
      <c r="GY1" s="747"/>
      <c r="GZ1" s="747"/>
      <c r="HA1" s="747"/>
      <c r="HB1" s="747"/>
      <c r="HC1" s="747"/>
      <c r="HD1" s="747"/>
      <c r="HE1" s="747"/>
      <c r="HF1" s="747"/>
      <c r="HG1" s="747"/>
      <c r="HH1" s="747"/>
      <c r="HI1" s="747"/>
      <c r="HJ1" s="747"/>
      <c r="HK1" s="747"/>
      <c r="HL1" s="747"/>
      <c r="HM1" s="747"/>
      <c r="HN1" s="747"/>
      <c r="HO1" s="747"/>
      <c r="HP1" s="747"/>
      <c r="HQ1" s="747"/>
      <c r="HR1" s="747"/>
      <c r="HS1" s="747"/>
      <c r="HT1" s="747"/>
      <c r="HU1" s="747"/>
      <c r="HV1" s="747"/>
      <c r="HW1" s="747"/>
      <c r="HX1" s="747"/>
      <c r="HY1" s="747"/>
      <c r="HZ1" s="747"/>
      <c r="IA1" s="747"/>
      <c r="IB1" s="747"/>
      <c r="IC1" s="747"/>
      <c r="ID1" s="747"/>
      <c r="IE1" s="747"/>
      <c r="IF1" s="747"/>
      <c r="IG1" s="747"/>
      <c r="IH1" s="747"/>
      <c r="II1" s="747"/>
      <c r="IJ1" s="747"/>
      <c r="IK1" s="747"/>
      <c r="IL1" s="747"/>
      <c r="IM1" s="747"/>
      <c r="IN1" s="747"/>
      <c r="IO1" s="747"/>
      <c r="IP1" s="747"/>
      <c r="IQ1" s="747"/>
      <c r="IR1" s="747"/>
      <c r="IS1" s="747"/>
      <c r="IT1" s="747"/>
      <c r="IU1" s="747"/>
    </row>
    <row r="2" spans="1:255" ht="21.75" customHeight="1">
      <c r="A2" s="878"/>
      <c r="B2" s="1848" t="s">
        <v>1443</v>
      </c>
      <c r="C2" s="1807"/>
      <c r="D2" s="1807"/>
      <c r="E2" s="1808"/>
      <c r="F2" s="1809"/>
      <c r="G2" s="1809"/>
      <c r="H2" s="1809"/>
      <c r="I2" s="878"/>
      <c r="J2" s="878"/>
      <c r="K2" s="878"/>
      <c r="L2" s="878"/>
      <c r="M2" s="878"/>
      <c r="N2" s="878"/>
      <c r="O2" s="878"/>
      <c r="P2" s="878"/>
      <c r="Q2" s="878"/>
      <c r="R2" s="878"/>
      <c r="S2" s="878"/>
      <c r="T2" s="878"/>
      <c r="U2" s="878"/>
      <c r="V2" s="878"/>
      <c r="W2" s="747"/>
      <c r="X2" s="747"/>
      <c r="Y2" s="747"/>
      <c r="Z2" s="747"/>
      <c r="AA2" s="747"/>
      <c r="AB2" s="747"/>
      <c r="AC2" s="747"/>
      <c r="AD2" s="747"/>
      <c r="AE2" s="747"/>
      <c r="AF2" s="747"/>
      <c r="AG2" s="747"/>
      <c r="AH2" s="747"/>
      <c r="AI2" s="747"/>
      <c r="AJ2" s="747"/>
      <c r="AK2" s="747"/>
      <c r="AL2" s="747"/>
      <c r="AM2" s="747"/>
      <c r="AN2" s="747"/>
      <c r="AO2" s="747"/>
      <c r="AP2" s="747"/>
      <c r="AQ2" s="747"/>
      <c r="AR2" s="747"/>
      <c r="AS2" s="747"/>
      <c r="AT2" s="747"/>
      <c r="AU2" s="747"/>
      <c r="AV2" s="747"/>
      <c r="AW2" s="747"/>
      <c r="AX2" s="747"/>
      <c r="AY2" s="747"/>
      <c r="AZ2" s="747"/>
      <c r="BA2" s="747"/>
      <c r="BB2" s="747"/>
      <c r="BC2" s="747"/>
      <c r="BD2" s="747"/>
      <c r="BE2" s="747"/>
      <c r="BF2" s="747"/>
      <c r="BG2" s="747"/>
      <c r="BH2" s="747"/>
      <c r="BI2" s="747"/>
      <c r="BJ2" s="747"/>
      <c r="BK2" s="747"/>
      <c r="BL2" s="747"/>
      <c r="BM2" s="747"/>
      <c r="BN2" s="747"/>
      <c r="BO2" s="747"/>
      <c r="BP2" s="747"/>
      <c r="BQ2" s="747"/>
      <c r="BR2" s="747"/>
      <c r="BS2" s="747"/>
      <c r="BT2" s="747"/>
      <c r="BU2" s="747"/>
      <c r="BV2" s="747"/>
      <c r="BW2" s="747"/>
      <c r="BX2" s="747"/>
      <c r="BY2" s="747"/>
      <c r="BZ2" s="747"/>
      <c r="CA2" s="747"/>
      <c r="CB2" s="747"/>
      <c r="CC2" s="747"/>
      <c r="CD2" s="747"/>
      <c r="CE2" s="747"/>
      <c r="CF2" s="747"/>
      <c r="CG2" s="747"/>
      <c r="CH2" s="747"/>
      <c r="CI2" s="747"/>
      <c r="CJ2" s="747"/>
      <c r="CK2" s="747"/>
      <c r="CL2" s="747"/>
      <c r="CM2" s="747"/>
      <c r="CN2" s="747"/>
      <c r="CO2" s="747"/>
      <c r="CP2" s="747"/>
      <c r="CQ2" s="747"/>
      <c r="CR2" s="747"/>
      <c r="CS2" s="747"/>
      <c r="CT2" s="747"/>
      <c r="CU2" s="747"/>
      <c r="CV2" s="747"/>
      <c r="CW2" s="747"/>
      <c r="CX2" s="747"/>
      <c r="CY2" s="747"/>
      <c r="CZ2" s="747"/>
      <c r="DA2" s="747"/>
      <c r="DB2" s="747"/>
      <c r="DC2" s="747"/>
      <c r="DD2" s="747"/>
      <c r="DE2" s="747"/>
      <c r="DF2" s="747"/>
      <c r="DG2" s="747"/>
      <c r="DH2" s="747"/>
      <c r="DI2" s="747"/>
      <c r="DJ2" s="747"/>
      <c r="DK2" s="747"/>
      <c r="DL2" s="747"/>
      <c r="DM2" s="747"/>
      <c r="DN2" s="747"/>
      <c r="DO2" s="747"/>
      <c r="DP2" s="747"/>
      <c r="DQ2" s="747"/>
      <c r="DR2" s="747"/>
      <c r="DS2" s="747"/>
      <c r="DT2" s="747"/>
      <c r="DU2" s="747"/>
      <c r="DV2" s="747"/>
      <c r="DW2" s="747"/>
      <c r="DX2" s="747"/>
      <c r="DY2" s="747"/>
      <c r="DZ2" s="747"/>
      <c r="EA2" s="747"/>
      <c r="EB2" s="747"/>
      <c r="EC2" s="747"/>
      <c r="ED2" s="747"/>
      <c r="EE2" s="747"/>
      <c r="EF2" s="747"/>
      <c r="EG2" s="747"/>
      <c r="EH2" s="747"/>
      <c r="EI2" s="747"/>
      <c r="EJ2" s="747"/>
      <c r="EK2" s="747"/>
      <c r="EL2" s="747"/>
      <c r="EM2" s="747"/>
      <c r="EN2" s="747"/>
      <c r="EO2" s="747"/>
      <c r="EP2" s="747"/>
      <c r="EQ2" s="747"/>
      <c r="ER2" s="747"/>
      <c r="ES2" s="747"/>
      <c r="ET2" s="747"/>
      <c r="EU2" s="747"/>
      <c r="EV2" s="747"/>
      <c r="EW2" s="747"/>
      <c r="EX2" s="747"/>
      <c r="EY2" s="747"/>
      <c r="EZ2" s="747"/>
      <c r="FA2" s="747"/>
      <c r="FB2" s="747"/>
      <c r="FC2" s="747"/>
      <c r="FD2" s="747"/>
      <c r="FE2" s="747"/>
      <c r="FF2" s="747"/>
      <c r="FG2" s="747"/>
      <c r="FH2" s="747"/>
      <c r="FI2" s="747"/>
      <c r="FJ2" s="747"/>
      <c r="FK2" s="747"/>
      <c r="FL2" s="747"/>
      <c r="FM2" s="747"/>
      <c r="FN2" s="747"/>
      <c r="FO2" s="747"/>
      <c r="FP2" s="747"/>
      <c r="FQ2" s="747"/>
      <c r="FR2" s="747"/>
      <c r="FS2" s="747"/>
      <c r="FT2" s="747"/>
      <c r="FU2" s="747"/>
      <c r="FV2" s="747"/>
      <c r="FW2" s="747"/>
      <c r="FX2" s="747"/>
      <c r="FY2" s="747"/>
      <c r="FZ2" s="747"/>
      <c r="GA2" s="747"/>
      <c r="GB2" s="747"/>
      <c r="GC2" s="747"/>
      <c r="GD2" s="747"/>
      <c r="GE2" s="747"/>
      <c r="GF2" s="747"/>
      <c r="GG2" s="747"/>
      <c r="GH2" s="747"/>
      <c r="GI2" s="747"/>
      <c r="GJ2" s="747"/>
      <c r="GK2" s="747"/>
      <c r="GL2" s="747"/>
      <c r="GM2" s="747"/>
      <c r="GN2" s="747"/>
      <c r="GO2" s="747"/>
      <c r="GP2" s="747"/>
      <c r="GQ2" s="747"/>
      <c r="GR2" s="747"/>
      <c r="GS2" s="747"/>
      <c r="GT2" s="747"/>
      <c r="GU2" s="747"/>
      <c r="GV2" s="747"/>
      <c r="GW2" s="747"/>
      <c r="GX2" s="747"/>
      <c r="GY2" s="747"/>
      <c r="GZ2" s="747"/>
      <c r="HA2" s="747"/>
      <c r="HB2" s="747"/>
      <c r="HC2" s="747"/>
      <c r="HD2" s="747"/>
      <c r="HE2" s="747"/>
      <c r="HF2" s="747"/>
      <c r="HG2" s="747"/>
      <c r="HH2" s="747"/>
      <c r="HI2" s="747"/>
      <c r="HJ2" s="747"/>
      <c r="HK2" s="747"/>
      <c r="HL2" s="747"/>
      <c r="HM2" s="747"/>
      <c r="HN2" s="747"/>
      <c r="HO2" s="747"/>
      <c r="HP2" s="747"/>
      <c r="HQ2" s="747"/>
      <c r="HR2" s="747"/>
      <c r="HS2" s="747"/>
      <c r="HT2" s="747"/>
      <c r="HU2" s="747"/>
      <c r="HV2" s="747"/>
      <c r="HW2" s="747"/>
      <c r="HX2" s="747"/>
      <c r="HY2" s="747"/>
      <c r="HZ2" s="747"/>
      <c r="IA2" s="747"/>
      <c r="IB2" s="747"/>
      <c r="IC2" s="747"/>
      <c r="ID2" s="747"/>
      <c r="IE2" s="747"/>
      <c r="IF2" s="747"/>
      <c r="IG2" s="747"/>
      <c r="IH2" s="747"/>
      <c r="II2" s="747"/>
      <c r="IJ2" s="747"/>
      <c r="IK2" s="747"/>
      <c r="IL2" s="747"/>
      <c r="IM2" s="747"/>
      <c r="IN2" s="747"/>
      <c r="IO2" s="747"/>
      <c r="IP2" s="747"/>
      <c r="IQ2" s="747"/>
      <c r="IR2" s="747"/>
      <c r="IS2" s="747"/>
      <c r="IT2" s="747"/>
      <c r="IU2" s="747"/>
    </row>
    <row r="3" spans="1:255" ht="20.25" customHeight="1">
      <c r="A3" s="878"/>
      <c r="B3" s="1820" t="s">
        <v>805</v>
      </c>
      <c r="C3" s="2254">
        <v>1234567</v>
      </c>
      <c r="D3" s="1821"/>
      <c r="E3" s="1822" t="s">
        <v>69</v>
      </c>
      <c r="F3" s="1809"/>
      <c r="G3" s="1809"/>
      <c r="H3" s="1809"/>
      <c r="I3" s="1809"/>
      <c r="J3" s="878"/>
      <c r="K3" s="878"/>
      <c r="L3" s="878"/>
      <c r="M3" s="878"/>
      <c r="N3" s="878"/>
      <c r="O3" s="878"/>
      <c r="P3" s="878"/>
      <c r="Q3" s="878"/>
      <c r="R3" s="878"/>
      <c r="S3" s="878"/>
      <c r="T3" s="878"/>
      <c r="U3" s="878"/>
      <c r="V3" s="878"/>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5" ht="20.25" customHeight="1">
      <c r="A4" s="878"/>
      <c r="B4" s="2324" t="s">
        <v>1461</v>
      </c>
      <c r="C4" s="2325"/>
      <c r="D4" s="2326"/>
      <c r="E4" s="1823"/>
      <c r="F4" s="1809"/>
      <c r="G4" s="1809"/>
      <c r="H4" s="1809"/>
      <c r="I4" s="1809"/>
      <c r="J4" s="878"/>
      <c r="K4" s="878"/>
      <c r="L4" s="878"/>
      <c r="M4" s="878"/>
      <c r="N4" s="878"/>
      <c r="O4" s="878"/>
      <c r="P4" s="878"/>
      <c r="Q4" s="878"/>
      <c r="R4" s="878"/>
      <c r="S4" s="878"/>
      <c r="T4" s="878"/>
      <c r="U4" s="878"/>
      <c r="V4" s="878"/>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ht="20.25" customHeight="1">
      <c r="A5" s="878"/>
      <c r="B5" s="2324" t="s">
        <v>1462</v>
      </c>
      <c r="C5" s="2325"/>
      <c r="D5" s="2325"/>
      <c r="E5" s="1824"/>
      <c r="F5" s="1809"/>
      <c r="G5" s="1809"/>
      <c r="H5" s="1809"/>
      <c r="I5" s="1809"/>
      <c r="J5" s="878"/>
      <c r="K5" s="878"/>
      <c r="L5" s="878"/>
      <c r="M5" s="878"/>
      <c r="N5" s="878"/>
      <c r="O5" s="878"/>
      <c r="P5" s="878"/>
      <c r="Q5" s="878"/>
      <c r="R5" s="878"/>
      <c r="S5" s="878"/>
      <c r="T5" s="878"/>
      <c r="U5" s="878"/>
      <c r="V5" s="87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row>
    <row r="6" spans="1:255" ht="20.25" customHeight="1">
      <c r="A6" s="878"/>
      <c r="B6" s="2327" t="s">
        <v>1463</v>
      </c>
      <c r="C6" s="2328"/>
      <c r="D6" s="2328"/>
      <c r="E6" s="1825"/>
      <c r="F6" s="1809"/>
      <c r="G6" s="1810"/>
      <c r="H6" s="1810"/>
      <c r="I6" s="1810"/>
      <c r="J6" s="1004"/>
      <c r="K6" s="1004"/>
      <c r="L6" s="1004"/>
      <c r="M6" s="1004"/>
      <c r="N6" s="1004"/>
      <c r="O6" s="878"/>
      <c r="P6" s="878"/>
      <c r="Q6" s="878"/>
      <c r="R6" s="878"/>
      <c r="S6" s="878"/>
      <c r="T6" s="878"/>
      <c r="U6" s="878"/>
      <c r="V6" s="87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row>
    <row r="7" spans="1:255" ht="15" customHeight="1">
      <c r="A7" s="878"/>
      <c r="B7" s="1809"/>
      <c r="C7" s="1809"/>
      <c r="D7" s="1809"/>
      <c r="E7" s="1809"/>
      <c r="F7" s="1809"/>
      <c r="G7" s="1810"/>
      <c r="H7" s="1810"/>
      <c r="I7" s="1810"/>
      <c r="J7" s="1004"/>
      <c r="K7" s="1004"/>
      <c r="L7" s="1004"/>
      <c r="M7" s="1004"/>
      <c r="N7" s="1004"/>
      <c r="O7" s="878"/>
      <c r="P7" s="878"/>
      <c r="Q7" s="878"/>
      <c r="R7" s="878"/>
      <c r="S7" s="878"/>
      <c r="T7" s="878"/>
      <c r="U7" s="878"/>
      <c r="V7" s="878"/>
      <c r="W7" s="747"/>
      <c r="X7" s="747"/>
      <c r="Y7" s="747"/>
      <c r="Z7" s="747"/>
      <c r="AA7" s="747"/>
      <c r="AB7" s="747"/>
      <c r="AC7" s="747"/>
      <c r="AD7" s="747"/>
      <c r="AE7" s="747"/>
      <c r="AF7" s="747"/>
      <c r="AG7" s="747"/>
      <c r="AH7" s="747"/>
      <c r="AI7" s="747"/>
      <c r="AJ7" s="747"/>
      <c r="AK7" s="747"/>
      <c r="AL7" s="747"/>
      <c r="AM7" s="747"/>
      <c r="AN7" s="747"/>
      <c r="AO7" s="747"/>
      <c r="AP7" s="747"/>
      <c r="AQ7" s="747"/>
      <c r="AR7" s="747"/>
      <c r="AS7" s="747"/>
      <c r="AT7" s="747"/>
      <c r="AU7" s="747"/>
      <c r="AV7" s="747"/>
      <c r="AW7" s="747"/>
      <c r="AX7" s="747"/>
      <c r="AY7" s="747"/>
      <c r="AZ7" s="747"/>
      <c r="BA7" s="747"/>
      <c r="BB7" s="747"/>
      <c r="BC7" s="747"/>
      <c r="BD7" s="747"/>
      <c r="BE7" s="747"/>
      <c r="BF7" s="747"/>
      <c r="BG7" s="747"/>
      <c r="BH7" s="747"/>
      <c r="BI7" s="747"/>
      <c r="BJ7" s="747"/>
      <c r="BK7" s="747"/>
      <c r="BL7" s="747"/>
      <c r="BM7" s="747"/>
      <c r="BN7" s="747"/>
      <c r="BO7" s="747"/>
      <c r="BP7" s="747"/>
      <c r="BQ7" s="747"/>
      <c r="BR7" s="747"/>
      <c r="BS7" s="747"/>
      <c r="BT7" s="747"/>
      <c r="BU7" s="747"/>
      <c r="BV7" s="747"/>
      <c r="BW7" s="747"/>
      <c r="BX7" s="747"/>
      <c r="BY7" s="747"/>
      <c r="BZ7" s="747"/>
      <c r="CA7" s="747"/>
      <c r="CB7" s="747"/>
      <c r="CC7" s="747"/>
      <c r="CD7" s="747"/>
      <c r="CE7" s="747"/>
      <c r="CF7" s="747"/>
      <c r="CG7" s="747"/>
      <c r="CH7" s="747"/>
      <c r="CI7" s="747"/>
      <c r="CJ7" s="747"/>
      <c r="CK7" s="747"/>
      <c r="CL7" s="747"/>
      <c r="CM7" s="747"/>
      <c r="CN7" s="747"/>
      <c r="CO7" s="747"/>
      <c r="CP7" s="747"/>
      <c r="CQ7" s="747"/>
      <c r="CR7" s="747"/>
      <c r="CS7" s="747"/>
      <c r="CT7" s="747"/>
      <c r="CU7" s="747"/>
      <c r="CV7" s="747"/>
      <c r="CW7" s="747"/>
      <c r="CX7" s="747"/>
      <c r="CY7" s="747"/>
      <c r="CZ7" s="747"/>
      <c r="DA7" s="747"/>
      <c r="DB7" s="747"/>
      <c r="DC7" s="747"/>
      <c r="DD7" s="747"/>
      <c r="DE7" s="747"/>
      <c r="DF7" s="747"/>
      <c r="DG7" s="747"/>
      <c r="DH7" s="747"/>
      <c r="DI7" s="747"/>
      <c r="DJ7" s="747"/>
      <c r="DK7" s="747"/>
      <c r="DL7" s="747"/>
      <c r="DM7" s="747"/>
      <c r="DN7" s="747"/>
      <c r="DO7" s="747"/>
      <c r="DP7" s="747"/>
      <c r="DQ7" s="747"/>
      <c r="DR7" s="747"/>
      <c r="DS7" s="747"/>
      <c r="DT7" s="747"/>
      <c r="DU7" s="747"/>
      <c r="DV7" s="747"/>
      <c r="DW7" s="747"/>
      <c r="DX7" s="747"/>
      <c r="DY7" s="747"/>
      <c r="DZ7" s="747"/>
      <c r="EA7" s="747"/>
      <c r="EB7" s="747"/>
      <c r="EC7" s="747"/>
      <c r="ED7" s="747"/>
      <c r="EE7" s="747"/>
      <c r="EF7" s="747"/>
      <c r="EG7" s="747"/>
      <c r="EH7" s="747"/>
      <c r="EI7" s="747"/>
      <c r="EJ7" s="747"/>
      <c r="EK7" s="747"/>
      <c r="EL7" s="747"/>
      <c r="EM7" s="747"/>
      <c r="EN7" s="747"/>
      <c r="EO7" s="747"/>
      <c r="EP7" s="747"/>
      <c r="EQ7" s="747"/>
      <c r="ER7" s="747"/>
      <c r="ES7" s="747"/>
      <c r="ET7" s="747"/>
      <c r="EU7" s="747"/>
      <c r="EV7" s="747"/>
      <c r="EW7" s="747"/>
      <c r="EX7" s="747"/>
      <c r="EY7" s="747"/>
      <c r="EZ7" s="747"/>
      <c r="FA7" s="747"/>
      <c r="FB7" s="747"/>
      <c r="FC7" s="747"/>
      <c r="FD7" s="747"/>
      <c r="FE7" s="747"/>
      <c r="FF7" s="747"/>
      <c r="FG7" s="747"/>
      <c r="FH7" s="747"/>
      <c r="FI7" s="747"/>
      <c r="FJ7" s="747"/>
      <c r="FK7" s="747"/>
      <c r="FL7" s="747"/>
      <c r="FM7" s="747"/>
      <c r="FN7" s="747"/>
      <c r="FO7" s="747"/>
      <c r="FP7" s="747"/>
      <c r="FQ7" s="747"/>
      <c r="FR7" s="747"/>
      <c r="FS7" s="747"/>
      <c r="FT7" s="747"/>
      <c r="FU7" s="747"/>
      <c r="FV7" s="747"/>
      <c r="FW7" s="747"/>
      <c r="FX7" s="747"/>
      <c r="FY7" s="747"/>
      <c r="FZ7" s="747"/>
      <c r="GA7" s="747"/>
      <c r="GB7" s="747"/>
      <c r="GC7" s="747"/>
      <c r="GD7" s="747"/>
      <c r="GE7" s="747"/>
      <c r="GF7" s="747"/>
      <c r="GG7" s="747"/>
      <c r="GH7" s="747"/>
      <c r="GI7" s="747"/>
      <c r="GJ7" s="747"/>
      <c r="GK7" s="747"/>
      <c r="GL7" s="747"/>
      <c r="GM7" s="747"/>
      <c r="GN7" s="747"/>
      <c r="GO7" s="747"/>
      <c r="GP7" s="747"/>
      <c r="GQ7" s="747"/>
      <c r="GR7" s="747"/>
      <c r="GS7" s="747"/>
      <c r="GT7" s="747"/>
      <c r="GU7" s="747"/>
      <c r="GV7" s="747"/>
      <c r="GW7" s="747"/>
      <c r="GX7" s="747"/>
      <c r="GY7" s="747"/>
      <c r="GZ7" s="747"/>
      <c r="HA7" s="747"/>
      <c r="HB7" s="747"/>
      <c r="HC7" s="747"/>
      <c r="HD7" s="747"/>
      <c r="HE7" s="747"/>
      <c r="HF7" s="747"/>
      <c r="HG7" s="747"/>
      <c r="HH7" s="747"/>
      <c r="HI7" s="747"/>
      <c r="HJ7" s="747"/>
      <c r="HK7" s="747"/>
      <c r="HL7" s="747"/>
      <c r="HM7" s="747"/>
      <c r="HN7" s="747"/>
      <c r="HO7" s="747"/>
      <c r="HP7" s="747"/>
      <c r="HQ7" s="747"/>
      <c r="HR7" s="747"/>
      <c r="HS7" s="747"/>
      <c r="HT7" s="747"/>
      <c r="HU7" s="747"/>
      <c r="HV7" s="747"/>
      <c r="HW7" s="747"/>
      <c r="HX7" s="747"/>
      <c r="HY7" s="747"/>
      <c r="HZ7" s="747"/>
      <c r="IA7" s="747"/>
      <c r="IB7" s="747"/>
      <c r="IC7" s="747"/>
      <c r="ID7" s="747"/>
      <c r="IE7" s="747"/>
      <c r="IF7" s="747"/>
      <c r="IG7" s="747"/>
      <c r="IH7" s="747"/>
      <c r="II7" s="747"/>
      <c r="IJ7" s="747"/>
      <c r="IK7" s="747"/>
      <c r="IL7" s="747"/>
      <c r="IM7" s="747"/>
      <c r="IN7" s="747"/>
      <c r="IO7" s="747"/>
      <c r="IP7" s="747"/>
      <c r="IQ7" s="747"/>
      <c r="IR7" s="747"/>
      <c r="IS7" s="747"/>
      <c r="IT7" s="747"/>
      <c r="IU7" s="747"/>
    </row>
    <row r="8" spans="1:255" ht="27" customHeight="1">
      <c r="A8" s="878"/>
      <c r="B8" s="2322" t="s">
        <v>1184</v>
      </c>
      <c r="C8" s="2322"/>
      <c r="D8" s="2322"/>
      <c r="E8" s="1125"/>
      <c r="F8" s="1809"/>
      <c r="G8" s="1810"/>
      <c r="H8" s="1810"/>
      <c r="I8" s="1810"/>
      <c r="J8" s="1004"/>
      <c r="K8" s="1004"/>
      <c r="L8" s="1004"/>
      <c r="M8" s="1004"/>
      <c r="N8" s="1004"/>
      <c r="O8" s="878"/>
      <c r="P8" s="878"/>
      <c r="Q8" s="878"/>
      <c r="R8" s="878"/>
      <c r="S8" s="878"/>
      <c r="T8" s="878"/>
      <c r="U8" s="878"/>
      <c r="V8" s="878"/>
      <c r="W8" s="747"/>
      <c r="X8" s="747"/>
      <c r="Y8" s="747"/>
      <c r="Z8" s="747"/>
      <c r="AA8" s="747"/>
      <c r="AB8" s="747"/>
      <c r="AC8" s="747"/>
      <c r="AD8" s="747"/>
      <c r="AE8" s="747"/>
      <c r="AF8" s="747"/>
      <c r="AG8" s="747"/>
      <c r="AH8" s="747"/>
      <c r="AI8" s="747"/>
      <c r="AJ8" s="747"/>
      <c r="AK8" s="747"/>
      <c r="AL8" s="747"/>
      <c r="AM8" s="747"/>
      <c r="AN8" s="747"/>
      <c r="AO8" s="747"/>
      <c r="AP8" s="747"/>
      <c r="AQ8" s="747"/>
      <c r="AR8" s="747"/>
      <c r="AS8" s="747"/>
      <c r="AT8" s="747"/>
      <c r="AU8" s="747"/>
      <c r="AV8" s="747"/>
      <c r="AW8" s="747"/>
      <c r="AX8" s="747"/>
      <c r="AY8" s="747"/>
      <c r="AZ8" s="747"/>
      <c r="BA8" s="747"/>
      <c r="BB8" s="747"/>
      <c r="BC8" s="747"/>
      <c r="BD8" s="747"/>
      <c r="BE8" s="747"/>
      <c r="BF8" s="747"/>
      <c r="BG8" s="747"/>
      <c r="BH8" s="747"/>
      <c r="BI8" s="747"/>
      <c r="BJ8" s="747"/>
      <c r="BK8" s="747"/>
      <c r="BL8" s="747"/>
      <c r="BM8" s="747"/>
      <c r="BN8" s="747"/>
      <c r="BO8" s="747"/>
      <c r="BP8" s="747"/>
      <c r="BQ8" s="747"/>
      <c r="BR8" s="747"/>
      <c r="BS8" s="747"/>
      <c r="BT8" s="747"/>
      <c r="BU8" s="747"/>
      <c r="BV8" s="747"/>
      <c r="BW8" s="747"/>
      <c r="BX8" s="747"/>
      <c r="BY8" s="747"/>
      <c r="BZ8" s="747"/>
      <c r="CA8" s="747"/>
      <c r="CB8" s="747"/>
      <c r="CC8" s="747"/>
      <c r="CD8" s="747"/>
      <c r="CE8" s="747"/>
      <c r="CF8" s="747"/>
      <c r="CG8" s="747"/>
      <c r="CH8" s="747"/>
      <c r="CI8" s="747"/>
      <c r="CJ8" s="747"/>
      <c r="CK8" s="747"/>
      <c r="CL8" s="747"/>
      <c r="CM8" s="747"/>
      <c r="CN8" s="747"/>
      <c r="CO8" s="747"/>
      <c r="CP8" s="747"/>
      <c r="CQ8" s="747"/>
      <c r="CR8" s="747"/>
      <c r="CS8" s="747"/>
      <c r="CT8" s="747"/>
      <c r="CU8" s="747"/>
      <c r="CV8" s="747"/>
      <c r="CW8" s="747"/>
      <c r="CX8" s="747"/>
      <c r="CY8" s="747"/>
      <c r="CZ8" s="747"/>
      <c r="DA8" s="747"/>
      <c r="DB8" s="747"/>
      <c r="DC8" s="747"/>
      <c r="DD8" s="747"/>
      <c r="DE8" s="747"/>
      <c r="DF8" s="747"/>
      <c r="DG8" s="747"/>
      <c r="DH8" s="747"/>
      <c r="DI8" s="747"/>
      <c r="DJ8" s="747"/>
      <c r="DK8" s="747"/>
      <c r="DL8" s="747"/>
      <c r="DM8" s="747"/>
      <c r="DN8" s="747"/>
      <c r="DO8" s="747"/>
      <c r="DP8" s="747"/>
      <c r="DQ8" s="747"/>
      <c r="DR8" s="747"/>
      <c r="DS8" s="747"/>
      <c r="DT8" s="747"/>
      <c r="DU8" s="747"/>
      <c r="DV8" s="747"/>
      <c r="DW8" s="747"/>
      <c r="DX8" s="747"/>
      <c r="DY8" s="747"/>
      <c r="DZ8" s="747"/>
      <c r="EA8" s="747"/>
      <c r="EB8" s="747"/>
      <c r="EC8" s="747"/>
      <c r="ED8" s="747"/>
      <c r="EE8" s="747"/>
      <c r="EF8" s="747"/>
      <c r="EG8" s="747"/>
      <c r="EH8" s="747"/>
      <c r="EI8" s="747"/>
      <c r="EJ8" s="747"/>
      <c r="EK8" s="747"/>
      <c r="EL8" s="747"/>
      <c r="EM8" s="747"/>
      <c r="EN8" s="747"/>
      <c r="EO8" s="747"/>
      <c r="EP8" s="747"/>
      <c r="EQ8" s="747"/>
      <c r="ER8" s="747"/>
      <c r="ES8" s="747"/>
      <c r="ET8" s="747"/>
      <c r="EU8" s="747"/>
      <c r="EV8" s="747"/>
      <c r="EW8" s="747"/>
      <c r="EX8" s="747"/>
      <c r="EY8" s="747"/>
      <c r="EZ8" s="747"/>
      <c r="FA8" s="747"/>
      <c r="FB8" s="747"/>
      <c r="FC8" s="747"/>
      <c r="FD8" s="747"/>
      <c r="FE8" s="747"/>
      <c r="FF8" s="747"/>
      <c r="FG8" s="747"/>
      <c r="FH8" s="747"/>
      <c r="FI8" s="747"/>
      <c r="FJ8" s="747"/>
      <c r="FK8" s="747"/>
      <c r="FL8" s="747"/>
      <c r="FM8" s="747"/>
      <c r="FN8" s="747"/>
      <c r="FO8" s="747"/>
      <c r="FP8" s="747"/>
      <c r="FQ8" s="747"/>
      <c r="FR8" s="747"/>
      <c r="FS8" s="747"/>
      <c r="FT8" s="747"/>
      <c r="FU8" s="747"/>
      <c r="FV8" s="747"/>
      <c r="FW8" s="747"/>
      <c r="FX8" s="747"/>
      <c r="FY8" s="747"/>
      <c r="FZ8" s="747"/>
      <c r="GA8" s="747"/>
      <c r="GB8" s="747"/>
      <c r="GC8" s="747"/>
      <c r="GD8" s="747"/>
      <c r="GE8" s="747"/>
      <c r="GF8" s="747"/>
      <c r="GG8" s="747"/>
      <c r="GH8" s="747"/>
      <c r="GI8" s="747"/>
      <c r="GJ8" s="747"/>
      <c r="GK8" s="747"/>
      <c r="GL8" s="747"/>
      <c r="GM8" s="747"/>
      <c r="GN8" s="747"/>
      <c r="GO8" s="747"/>
      <c r="GP8" s="747"/>
      <c r="GQ8" s="747"/>
      <c r="GR8" s="747"/>
      <c r="GS8" s="747"/>
      <c r="GT8" s="747"/>
      <c r="GU8" s="747"/>
      <c r="GV8" s="747"/>
      <c r="GW8" s="747"/>
      <c r="GX8" s="747"/>
      <c r="GY8" s="747"/>
      <c r="GZ8" s="747"/>
      <c r="HA8" s="747"/>
      <c r="HB8" s="747"/>
      <c r="HC8" s="747"/>
      <c r="HD8" s="747"/>
      <c r="HE8" s="747"/>
      <c r="HF8" s="747"/>
      <c r="HG8" s="747"/>
      <c r="HH8" s="747"/>
      <c r="HI8" s="747"/>
      <c r="HJ8" s="747"/>
      <c r="HK8" s="747"/>
      <c r="HL8" s="747"/>
      <c r="HM8" s="747"/>
      <c r="HN8" s="747"/>
      <c r="HO8" s="747"/>
      <c r="HP8" s="747"/>
      <c r="HQ8" s="747"/>
      <c r="HR8" s="747"/>
      <c r="HS8" s="747"/>
      <c r="HT8" s="747"/>
      <c r="HU8" s="747"/>
      <c r="HV8" s="747"/>
      <c r="HW8" s="747"/>
      <c r="HX8" s="747"/>
      <c r="HY8" s="747"/>
      <c r="HZ8" s="747"/>
      <c r="IA8" s="747"/>
      <c r="IB8" s="747"/>
      <c r="IC8" s="747"/>
      <c r="ID8" s="747"/>
      <c r="IE8" s="747"/>
      <c r="IF8" s="747"/>
      <c r="IG8" s="747"/>
      <c r="IH8" s="747"/>
      <c r="II8" s="747"/>
      <c r="IJ8" s="747"/>
      <c r="IK8" s="747"/>
      <c r="IL8" s="747"/>
      <c r="IM8" s="747"/>
      <c r="IN8" s="747"/>
      <c r="IO8" s="747"/>
      <c r="IP8" s="747"/>
      <c r="IQ8" s="747"/>
      <c r="IR8" s="747"/>
      <c r="IS8" s="747"/>
      <c r="IT8" s="747"/>
      <c r="IU8" s="747"/>
    </row>
    <row r="9" spans="1:255" ht="27" customHeight="1">
      <c r="A9" s="878"/>
      <c r="B9" s="2322" t="s">
        <v>1185</v>
      </c>
      <c r="C9" s="2322"/>
      <c r="D9" s="2322"/>
      <c r="E9" s="1125"/>
      <c r="F9" s="1809"/>
      <c r="G9" s="1810"/>
      <c r="H9" s="1810"/>
      <c r="I9" s="1810"/>
      <c r="J9" s="1004"/>
      <c r="K9" s="1004"/>
      <c r="L9" s="1004"/>
      <c r="M9" s="1004"/>
      <c r="N9" s="1004"/>
      <c r="O9" s="878"/>
      <c r="P9" s="878"/>
      <c r="Q9" s="878"/>
      <c r="R9" s="878"/>
      <c r="S9" s="878"/>
      <c r="T9" s="878"/>
      <c r="U9" s="878"/>
      <c r="V9" s="878"/>
      <c r="W9" s="747"/>
      <c r="X9" s="747"/>
      <c r="Y9" s="747"/>
      <c r="Z9" s="747"/>
      <c r="AA9" s="747"/>
      <c r="AB9" s="747"/>
      <c r="AC9" s="747"/>
      <c r="AD9" s="747"/>
      <c r="AE9" s="747"/>
      <c r="AF9" s="747"/>
      <c r="AG9" s="747"/>
      <c r="AH9" s="747"/>
      <c r="AI9" s="747"/>
      <c r="AJ9" s="747"/>
      <c r="AK9" s="747"/>
      <c r="AL9" s="747"/>
      <c r="AM9" s="747"/>
      <c r="AN9" s="747"/>
      <c r="AO9" s="747"/>
      <c r="AP9" s="747"/>
      <c r="AQ9" s="747"/>
      <c r="AR9" s="747"/>
      <c r="AS9" s="747"/>
      <c r="AT9" s="747"/>
      <c r="AU9" s="747"/>
      <c r="AV9" s="747"/>
      <c r="AW9" s="747"/>
      <c r="AX9" s="747"/>
      <c r="AY9" s="747"/>
      <c r="AZ9" s="747"/>
      <c r="BA9" s="747"/>
      <c r="BB9" s="747"/>
      <c r="BC9" s="747"/>
      <c r="BD9" s="747"/>
      <c r="BE9" s="747"/>
      <c r="BF9" s="747"/>
      <c r="BG9" s="747"/>
      <c r="BH9" s="747"/>
      <c r="BI9" s="747"/>
      <c r="BJ9" s="747"/>
      <c r="BK9" s="747"/>
      <c r="BL9" s="747"/>
      <c r="BM9" s="747"/>
      <c r="BN9" s="747"/>
      <c r="BO9" s="747"/>
      <c r="BP9" s="747"/>
      <c r="BQ9" s="747"/>
      <c r="BR9" s="747"/>
      <c r="BS9" s="747"/>
      <c r="BT9" s="747"/>
      <c r="BU9" s="747"/>
      <c r="BV9" s="747"/>
      <c r="BW9" s="747"/>
      <c r="BX9" s="747"/>
      <c r="BY9" s="747"/>
      <c r="BZ9" s="747"/>
      <c r="CA9" s="747"/>
      <c r="CB9" s="747"/>
      <c r="CC9" s="747"/>
      <c r="CD9" s="747"/>
      <c r="CE9" s="747"/>
      <c r="CF9" s="747"/>
      <c r="CG9" s="747"/>
      <c r="CH9" s="747"/>
      <c r="CI9" s="747"/>
      <c r="CJ9" s="747"/>
      <c r="CK9" s="747"/>
      <c r="CL9" s="747"/>
      <c r="CM9" s="747"/>
      <c r="CN9" s="747"/>
      <c r="CO9" s="747"/>
      <c r="CP9" s="747"/>
      <c r="CQ9" s="747"/>
      <c r="CR9" s="747"/>
      <c r="CS9" s="747"/>
      <c r="CT9" s="747"/>
      <c r="CU9" s="747"/>
      <c r="CV9" s="747"/>
      <c r="CW9" s="747"/>
      <c r="CX9" s="747"/>
      <c r="CY9" s="747"/>
      <c r="CZ9" s="747"/>
      <c r="DA9" s="747"/>
      <c r="DB9" s="747"/>
      <c r="DC9" s="747"/>
      <c r="DD9" s="747"/>
      <c r="DE9" s="747"/>
      <c r="DF9" s="747"/>
      <c r="DG9" s="747"/>
      <c r="DH9" s="747"/>
      <c r="DI9" s="747"/>
      <c r="DJ9" s="747"/>
      <c r="DK9" s="747"/>
      <c r="DL9" s="747"/>
      <c r="DM9" s="747"/>
      <c r="DN9" s="747"/>
      <c r="DO9" s="747"/>
      <c r="DP9" s="747"/>
      <c r="DQ9" s="747"/>
      <c r="DR9" s="747"/>
      <c r="DS9" s="747"/>
      <c r="DT9" s="747"/>
      <c r="DU9" s="747"/>
      <c r="DV9" s="747"/>
      <c r="DW9" s="747"/>
      <c r="DX9" s="747"/>
      <c r="DY9" s="747"/>
      <c r="DZ9" s="747"/>
      <c r="EA9" s="747"/>
      <c r="EB9" s="747"/>
      <c r="EC9" s="747"/>
      <c r="ED9" s="747"/>
      <c r="EE9" s="747"/>
      <c r="EF9" s="747"/>
      <c r="EG9" s="747"/>
      <c r="EH9" s="747"/>
      <c r="EI9" s="747"/>
      <c r="EJ9" s="747"/>
      <c r="EK9" s="747"/>
      <c r="EL9" s="747"/>
      <c r="EM9" s="747"/>
      <c r="EN9" s="747"/>
      <c r="EO9" s="747"/>
      <c r="EP9" s="747"/>
      <c r="EQ9" s="747"/>
      <c r="ER9" s="747"/>
      <c r="ES9" s="747"/>
      <c r="ET9" s="747"/>
      <c r="EU9" s="747"/>
      <c r="EV9" s="747"/>
      <c r="EW9" s="747"/>
      <c r="EX9" s="747"/>
      <c r="EY9" s="747"/>
      <c r="EZ9" s="747"/>
      <c r="FA9" s="747"/>
      <c r="FB9" s="747"/>
      <c r="FC9" s="747"/>
      <c r="FD9" s="747"/>
      <c r="FE9" s="747"/>
      <c r="FF9" s="747"/>
      <c r="FG9" s="747"/>
      <c r="FH9" s="747"/>
      <c r="FI9" s="747"/>
      <c r="FJ9" s="747"/>
      <c r="FK9" s="747"/>
      <c r="FL9" s="747"/>
      <c r="FM9" s="747"/>
      <c r="FN9" s="747"/>
      <c r="FO9" s="747"/>
      <c r="FP9" s="747"/>
      <c r="FQ9" s="747"/>
      <c r="FR9" s="747"/>
      <c r="FS9" s="747"/>
      <c r="FT9" s="747"/>
      <c r="FU9" s="747"/>
      <c r="FV9" s="747"/>
      <c r="FW9" s="747"/>
      <c r="FX9" s="747"/>
      <c r="FY9" s="747"/>
      <c r="FZ9" s="747"/>
      <c r="GA9" s="747"/>
      <c r="GB9" s="747"/>
      <c r="GC9" s="747"/>
      <c r="GD9" s="747"/>
      <c r="GE9" s="747"/>
      <c r="GF9" s="747"/>
      <c r="GG9" s="747"/>
      <c r="GH9" s="747"/>
      <c r="GI9" s="747"/>
      <c r="GJ9" s="747"/>
      <c r="GK9" s="747"/>
      <c r="GL9" s="747"/>
      <c r="GM9" s="747"/>
      <c r="GN9" s="747"/>
      <c r="GO9" s="747"/>
      <c r="GP9" s="747"/>
      <c r="GQ9" s="747"/>
      <c r="GR9" s="747"/>
      <c r="GS9" s="747"/>
      <c r="GT9" s="747"/>
      <c r="GU9" s="747"/>
      <c r="GV9" s="747"/>
      <c r="GW9" s="747"/>
      <c r="GX9" s="747"/>
      <c r="GY9" s="747"/>
      <c r="GZ9" s="747"/>
      <c r="HA9" s="747"/>
      <c r="HB9" s="747"/>
      <c r="HC9" s="747"/>
      <c r="HD9" s="747"/>
      <c r="HE9" s="747"/>
      <c r="HF9" s="747"/>
      <c r="HG9" s="747"/>
      <c r="HH9" s="747"/>
      <c r="HI9" s="747"/>
      <c r="HJ9" s="747"/>
      <c r="HK9" s="747"/>
      <c r="HL9" s="747"/>
      <c r="HM9" s="747"/>
      <c r="HN9" s="747"/>
      <c r="HO9" s="747"/>
      <c r="HP9" s="747"/>
      <c r="HQ9" s="747"/>
      <c r="HR9" s="747"/>
      <c r="HS9" s="747"/>
      <c r="HT9" s="747"/>
      <c r="HU9" s="747"/>
      <c r="HV9" s="747"/>
      <c r="HW9" s="747"/>
      <c r="HX9" s="747"/>
      <c r="HY9" s="747"/>
      <c r="HZ9" s="747"/>
      <c r="IA9" s="747"/>
      <c r="IB9" s="747"/>
      <c r="IC9" s="747"/>
      <c r="ID9" s="747"/>
      <c r="IE9" s="747"/>
      <c r="IF9" s="747"/>
      <c r="IG9" s="747"/>
      <c r="IH9" s="747"/>
      <c r="II9" s="747"/>
      <c r="IJ9" s="747"/>
      <c r="IK9" s="747"/>
      <c r="IL9" s="747"/>
      <c r="IM9" s="747"/>
      <c r="IN9" s="747"/>
      <c r="IO9" s="747"/>
      <c r="IP9" s="747"/>
      <c r="IQ9" s="747"/>
      <c r="IR9" s="747"/>
      <c r="IS9" s="747"/>
      <c r="IT9" s="747"/>
      <c r="IU9" s="747"/>
    </row>
    <row r="10" spans="1:255" ht="27" customHeight="1">
      <c r="A10" s="878"/>
      <c r="B10" s="2322" t="s">
        <v>1457</v>
      </c>
      <c r="C10" s="2322"/>
      <c r="D10" s="2322"/>
      <c r="E10" s="1125"/>
      <c r="F10" s="1809"/>
      <c r="G10" s="1810"/>
      <c r="H10" s="1810"/>
      <c r="I10" s="1810"/>
      <c r="J10" s="1004"/>
      <c r="K10" s="1004"/>
      <c r="L10" s="1004"/>
      <c r="M10" s="1004"/>
      <c r="N10" s="1004"/>
      <c r="O10" s="878"/>
      <c r="P10" s="878"/>
      <c r="Q10" s="878"/>
      <c r="R10" s="878"/>
      <c r="S10" s="878"/>
      <c r="T10" s="878"/>
      <c r="U10" s="878"/>
      <c r="V10" s="878"/>
      <c r="W10" s="747"/>
      <c r="X10" s="747"/>
      <c r="Y10" s="747"/>
      <c r="Z10" s="747"/>
      <c r="AA10" s="747"/>
      <c r="AB10" s="747"/>
      <c r="AC10" s="747"/>
      <c r="AD10" s="747"/>
      <c r="AE10" s="747"/>
      <c r="AF10" s="747"/>
      <c r="AG10" s="747"/>
      <c r="AH10" s="747"/>
      <c r="AI10" s="747"/>
      <c r="AJ10" s="747"/>
      <c r="AK10" s="747"/>
      <c r="AL10" s="747"/>
      <c r="AM10" s="747"/>
      <c r="AN10" s="747"/>
      <c r="AO10" s="747"/>
      <c r="AP10" s="747"/>
      <c r="AQ10" s="747"/>
      <c r="AR10" s="747"/>
      <c r="AS10" s="747"/>
      <c r="AT10" s="747"/>
      <c r="AU10" s="747"/>
      <c r="AV10" s="747"/>
      <c r="AW10" s="747"/>
      <c r="AX10" s="747"/>
      <c r="AY10" s="747"/>
      <c r="AZ10" s="747"/>
      <c r="BA10" s="747"/>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c r="CP10" s="747"/>
      <c r="CQ10" s="747"/>
      <c r="CR10" s="747"/>
      <c r="CS10" s="747"/>
      <c r="CT10" s="747"/>
      <c r="CU10" s="747"/>
      <c r="CV10" s="747"/>
      <c r="CW10" s="747"/>
      <c r="CX10" s="747"/>
      <c r="CY10" s="747"/>
      <c r="CZ10" s="747"/>
      <c r="DA10" s="747"/>
      <c r="DB10" s="747"/>
      <c r="DC10" s="747"/>
      <c r="DD10" s="747"/>
      <c r="DE10" s="747"/>
      <c r="DF10" s="747"/>
      <c r="DG10" s="747"/>
      <c r="DH10" s="747"/>
      <c r="DI10" s="747"/>
      <c r="DJ10" s="747"/>
      <c r="DK10" s="747"/>
      <c r="DL10" s="747"/>
      <c r="DM10" s="747"/>
      <c r="DN10" s="747"/>
      <c r="DO10" s="747"/>
      <c r="DP10" s="747"/>
      <c r="DQ10" s="747"/>
      <c r="DR10" s="747"/>
      <c r="DS10" s="747"/>
      <c r="DT10" s="747"/>
      <c r="DU10" s="747"/>
      <c r="DV10" s="747"/>
      <c r="DW10" s="747"/>
      <c r="DX10" s="747"/>
      <c r="DY10" s="747"/>
      <c r="DZ10" s="747"/>
      <c r="EA10" s="747"/>
      <c r="EB10" s="747"/>
      <c r="EC10" s="747"/>
      <c r="ED10" s="747"/>
      <c r="EE10" s="747"/>
      <c r="EF10" s="747"/>
      <c r="EG10" s="747"/>
      <c r="EH10" s="747"/>
      <c r="EI10" s="747"/>
      <c r="EJ10" s="747"/>
      <c r="EK10" s="747"/>
      <c r="EL10" s="747"/>
      <c r="EM10" s="747"/>
      <c r="EN10" s="747"/>
      <c r="EO10" s="747"/>
      <c r="EP10" s="747"/>
      <c r="EQ10" s="747"/>
      <c r="ER10" s="747"/>
      <c r="ES10" s="747"/>
      <c r="ET10" s="747"/>
      <c r="EU10" s="747"/>
      <c r="EV10" s="747"/>
      <c r="EW10" s="747"/>
      <c r="EX10" s="747"/>
      <c r="EY10" s="747"/>
      <c r="EZ10" s="747"/>
      <c r="FA10" s="747"/>
      <c r="FB10" s="747"/>
      <c r="FC10" s="747"/>
      <c r="FD10" s="747"/>
      <c r="FE10" s="747"/>
      <c r="FF10" s="747"/>
      <c r="FG10" s="747"/>
      <c r="FH10" s="747"/>
      <c r="FI10" s="747"/>
      <c r="FJ10" s="747"/>
      <c r="FK10" s="747"/>
      <c r="FL10" s="747"/>
      <c r="FM10" s="747"/>
      <c r="FN10" s="747"/>
      <c r="FO10" s="747"/>
      <c r="FP10" s="747"/>
      <c r="FQ10" s="747"/>
      <c r="FR10" s="747"/>
      <c r="FS10" s="747"/>
      <c r="FT10" s="747"/>
      <c r="FU10" s="747"/>
      <c r="FV10" s="747"/>
      <c r="FW10" s="747"/>
      <c r="FX10" s="747"/>
      <c r="FY10" s="747"/>
      <c r="FZ10" s="747"/>
      <c r="GA10" s="747"/>
      <c r="GB10" s="747"/>
      <c r="GC10" s="747"/>
      <c r="GD10" s="747"/>
      <c r="GE10" s="747"/>
      <c r="GF10" s="747"/>
      <c r="GG10" s="747"/>
      <c r="GH10" s="747"/>
      <c r="GI10" s="747"/>
      <c r="GJ10" s="747"/>
      <c r="GK10" s="747"/>
      <c r="GL10" s="747"/>
      <c r="GM10" s="747"/>
      <c r="GN10" s="747"/>
      <c r="GO10" s="747"/>
      <c r="GP10" s="747"/>
      <c r="GQ10" s="747"/>
      <c r="GR10" s="747"/>
      <c r="GS10" s="747"/>
      <c r="GT10" s="747"/>
      <c r="GU10" s="747"/>
      <c r="GV10" s="747"/>
      <c r="GW10" s="747"/>
      <c r="GX10" s="747"/>
      <c r="GY10" s="747"/>
      <c r="GZ10" s="747"/>
      <c r="HA10" s="747"/>
      <c r="HB10" s="747"/>
      <c r="HC10" s="747"/>
      <c r="HD10" s="747"/>
      <c r="HE10" s="747"/>
      <c r="HF10" s="747"/>
      <c r="HG10" s="747"/>
      <c r="HH10" s="747"/>
      <c r="HI10" s="747"/>
      <c r="HJ10" s="747"/>
      <c r="HK10" s="747"/>
      <c r="HL10" s="747"/>
      <c r="HM10" s="747"/>
      <c r="HN10" s="747"/>
      <c r="HO10" s="747"/>
      <c r="HP10" s="747"/>
      <c r="HQ10" s="747"/>
      <c r="HR10" s="747"/>
      <c r="HS10" s="747"/>
      <c r="HT10" s="747"/>
      <c r="HU10" s="747"/>
      <c r="HV10" s="747"/>
      <c r="HW10" s="747"/>
      <c r="HX10" s="747"/>
      <c r="HY10" s="747"/>
      <c r="HZ10" s="747"/>
      <c r="IA10" s="747"/>
      <c r="IB10" s="747"/>
      <c r="IC10" s="747"/>
      <c r="ID10" s="747"/>
      <c r="IE10" s="747"/>
      <c r="IF10" s="747"/>
      <c r="IG10" s="747"/>
      <c r="IH10" s="747"/>
      <c r="II10" s="747"/>
      <c r="IJ10" s="747"/>
      <c r="IK10" s="747"/>
      <c r="IL10" s="747"/>
      <c r="IM10" s="747"/>
      <c r="IN10" s="747"/>
      <c r="IO10" s="747"/>
      <c r="IP10" s="747"/>
      <c r="IQ10" s="747"/>
      <c r="IR10" s="747"/>
      <c r="IS10" s="747"/>
      <c r="IT10" s="747"/>
      <c r="IU10" s="747"/>
    </row>
    <row r="11" spans="1:255" ht="27" hidden="1" customHeight="1">
      <c r="A11" s="878"/>
      <c r="B11" s="2323" t="s">
        <v>1436</v>
      </c>
      <c r="C11" s="2323"/>
      <c r="D11" s="2323"/>
      <c r="E11" s="1125"/>
      <c r="F11" s="1809"/>
      <c r="G11" s="1810"/>
      <c r="H11" s="1810"/>
      <c r="I11" s="1810"/>
      <c r="J11" s="1004"/>
      <c r="K11" s="1004"/>
      <c r="L11" s="1004"/>
      <c r="M11" s="1004"/>
      <c r="N11" s="1004"/>
      <c r="O11" s="878"/>
      <c r="P11" s="878"/>
      <c r="Q11" s="878"/>
      <c r="R11" s="878"/>
      <c r="S11" s="878"/>
      <c r="T11" s="878"/>
      <c r="U11" s="878"/>
      <c r="V11" s="878"/>
      <c r="W11" s="747"/>
      <c r="X11" s="747"/>
      <c r="Y11" s="747"/>
      <c r="Z11" s="747"/>
      <c r="AA11" s="747"/>
      <c r="AB11" s="747"/>
      <c r="AC11" s="747"/>
      <c r="AD11" s="747"/>
      <c r="AE11" s="747"/>
      <c r="AF11" s="747"/>
      <c r="AG11" s="747"/>
      <c r="AH11" s="747"/>
      <c r="AI11" s="747"/>
      <c r="AJ11" s="747"/>
      <c r="AK11" s="747"/>
      <c r="AL11" s="747"/>
      <c r="AM11" s="747"/>
      <c r="AN11" s="747"/>
      <c r="AO11" s="747"/>
      <c r="AP11" s="747"/>
      <c r="AQ11" s="747"/>
      <c r="AR11" s="747"/>
      <c r="AS11" s="747"/>
      <c r="AT11" s="747"/>
      <c r="AU11" s="747"/>
      <c r="AV11" s="747"/>
      <c r="AW11" s="747"/>
      <c r="AX11" s="747"/>
      <c r="AY11" s="747"/>
      <c r="AZ11" s="747"/>
      <c r="BA11" s="747"/>
      <c r="BB11" s="747"/>
      <c r="BC11" s="747"/>
      <c r="BD11" s="747"/>
      <c r="BE11" s="747"/>
      <c r="BF11" s="747"/>
      <c r="BG11" s="747"/>
      <c r="BH11" s="747"/>
      <c r="BI11" s="747"/>
      <c r="BJ11" s="747"/>
      <c r="BK11" s="747"/>
      <c r="BL11" s="747"/>
      <c r="BM11" s="747"/>
      <c r="BN11" s="747"/>
      <c r="BO11" s="747"/>
      <c r="BP11" s="747"/>
      <c r="BQ11" s="747"/>
      <c r="BR11" s="747"/>
      <c r="BS11" s="747"/>
      <c r="BT11" s="747"/>
      <c r="BU11" s="747"/>
      <c r="BV11" s="747"/>
      <c r="BW11" s="747"/>
      <c r="BX11" s="747"/>
      <c r="BY11" s="747"/>
      <c r="BZ11" s="747"/>
      <c r="CA11" s="747"/>
      <c r="CB11" s="747"/>
      <c r="CC11" s="747"/>
      <c r="CD11" s="747"/>
      <c r="CE11" s="747"/>
      <c r="CF11" s="747"/>
      <c r="CG11" s="747"/>
      <c r="CH11" s="747"/>
      <c r="CI11" s="747"/>
      <c r="CJ11" s="747"/>
      <c r="CK11" s="747"/>
      <c r="CL11" s="747"/>
      <c r="CM11" s="747"/>
      <c r="CN11" s="747"/>
      <c r="CO11" s="747"/>
      <c r="CP11" s="747"/>
      <c r="CQ11" s="747"/>
      <c r="CR11" s="747"/>
      <c r="CS11" s="747"/>
      <c r="CT11" s="747"/>
      <c r="CU11" s="747"/>
      <c r="CV11" s="747"/>
      <c r="CW11" s="747"/>
      <c r="CX11" s="747"/>
      <c r="CY11" s="747"/>
      <c r="CZ11" s="747"/>
      <c r="DA11" s="747"/>
      <c r="DB11" s="747"/>
      <c r="DC11" s="747"/>
      <c r="DD11" s="747"/>
      <c r="DE11" s="747"/>
      <c r="DF11" s="747"/>
      <c r="DG11" s="747"/>
      <c r="DH11" s="747"/>
      <c r="DI11" s="747"/>
      <c r="DJ11" s="747"/>
      <c r="DK11" s="747"/>
      <c r="DL11" s="747"/>
      <c r="DM11" s="747"/>
      <c r="DN11" s="747"/>
      <c r="DO11" s="747"/>
      <c r="DP11" s="747"/>
      <c r="DQ11" s="747"/>
      <c r="DR11" s="747"/>
      <c r="DS11" s="747"/>
      <c r="DT11" s="747"/>
      <c r="DU11" s="747"/>
      <c r="DV11" s="747"/>
      <c r="DW11" s="747"/>
      <c r="DX11" s="747"/>
      <c r="DY11" s="747"/>
      <c r="DZ11" s="747"/>
      <c r="EA11" s="747"/>
      <c r="EB11" s="747"/>
      <c r="EC11" s="747"/>
      <c r="ED11" s="747"/>
      <c r="EE11" s="747"/>
      <c r="EF11" s="747"/>
      <c r="EG11" s="747"/>
      <c r="EH11" s="747"/>
      <c r="EI11" s="747"/>
      <c r="EJ11" s="747"/>
      <c r="EK11" s="747"/>
      <c r="EL11" s="747"/>
      <c r="EM11" s="747"/>
      <c r="EN11" s="747"/>
      <c r="EO11" s="747"/>
      <c r="EP11" s="747"/>
      <c r="EQ11" s="747"/>
      <c r="ER11" s="747"/>
      <c r="ES11" s="747"/>
      <c r="ET11" s="747"/>
      <c r="EU11" s="747"/>
      <c r="EV11" s="747"/>
      <c r="EW11" s="747"/>
      <c r="EX11" s="747"/>
      <c r="EY11" s="747"/>
      <c r="EZ11" s="747"/>
      <c r="FA11" s="747"/>
      <c r="FB11" s="747"/>
      <c r="FC11" s="747"/>
      <c r="FD11" s="747"/>
      <c r="FE11" s="747"/>
      <c r="FF11" s="747"/>
      <c r="FG11" s="747"/>
      <c r="FH11" s="747"/>
      <c r="FI11" s="747"/>
      <c r="FJ11" s="747"/>
      <c r="FK11" s="747"/>
      <c r="FL11" s="747"/>
      <c r="FM11" s="747"/>
      <c r="FN11" s="747"/>
      <c r="FO11" s="747"/>
      <c r="FP11" s="747"/>
      <c r="FQ11" s="747"/>
      <c r="FR11" s="747"/>
      <c r="FS11" s="747"/>
      <c r="FT11" s="747"/>
      <c r="FU11" s="747"/>
      <c r="FV11" s="747"/>
      <c r="FW11" s="747"/>
      <c r="FX11" s="747"/>
      <c r="FY11" s="747"/>
      <c r="FZ11" s="747"/>
      <c r="GA11" s="747"/>
      <c r="GB11" s="747"/>
      <c r="GC11" s="747"/>
      <c r="GD11" s="747"/>
      <c r="GE11" s="747"/>
      <c r="GF11" s="747"/>
      <c r="GG11" s="747"/>
      <c r="GH11" s="747"/>
      <c r="GI11" s="747"/>
      <c r="GJ11" s="747"/>
      <c r="GK11" s="747"/>
      <c r="GL11" s="747"/>
      <c r="GM11" s="747"/>
      <c r="GN11" s="747"/>
      <c r="GO11" s="747"/>
      <c r="GP11" s="747"/>
      <c r="GQ11" s="747"/>
      <c r="GR11" s="747"/>
      <c r="GS11" s="747"/>
      <c r="GT11" s="747"/>
      <c r="GU11" s="747"/>
      <c r="GV11" s="747"/>
      <c r="GW11" s="747"/>
      <c r="GX11" s="747"/>
      <c r="GY11" s="747"/>
      <c r="GZ11" s="747"/>
      <c r="HA11" s="747"/>
      <c r="HB11" s="747"/>
      <c r="HC11" s="747"/>
      <c r="HD11" s="747"/>
      <c r="HE11" s="747"/>
      <c r="HF11" s="747"/>
      <c r="HG11" s="747"/>
      <c r="HH11" s="747"/>
      <c r="HI11" s="747"/>
      <c r="HJ11" s="747"/>
      <c r="HK11" s="747"/>
      <c r="HL11" s="747"/>
      <c r="HM11" s="747"/>
      <c r="HN11" s="747"/>
      <c r="HO11" s="747"/>
      <c r="HP11" s="747"/>
      <c r="HQ11" s="747"/>
      <c r="HR11" s="747"/>
      <c r="HS11" s="747"/>
      <c r="HT11" s="747"/>
      <c r="HU11" s="747"/>
      <c r="HV11" s="747"/>
      <c r="HW11" s="747"/>
      <c r="HX11" s="747"/>
      <c r="HY11" s="747"/>
      <c r="HZ11" s="747"/>
      <c r="IA11" s="747"/>
      <c r="IB11" s="747"/>
      <c r="IC11" s="747"/>
      <c r="ID11" s="747"/>
      <c r="IE11" s="747"/>
      <c r="IF11" s="747"/>
      <c r="IG11" s="747"/>
      <c r="IH11" s="747"/>
      <c r="II11" s="747"/>
      <c r="IJ11" s="747"/>
      <c r="IK11" s="747"/>
      <c r="IL11" s="747"/>
      <c r="IM11" s="747"/>
      <c r="IN11" s="747"/>
      <c r="IO11" s="747"/>
      <c r="IP11" s="747"/>
      <c r="IQ11" s="747"/>
      <c r="IR11" s="747"/>
      <c r="IS11" s="747"/>
      <c r="IT11" s="747"/>
      <c r="IU11" s="747"/>
    </row>
    <row r="12" spans="1:255" ht="16.5" customHeight="1">
      <c r="A12" s="878"/>
      <c r="B12" s="1817"/>
      <c r="C12" s="1818"/>
      <c r="D12" s="1818"/>
      <c r="E12" s="1819"/>
      <c r="F12" s="1809"/>
      <c r="G12" s="1812"/>
      <c r="H12" s="1812"/>
      <c r="I12" s="878"/>
      <c r="J12" s="1811"/>
      <c r="K12" s="1811"/>
      <c r="L12" s="1811"/>
      <c r="M12" s="1811"/>
      <c r="N12" s="1548"/>
      <c r="O12" s="877"/>
      <c r="P12" s="877"/>
      <c r="Q12" s="877"/>
      <c r="R12" s="877"/>
      <c r="S12" s="877"/>
      <c r="T12" s="877"/>
      <c r="U12" s="877"/>
      <c r="V12" s="877"/>
    </row>
    <row r="13" spans="1:255" ht="26.25" customHeight="1">
      <c r="A13" s="878"/>
      <c r="B13" s="2314" t="s">
        <v>70</v>
      </c>
      <c r="C13" s="2315"/>
      <c r="D13" s="1829"/>
      <c r="E13" s="1830" t="s">
        <v>10</v>
      </c>
      <c r="F13" s="1809"/>
      <c r="G13" s="1812"/>
      <c r="H13" s="1812"/>
      <c r="I13" s="878"/>
      <c r="J13" s="1811"/>
      <c r="K13" s="1811"/>
      <c r="L13" s="1811"/>
      <c r="M13" s="1811"/>
      <c r="N13" s="1548"/>
      <c r="O13" s="877"/>
      <c r="P13" s="877"/>
      <c r="Q13" s="877"/>
      <c r="R13" s="877"/>
      <c r="S13" s="877"/>
      <c r="T13" s="877"/>
      <c r="U13" s="877"/>
      <c r="V13" s="877"/>
    </row>
    <row r="14" spans="1:255" ht="26.25" customHeight="1">
      <c r="A14" s="878"/>
      <c r="B14" s="2316" t="s">
        <v>72</v>
      </c>
      <c r="C14" s="2317"/>
      <c r="D14" s="2317"/>
      <c r="E14" s="1831"/>
      <c r="F14" s="1809"/>
      <c r="G14" s="1812"/>
      <c r="H14" s="1812"/>
      <c r="I14" s="878"/>
      <c r="J14" s="1811"/>
      <c r="K14" s="1811"/>
      <c r="L14" s="1811"/>
      <c r="M14" s="1811"/>
      <c r="N14" s="1548"/>
      <c r="O14" s="877"/>
      <c r="P14" s="877"/>
      <c r="Q14" s="877"/>
      <c r="R14" s="877"/>
      <c r="S14" s="877"/>
      <c r="T14" s="877"/>
      <c r="U14" s="877"/>
      <c r="V14" s="877"/>
    </row>
    <row r="15" spans="1:255" ht="26.25" customHeight="1">
      <c r="A15" s="878"/>
      <c r="B15" s="2318" t="s">
        <v>73</v>
      </c>
      <c r="C15" s="2319"/>
      <c r="D15" s="2319"/>
      <c r="E15" s="1831"/>
      <c r="F15" s="878"/>
      <c r="G15" s="1812"/>
      <c r="H15" s="1812"/>
      <c r="I15" s="1812"/>
      <c r="J15" s="1811"/>
      <c r="K15" s="1811"/>
      <c r="L15" s="1811"/>
      <c r="M15" s="1811"/>
      <c r="N15" s="1548"/>
      <c r="O15" s="877"/>
      <c r="P15" s="877"/>
      <c r="Q15" s="877"/>
      <c r="R15" s="877"/>
      <c r="S15" s="877"/>
      <c r="T15" s="877"/>
      <c r="U15" s="877"/>
      <c r="V15" s="877"/>
    </row>
    <row r="16" spans="1:255" ht="26.25" customHeight="1">
      <c r="A16" s="878"/>
      <c r="B16" s="2320" t="s">
        <v>74</v>
      </c>
      <c r="C16" s="2321"/>
      <c r="D16" s="2321"/>
      <c r="E16" s="1831"/>
      <c r="F16" s="878"/>
      <c r="G16" s="1812"/>
      <c r="H16" s="1812"/>
      <c r="I16" s="1812"/>
      <c r="J16" s="1811"/>
      <c r="K16" s="1811"/>
      <c r="L16" s="1811"/>
      <c r="M16" s="1811"/>
      <c r="N16" s="1548"/>
      <c r="O16" s="877"/>
      <c r="P16" s="877"/>
      <c r="Q16" s="877"/>
      <c r="R16" s="877"/>
      <c r="S16" s="877"/>
      <c r="T16" s="877"/>
      <c r="U16" s="877"/>
      <c r="V16" s="877"/>
    </row>
    <row r="17" spans="1:22" ht="26.25" customHeight="1">
      <c r="A17" s="878"/>
      <c r="B17" s="2310" t="s">
        <v>75</v>
      </c>
      <c r="C17" s="2311"/>
      <c r="D17" s="2311"/>
      <c r="E17" s="1831"/>
      <c r="F17" s="878"/>
      <c r="G17" s="1813"/>
      <c r="H17" s="1813"/>
      <c r="I17" s="1813"/>
      <c r="J17" s="1811"/>
      <c r="K17" s="1811"/>
      <c r="L17" s="1811"/>
      <c r="M17" s="1811"/>
      <c r="N17" s="1548"/>
      <c r="O17" s="877"/>
      <c r="P17" s="877"/>
      <c r="Q17" s="877"/>
      <c r="R17" s="877"/>
      <c r="S17" s="877"/>
      <c r="T17" s="877"/>
      <c r="U17" s="877"/>
      <c r="V17" s="877"/>
    </row>
    <row r="18" spans="1:22" ht="26.25" customHeight="1">
      <c r="A18" s="878"/>
      <c r="B18" s="2312" t="s">
        <v>76</v>
      </c>
      <c r="C18" s="2313"/>
      <c r="D18" s="1832"/>
      <c r="E18" s="1833">
        <f>SUM(E14:E17)</f>
        <v>0</v>
      </c>
      <c r="F18" s="878"/>
      <c r="G18" s="1827" t="s">
        <v>1439</v>
      </c>
      <c r="H18" s="1813"/>
      <c r="I18" s="1813"/>
      <c r="J18" s="1811"/>
      <c r="K18" s="1811"/>
      <c r="L18" s="1811"/>
      <c r="M18" s="1811"/>
      <c r="N18" s="1548"/>
      <c r="O18" s="877"/>
      <c r="P18" s="877"/>
      <c r="Q18" s="877"/>
      <c r="R18" s="877"/>
      <c r="S18" s="877"/>
      <c r="T18" s="877"/>
      <c r="U18" s="877"/>
      <c r="V18" s="877"/>
    </row>
    <row r="19" spans="1:22" ht="16.5" customHeight="1">
      <c r="A19" s="878"/>
      <c r="B19" s="1828"/>
      <c r="C19" s="1828"/>
      <c r="D19" s="1828"/>
      <c r="E19" s="1828"/>
      <c r="F19" s="878"/>
      <c r="G19" s="1814"/>
      <c r="H19" s="1814"/>
      <c r="I19" s="1814"/>
      <c r="J19" s="1811"/>
      <c r="K19" s="1811"/>
      <c r="L19" s="1811"/>
      <c r="M19" s="1811"/>
      <c r="N19" s="1548"/>
      <c r="O19" s="877"/>
      <c r="P19" s="877"/>
      <c r="Q19" s="877"/>
      <c r="R19" s="877"/>
      <c r="S19" s="877"/>
      <c r="T19" s="877"/>
      <c r="U19" s="877"/>
      <c r="V19" s="877"/>
    </row>
    <row r="20" spans="1:22" ht="27" customHeight="1">
      <c r="A20" s="878"/>
      <c r="B20" s="2331" t="s">
        <v>1298</v>
      </c>
      <c r="C20" s="2332"/>
      <c r="D20" s="2332"/>
      <c r="E20" s="1830" t="s">
        <v>1301</v>
      </c>
      <c r="F20" s="877"/>
      <c r="G20" s="2333" t="s">
        <v>1304</v>
      </c>
      <c r="H20" s="2334"/>
      <c r="I20" s="1548"/>
      <c r="J20" s="1548"/>
      <c r="K20" s="1548"/>
      <c r="L20" s="1548"/>
      <c r="M20" s="1548"/>
      <c r="N20" s="1548"/>
      <c r="O20" s="877"/>
      <c r="P20" s="877"/>
      <c r="Q20" s="877"/>
      <c r="R20" s="877"/>
      <c r="S20" s="877"/>
      <c r="T20" s="877"/>
      <c r="U20" s="877"/>
      <c r="V20" s="877"/>
    </row>
    <row r="21" spans="1:22" ht="27" customHeight="1">
      <c r="A21" s="878"/>
      <c r="B21" s="2320" t="s">
        <v>1305</v>
      </c>
      <c r="C21" s="2321"/>
      <c r="D21" s="2321"/>
      <c r="E21" s="1586"/>
      <c r="F21" s="877"/>
      <c r="G21" s="1589" t="s">
        <v>1307</v>
      </c>
      <c r="H21" s="1588">
        <v>0.32</v>
      </c>
      <c r="I21" s="1548"/>
      <c r="J21" s="1548"/>
      <c r="K21" s="1548"/>
      <c r="L21" s="1548"/>
      <c r="M21" s="1548"/>
      <c r="N21" s="1548"/>
      <c r="O21" s="1548"/>
      <c r="P21" s="877"/>
      <c r="Q21" s="877"/>
      <c r="R21" s="877"/>
      <c r="S21" s="877"/>
      <c r="T21" s="877"/>
      <c r="U21" s="877"/>
      <c r="V21" s="877"/>
    </row>
    <row r="22" spans="1:22" ht="27" customHeight="1">
      <c r="A22" s="878"/>
      <c r="B22" s="2320" t="s">
        <v>1306</v>
      </c>
      <c r="C22" s="2321"/>
      <c r="D22" s="2321"/>
      <c r="E22" s="1586"/>
      <c r="F22" s="877"/>
      <c r="G22" s="1589" t="s">
        <v>1307</v>
      </c>
      <c r="H22" s="1588">
        <v>0.32</v>
      </c>
      <c r="I22" s="1548"/>
      <c r="J22" s="1548"/>
      <c r="K22" s="1548"/>
      <c r="L22" s="1548"/>
      <c r="M22" s="1548"/>
      <c r="N22" s="1548"/>
      <c r="O22" s="1548"/>
      <c r="P22" s="877"/>
      <c r="Q22" s="877"/>
      <c r="R22" s="877"/>
      <c r="S22" s="877"/>
      <c r="T22" s="877"/>
      <c r="U22" s="877"/>
      <c r="V22" s="877"/>
    </row>
    <row r="23" spans="1:22" ht="27" customHeight="1">
      <c r="A23" s="878"/>
      <c r="B23" s="2320" t="s">
        <v>1300</v>
      </c>
      <c r="C23" s="2321"/>
      <c r="D23" s="2321"/>
      <c r="E23" s="1586"/>
      <c r="F23" s="877"/>
      <c r="G23" s="1589" t="s">
        <v>1308</v>
      </c>
      <c r="H23" s="1591">
        <v>2.2000000000000002</v>
      </c>
      <c r="I23" s="1548"/>
      <c r="J23" s="1548"/>
      <c r="K23" s="1548"/>
      <c r="L23" s="1548"/>
      <c r="M23" s="1548"/>
      <c r="N23" s="1548"/>
      <c r="O23" s="1548"/>
      <c r="P23" s="877"/>
      <c r="Q23" s="877"/>
      <c r="R23" s="877"/>
      <c r="S23" s="877"/>
      <c r="T23" s="877"/>
      <c r="U23" s="877"/>
      <c r="V23" s="877"/>
    </row>
    <row r="24" spans="1:22" ht="27" customHeight="1">
      <c r="A24" s="878"/>
      <c r="B24" s="2329" t="s">
        <v>1299</v>
      </c>
      <c r="C24" s="2330"/>
      <c r="D24" s="2330"/>
      <c r="E24" s="1587"/>
      <c r="F24" s="877"/>
      <c r="G24" s="1590" t="s">
        <v>1308</v>
      </c>
      <c r="H24" s="1592">
        <v>2.2000000000000002</v>
      </c>
      <c r="I24" s="1548"/>
      <c r="J24" s="1815"/>
      <c r="K24" s="1815"/>
      <c r="L24" s="1815"/>
      <c r="M24" s="1548"/>
      <c r="N24" s="1548"/>
      <c r="O24" s="1548"/>
      <c r="P24" s="877"/>
      <c r="Q24" s="877"/>
      <c r="R24" s="877"/>
      <c r="S24" s="877"/>
      <c r="T24" s="877"/>
      <c r="U24" s="877"/>
      <c r="V24" s="877"/>
    </row>
    <row r="25" spans="1:22" ht="20.25" customHeight="1">
      <c r="A25" s="878"/>
      <c r="B25" s="877"/>
      <c r="C25" s="877"/>
      <c r="D25" s="877"/>
      <c r="E25" s="877"/>
      <c r="F25" s="877"/>
      <c r="G25" s="877"/>
      <c r="H25" s="1548"/>
      <c r="I25" s="1548"/>
      <c r="J25" s="1815"/>
      <c r="K25" s="1815"/>
      <c r="L25" s="1815"/>
      <c r="M25" s="1548"/>
      <c r="N25" s="1548"/>
      <c r="O25" s="1548"/>
      <c r="P25" s="877"/>
      <c r="Q25" s="877"/>
      <c r="R25" s="877"/>
      <c r="S25" s="877"/>
      <c r="T25" s="877"/>
      <c r="U25" s="877"/>
      <c r="V25" s="877"/>
    </row>
    <row r="26" spans="1:22" ht="20.25" customHeight="1">
      <c r="A26" s="878"/>
      <c r="B26" s="877"/>
      <c r="C26" s="877"/>
      <c r="D26" s="877"/>
      <c r="E26" s="877"/>
      <c r="F26" s="877"/>
      <c r="G26" s="877"/>
      <c r="H26" s="1548"/>
      <c r="I26" s="1548"/>
      <c r="J26" s="1815"/>
      <c r="K26" s="1815"/>
      <c r="L26" s="1815"/>
      <c r="M26" s="1548"/>
      <c r="N26" s="1548"/>
      <c r="O26" s="1548"/>
      <c r="P26" s="877"/>
      <c r="Q26" s="877"/>
      <c r="R26" s="877"/>
      <c r="S26" s="877"/>
      <c r="T26" s="877"/>
      <c r="U26" s="877"/>
      <c r="V26" s="877"/>
    </row>
    <row r="27" spans="1:22" ht="20.25" customHeight="1">
      <c r="A27" s="878"/>
      <c r="B27" s="877"/>
      <c r="C27" s="877"/>
      <c r="D27" s="877"/>
      <c r="E27" s="877"/>
      <c r="F27" s="877"/>
      <c r="G27" s="877"/>
      <c r="H27" s="877"/>
      <c r="I27" s="1548"/>
      <c r="J27" s="1815"/>
      <c r="K27" s="1815"/>
      <c r="L27" s="1815"/>
      <c r="M27" s="1548"/>
      <c r="N27" s="1816"/>
      <c r="O27" s="877"/>
      <c r="P27" s="877"/>
      <c r="Q27" s="877"/>
      <c r="R27" s="877"/>
      <c r="S27" s="877"/>
      <c r="T27" s="877"/>
      <c r="U27" s="877"/>
      <c r="V27" s="877"/>
    </row>
    <row r="28" spans="1:22" ht="20.25" customHeight="1">
      <c r="A28" s="878"/>
      <c r="B28" s="877"/>
      <c r="C28" s="877"/>
      <c r="D28" s="877"/>
      <c r="E28" s="877"/>
      <c r="F28" s="877"/>
      <c r="G28" s="877"/>
      <c r="H28" s="877"/>
      <c r="I28" s="1548"/>
      <c r="J28" s="1548"/>
      <c r="K28" s="1548"/>
      <c r="L28" s="1548"/>
      <c r="M28" s="1548"/>
      <c r="N28" s="1816"/>
      <c r="O28" s="877"/>
      <c r="P28" s="877"/>
      <c r="Q28" s="877"/>
      <c r="R28" s="877"/>
      <c r="S28" s="877"/>
      <c r="T28" s="877"/>
      <c r="U28" s="877"/>
      <c r="V28" s="877"/>
    </row>
    <row r="29" spans="1:22" ht="20.25" customHeight="1">
      <c r="A29" s="877"/>
      <c r="B29" s="877"/>
      <c r="C29" s="877"/>
      <c r="D29" s="877"/>
      <c r="E29" s="877"/>
      <c r="F29" s="877"/>
      <c r="G29" s="877"/>
      <c r="H29" s="877"/>
      <c r="I29" s="877"/>
      <c r="J29" s="1816"/>
      <c r="K29" s="1816"/>
      <c r="L29" s="1816"/>
      <c r="M29" s="1816"/>
      <c r="N29" s="1816"/>
      <c r="O29" s="877"/>
      <c r="P29" s="877"/>
      <c r="Q29" s="877"/>
      <c r="R29" s="877"/>
      <c r="S29" s="877"/>
      <c r="T29" s="877"/>
      <c r="U29" s="877"/>
      <c r="V29" s="877"/>
    </row>
    <row r="30" spans="1:22" ht="20.25" customHeight="1">
      <c r="A30" s="877"/>
      <c r="B30" s="877"/>
      <c r="C30" s="877"/>
      <c r="D30" s="877"/>
      <c r="E30" s="877"/>
      <c r="F30" s="877"/>
      <c r="G30" s="877"/>
      <c r="H30" s="877"/>
      <c r="I30" s="877"/>
      <c r="J30" s="1816"/>
      <c r="K30" s="1816"/>
      <c r="L30" s="1816"/>
      <c r="M30" s="1816"/>
      <c r="N30" s="1816"/>
      <c r="O30" s="877"/>
      <c r="P30" s="877"/>
      <c r="Q30" s="877"/>
      <c r="R30" s="877"/>
      <c r="S30" s="877"/>
      <c r="T30" s="877"/>
      <c r="U30" s="877"/>
      <c r="V30" s="877"/>
    </row>
    <row r="31" spans="1:22" ht="20.25" customHeight="1">
      <c r="A31" s="877"/>
      <c r="B31" s="877"/>
      <c r="C31" s="877"/>
      <c r="D31" s="877"/>
      <c r="E31" s="877"/>
      <c r="F31" s="877"/>
      <c r="G31" s="877"/>
      <c r="H31" s="877"/>
      <c r="I31" s="877"/>
      <c r="J31" s="1816"/>
      <c r="K31" s="1816"/>
      <c r="L31" s="1816"/>
      <c r="M31" s="1816"/>
      <c r="N31" s="1816"/>
      <c r="O31" s="877"/>
      <c r="P31" s="877"/>
      <c r="Q31" s="877"/>
      <c r="R31" s="877"/>
      <c r="S31" s="877"/>
      <c r="T31" s="877"/>
      <c r="U31" s="877"/>
      <c r="V31" s="877"/>
    </row>
    <row r="32" spans="1:22" ht="20.25" customHeight="1">
      <c r="A32" s="877"/>
      <c r="B32" s="877"/>
      <c r="C32" s="877"/>
      <c r="D32" s="877"/>
      <c r="E32" s="877"/>
      <c r="F32" s="877"/>
      <c r="G32" s="877"/>
      <c r="H32" s="877"/>
      <c r="I32" s="877"/>
      <c r="J32" s="1816"/>
      <c r="K32" s="1816"/>
      <c r="L32" s="1816"/>
      <c r="M32" s="1816"/>
      <c r="N32" s="1816"/>
      <c r="O32" s="877"/>
      <c r="P32" s="877"/>
      <c r="Q32" s="877"/>
      <c r="R32" s="877"/>
      <c r="S32" s="877"/>
      <c r="T32" s="877"/>
      <c r="U32" s="877"/>
      <c r="V32" s="877"/>
    </row>
    <row r="33" spans="1:22" ht="20.25" customHeight="1">
      <c r="A33" s="877"/>
      <c r="B33" s="877"/>
      <c r="C33" s="877"/>
      <c r="D33" s="877"/>
      <c r="E33" s="877"/>
      <c r="F33" s="877"/>
      <c r="G33" s="877"/>
      <c r="H33" s="877"/>
      <c r="I33" s="877"/>
      <c r="J33" s="1816"/>
      <c r="K33" s="1816"/>
      <c r="L33" s="1816"/>
      <c r="M33" s="1816"/>
      <c r="N33" s="1816"/>
      <c r="O33" s="877"/>
      <c r="P33" s="877"/>
      <c r="Q33" s="877"/>
      <c r="R33" s="877"/>
      <c r="S33" s="877"/>
      <c r="T33" s="877"/>
      <c r="U33" s="877"/>
      <c r="V33" s="877"/>
    </row>
    <row r="34" spans="1:22" ht="20.25" customHeight="1">
      <c r="A34" s="877"/>
      <c r="B34" s="877"/>
      <c r="C34" s="877"/>
      <c r="D34" s="877"/>
      <c r="E34" s="877"/>
      <c r="F34" s="877"/>
      <c r="G34" s="877"/>
      <c r="H34" s="877"/>
      <c r="I34" s="877"/>
      <c r="J34" s="1816"/>
      <c r="K34" s="1816"/>
      <c r="L34" s="1816"/>
      <c r="M34" s="1816"/>
      <c r="N34" s="1816"/>
      <c r="O34" s="877"/>
      <c r="P34" s="877"/>
      <c r="Q34" s="877"/>
      <c r="R34" s="877"/>
      <c r="S34" s="877"/>
      <c r="T34" s="877"/>
      <c r="U34" s="877"/>
      <c r="V34" s="877"/>
    </row>
    <row r="35" spans="1:22" ht="20.25" hidden="1" customHeight="1">
      <c r="B35" s="1" t="s">
        <v>1457</v>
      </c>
      <c r="C35" s="1" t="s">
        <v>5</v>
      </c>
    </row>
    <row r="36" spans="1:22" ht="20.25" hidden="1" customHeight="1">
      <c r="C36" s="1" t="s">
        <v>1458</v>
      </c>
    </row>
    <row r="37" spans="1:22" ht="20.25" hidden="1" customHeight="1">
      <c r="C37" s="1" t="s">
        <v>6</v>
      </c>
    </row>
    <row r="38" spans="1:22" ht="20.25" hidden="1" customHeight="1">
      <c r="C38" s="1" t="s">
        <v>1459</v>
      </c>
    </row>
    <row r="39" spans="1:22" ht="20.25" hidden="1" customHeight="1">
      <c r="C39" s="1" t="s">
        <v>29</v>
      </c>
    </row>
  </sheetData>
  <sheetProtection algorithmName="SHA-512" hashValue="LpCjMf3K9g/kVGf9/+TlBSmkizq5+FKUr90q2mEmgEtENpNWi4GYR/4+JtwD/9ExDNC51xGlkq2MN5KCoaRAwQ==" saltValue="2UN24AbADWfZzVhTSNzBHg==" spinCount="100000" sheet="1" formatCells="0" formatColumns="0" formatRows="0"/>
  <mergeCells count="20">
    <mergeCell ref="B23:D23"/>
    <mergeCell ref="B24:D24"/>
    <mergeCell ref="B20:D20"/>
    <mergeCell ref="G20:H20"/>
    <mergeCell ref="B21:D21"/>
    <mergeCell ref="B22:D22"/>
    <mergeCell ref="D1:I1"/>
    <mergeCell ref="B17:D17"/>
    <mergeCell ref="B18:C18"/>
    <mergeCell ref="B13:C13"/>
    <mergeCell ref="B14:D14"/>
    <mergeCell ref="B15:D15"/>
    <mergeCell ref="B16:D16"/>
    <mergeCell ref="B8:D8"/>
    <mergeCell ref="B9:D9"/>
    <mergeCell ref="B11:D11"/>
    <mergeCell ref="B5:D5"/>
    <mergeCell ref="B4:D4"/>
    <mergeCell ref="B6:D6"/>
    <mergeCell ref="B10:D10"/>
  </mergeCells>
  <dataValidations count="3">
    <dataValidation type="list" operator="equal" allowBlank="1" showErrorMessage="1" sqref="E8">
      <formula1>Liste_ja</formula1>
    </dataValidation>
    <dataValidation type="list" operator="equal" allowBlank="1" showInputMessage="1" showErrorMessage="1" sqref="E9 E11">
      <formula1>Liste_ja</formula1>
      <formula2>0</formula2>
    </dataValidation>
    <dataValidation type="list" allowBlank="1" showInputMessage="1" showErrorMessage="1" sqref="E10">
      <formula1>$C$35:$C$39</formula1>
    </dataValidation>
  </dataValidations>
  <hyperlinks>
    <hyperlink ref="J1" location="Tiere!A1" display="►"/>
  </hyperlinks>
  <printOptions horizontalCentered="1"/>
  <pageMargins left="0.62992125984251968" right="0.6692913385826772" top="1.0629921259842521" bottom="0.51181102362204722" header="0.51181102362204722" footer="0.51181102362204722"/>
  <pageSetup paperSize="9" scale="110" firstPageNumber="0" orientation="portrait" blackAndWhite="1" horizontalDpi="300" verticalDpi="300" r:id="rId1"/>
  <headerFooter alignWithMargins="0">
    <oddHeader>&amp;R&amp;G</oddHead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6" tint="-0.249977111117893"/>
  </sheetPr>
  <dimension ref="A1:IV102"/>
  <sheetViews>
    <sheetView zoomScale="90" zoomScaleNormal="90" workbookViewId="0">
      <selection activeCell="N23" sqref="N23"/>
    </sheetView>
  </sheetViews>
  <sheetFormatPr baseColWidth="10" defaultColWidth="12.7109375" defaultRowHeight="12.75"/>
  <cols>
    <col min="1" max="1" width="12.7109375" style="10" customWidth="1"/>
    <col min="2" max="2" width="6.7109375" style="10" customWidth="1"/>
    <col min="3" max="3" width="21" style="10" customWidth="1"/>
    <col min="4" max="4" width="20.7109375"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5703125" style="10" hidden="1" customWidth="1"/>
    <col min="22" max="22" width="12" style="10" hidden="1" customWidth="1"/>
    <col min="23" max="23" width="17.42578125" style="10" hidden="1" customWidth="1"/>
    <col min="24" max="24" width="13.5703125" style="10" customWidth="1"/>
    <col min="25" max="26" width="17.855468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1175</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f>Grünland!C9</f>
        <v>0</v>
      </c>
      <c r="D2" s="2626"/>
      <c r="E2" s="2627"/>
      <c r="F2" s="818"/>
      <c r="G2" s="1800" t="s">
        <v>1002</v>
      </c>
      <c r="H2" s="2635">
        <f>Grünland!D9</f>
        <v>0</v>
      </c>
      <c r="I2" s="2636"/>
      <c r="J2" s="818"/>
      <c r="K2" s="1801" t="s">
        <v>863</v>
      </c>
      <c r="L2" s="1800" t="s">
        <v>679</v>
      </c>
      <c r="M2" s="1040">
        <f>Grünland!H9</f>
        <v>0</v>
      </c>
      <c r="N2" s="2616" t="s">
        <v>1049</v>
      </c>
      <c r="O2" s="2617"/>
      <c r="P2" s="2653">
        <f>Grünland!J9</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Grünland!G9</f>
        <v>0</v>
      </c>
      <c r="F3" s="818"/>
      <c r="G3" s="1044" t="s">
        <v>1048</v>
      </c>
      <c r="H3" s="2633">
        <f>Grünland!E9</f>
        <v>0</v>
      </c>
      <c r="I3" s="2634"/>
      <c r="J3" s="818"/>
      <c r="K3" s="818"/>
      <c r="L3" s="1050" t="s">
        <v>1050</v>
      </c>
      <c r="M3" s="2618">
        <f>Grünland!F9</f>
        <v>0</v>
      </c>
      <c r="N3" s="2619"/>
      <c r="O3" s="2619"/>
      <c r="P3" s="2619"/>
      <c r="Q3" s="2620"/>
      <c r="R3" s="1859" t="str">
        <f>Grünland!AH9</f>
        <v>günstig</v>
      </c>
      <c r="S3" s="1859" t="str">
        <f>Grünland!AI9</f>
        <v>bis 2,5 km</v>
      </c>
      <c r="T3" s="1859"/>
      <c r="U3" s="819"/>
      <c r="V3" s="819"/>
      <c r="W3" s="819"/>
      <c r="X3" s="819"/>
      <c r="Y3" s="819"/>
      <c r="Z3" s="819"/>
      <c r="AA3" s="835"/>
      <c r="AB3" s="1852"/>
      <c r="AC3" s="1852"/>
      <c r="AE3" s="1860">
        <f>Grünland!AP9</f>
        <v>0</v>
      </c>
      <c r="AF3" s="1861">
        <f>Grünland!AQ9</f>
        <v>0</v>
      </c>
      <c r="AG3" s="1862">
        <f>(Grünland!AR9+Grünland!AS9)</f>
        <v>0</v>
      </c>
      <c r="AH3" s="1863">
        <f>Grünland!AT9</f>
        <v>0</v>
      </c>
      <c r="AI3" s="1860">
        <f>Grünland!AU9</f>
        <v>0</v>
      </c>
      <c r="AJ3" s="1860">
        <f>Grünland!AV9</f>
        <v>0</v>
      </c>
      <c r="AK3" s="1860">
        <f>Grünland!AW9</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Grünland!R9</f>
        <v>0</v>
      </c>
      <c r="F6" s="997">
        <f>Grünland!S9</f>
        <v>0</v>
      </c>
      <c r="G6" s="996">
        <f>Grünland!T9</f>
        <v>0</v>
      </c>
      <c r="H6" s="997">
        <f>Grünland!U9</f>
        <v>0</v>
      </c>
      <c r="I6" s="996">
        <f>Grünland!V9</f>
        <v>0</v>
      </c>
      <c r="J6" s="997">
        <f>Grünland!W9</f>
        <v>0</v>
      </c>
      <c r="K6" s="996">
        <f>Grünland!X9</f>
        <v>0</v>
      </c>
      <c r="L6" s="997">
        <f>Grünland!Y9</f>
        <v>0</v>
      </c>
      <c r="M6" s="996">
        <f>Grünland!Z9</f>
        <v>0</v>
      </c>
      <c r="N6" s="997">
        <f>Grünland!AA9</f>
        <v>0</v>
      </c>
      <c r="O6" s="996">
        <f>Grünland!AB9</f>
        <v>0</v>
      </c>
      <c r="P6" s="997">
        <f>Grünland!AC9</f>
        <v>0</v>
      </c>
      <c r="Q6" s="818"/>
      <c r="R6" s="827">
        <f>Grünland!L9</f>
        <v>0</v>
      </c>
      <c r="S6" s="1111">
        <f>Grünland!M9</f>
        <v>0</v>
      </c>
      <c r="T6" s="819"/>
      <c r="U6" s="2637">
        <f>Grünland!AL9</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reduzieren",C13="unverändert"),Grünland!$H$9,S_5!AB13)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Grünland!AH$9</f>
        <v>günstig</v>
      </c>
      <c r="CO13" s="1882" t="str">
        <f>Grünland!AI$9</f>
        <v>bis 2,5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reduzieren",C14="unverändert"),Grünland!$H$9,S_5!AB14)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t="str">
        <f>Grünland!AH$9</f>
        <v>günstig</v>
      </c>
      <c r="CO14" s="1882" t="str">
        <f>Grünland!AI$9</f>
        <v>bis 2,5 km</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reduzieren",C15="unverändert"),Grünland!$H$9,S_5!AB15)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t="str">
        <f>Grünland!AH$9</f>
        <v>günstig</v>
      </c>
      <c r="CO15" s="1882" t="str">
        <f>Grünland!AI$9</f>
        <v>bis 2,5 km</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Summen_GL!F$113</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Summen_GL!G$113</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Summen_GL!H$113</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Summen_GL!I$113</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Summen_GL!J$113</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Summen_GL!K$113</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Summen_GL!L$113</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Summen_GL!M$113</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Summen_GL!N$113</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Summen_GL!O$113</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Summen_GL!P$113</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Summen_GL!Q$113</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z6NuNewWcFyvB8w0BByUcwna7TbotoU/seyREtqeL7kMM5RH7eJhGifFqeE4Im4Y2Jh9Uqaoi0YYDtpeBbUwHQ==" saltValue="ZkXLtYPNT9/RADAcxSt37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U4:V5"/>
    <mergeCell ref="P2:Q2"/>
    <mergeCell ref="C3:D3"/>
    <mergeCell ref="H3:I3"/>
    <mergeCell ref="M3:Q3"/>
    <mergeCell ref="I5:J5"/>
    <mergeCell ref="K5:L5"/>
    <mergeCell ref="M5:N5"/>
    <mergeCell ref="C2:E2"/>
    <mergeCell ref="H2:I2"/>
    <mergeCell ref="N2:O2"/>
    <mergeCell ref="R1:S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s>
  <conditionalFormatting sqref="B14 P14:P15">
    <cfRule type="expression" dxfId="1071" priority="50" stopIfTrue="1">
      <formula>#REF!="nein"</formula>
    </cfRule>
  </conditionalFormatting>
  <conditionalFormatting sqref="B39">
    <cfRule type="expression" dxfId="1070" priority="49">
      <formula>#REF!="nein"</formula>
    </cfRule>
  </conditionalFormatting>
  <conditionalFormatting sqref="B41">
    <cfRule type="expression" dxfId="1069" priority="48">
      <formula>$B$13=" "</formula>
    </cfRule>
  </conditionalFormatting>
  <conditionalFormatting sqref="A12:S12 A13:R15">
    <cfRule type="expression" dxfId="1068" priority="45">
      <formula>IF($G$8="NEIN",1,0)</formula>
    </cfRule>
  </conditionalFormatting>
  <conditionalFormatting sqref="I8:K8">
    <cfRule type="expression" dxfId="1067" priority="44">
      <formula>IF($G$8="NEIN",1,0)</formula>
    </cfRule>
  </conditionalFormatting>
  <conditionalFormatting sqref="B15">
    <cfRule type="expression" dxfId="1066" priority="51">
      <formula>($B$13+B14)&lt;$H$2</formula>
    </cfRule>
  </conditionalFormatting>
  <conditionalFormatting sqref="C10">
    <cfRule type="expression" dxfId="1065" priority="43">
      <formula>IF($G$8="JA",1,0)</formula>
    </cfRule>
  </conditionalFormatting>
  <conditionalFormatting sqref="A14 A15:R15">
    <cfRule type="expression" dxfId="1064" priority="39">
      <formula>IF($K$8="",1,0)</formula>
    </cfRule>
    <cfRule type="expression" dxfId="1063" priority="42">
      <formula>IF($K$8="NEIN",1,0)</formula>
    </cfRule>
  </conditionalFormatting>
  <conditionalFormatting sqref="B14:R14">
    <cfRule type="expression" dxfId="1062" priority="38">
      <formula>IF($K$8="",1,0)</formula>
    </cfRule>
    <cfRule type="expression" dxfId="1061" priority="41">
      <formula>IF($K$8="NEIN",1,0)</formula>
    </cfRule>
  </conditionalFormatting>
  <conditionalFormatting sqref="A10:S12 A13:R15">
    <cfRule type="expression" dxfId="1060" priority="40">
      <formula>IF($G$8="",1,0)</formula>
    </cfRule>
  </conditionalFormatting>
  <conditionalFormatting sqref="B13:R13">
    <cfRule type="expression" dxfId="1059" priority="37">
      <formula>IF($K$8="JA",1,0)</formula>
    </cfRule>
  </conditionalFormatting>
  <conditionalFormatting sqref="B14">
    <cfRule type="expression" dxfId="1058" priority="35">
      <formula>IF($K$8="",1,0)</formula>
    </cfRule>
    <cfRule type="expression" dxfId="1057" priority="36">
      <formula>IF($K$8="NEIN",1,0)</formula>
    </cfRule>
  </conditionalFormatting>
  <conditionalFormatting sqref="S14">
    <cfRule type="expression" dxfId="1056" priority="34" stopIfTrue="1">
      <formula>#REF!="nein"</formula>
    </cfRule>
  </conditionalFormatting>
  <conditionalFormatting sqref="S15">
    <cfRule type="expression" dxfId="1055" priority="33" stopIfTrue="1">
      <formula>#REF!="nein"</formula>
    </cfRule>
  </conditionalFormatting>
  <conditionalFormatting sqref="S13:S15">
    <cfRule type="expression" dxfId="1054" priority="32">
      <formula>IF($G$8="NEIN",1,0)</formula>
    </cfRule>
  </conditionalFormatting>
  <conditionalFormatting sqref="S15">
    <cfRule type="expression" dxfId="1053" priority="28">
      <formula>IF($K$8="",1,0)</formula>
    </cfRule>
    <cfRule type="expression" dxfId="1052" priority="31">
      <formula>IF($K$8="NEIN",1,0)</formula>
    </cfRule>
  </conditionalFormatting>
  <conditionalFormatting sqref="S14">
    <cfRule type="expression" dxfId="1051" priority="27">
      <formula>IF($K$8="",1,0)</formula>
    </cfRule>
    <cfRule type="expression" dxfId="1050" priority="30">
      <formula>IF($K$8="NEIN",1,0)</formula>
    </cfRule>
  </conditionalFormatting>
  <conditionalFormatting sqref="S13:S15">
    <cfRule type="expression" dxfId="1049" priority="29">
      <formula>IF($G$8="",1,0)</formula>
    </cfRule>
  </conditionalFormatting>
  <conditionalFormatting sqref="S13">
    <cfRule type="expression" dxfId="1048" priority="26">
      <formula>IF($K$8="JA",1,0)</formula>
    </cfRule>
  </conditionalFormatting>
  <conditionalFormatting sqref="S14">
    <cfRule type="expression" dxfId="1047" priority="24">
      <formula>IF($K$8="JA",1,0)</formula>
    </cfRule>
  </conditionalFormatting>
  <conditionalFormatting sqref="S15">
    <cfRule type="expression" dxfId="1046" priority="22">
      <formula>IF($K$8="JA",1,0)</formula>
    </cfRule>
  </conditionalFormatting>
  <conditionalFormatting sqref="U13:W13">
    <cfRule type="expression" dxfId="1045" priority="18">
      <formula>IF($G$8="NEIN",1,0)</formula>
    </cfRule>
    <cfRule type="expression" dxfId="1044" priority="19">
      <formula>IF($G$8="",1,0)</formula>
    </cfRule>
    <cfRule type="expression" dxfId="1043" priority="20">
      <formula>IF($K$8="JA",1,0)</formula>
    </cfRule>
  </conditionalFormatting>
  <conditionalFormatting sqref="U11:W13">
    <cfRule type="expression" dxfId="1042" priority="17">
      <formula>IF($G$8="",1,0)</formula>
    </cfRule>
  </conditionalFormatting>
  <conditionalFormatting sqref="U11:W13">
    <cfRule type="expression" dxfId="1041" priority="16">
      <formula>IF($G$8="NEIN",1,0)</formula>
    </cfRule>
  </conditionalFormatting>
  <conditionalFormatting sqref="U14:V15">
    <cfRule type="expression" dxfId="1040" priority="7">
      <formula>IF($G$8="NEIN",1,0)</formula>
    </cfRule>
    <cfRule type="expression" dxfId="1039" priority="8">
      <formula>IF($K$8="NEIN",1,0)</formula>
    </cfRule>
    <cfRule type="expression" dxfId="1038" priority="9">
      <formula>IF($G$8="",1,0)</formula>
    </cfRule>
    <cfRule type="expression" dxfId="1037" priority="10">
      <formula>IF($K$8="",1,0)</formula>
    </cfRule>
  </conditionalFormatting>
  <conditionalFormatting sqref="U14:V15">
    <cfRule type="expression" dxfId="1036" priority="6">
      <formula>IF($G$8="",1,0)</formula>
    </cfRule>
  </conditionalFormatting>
  <conditionalFormatting sqref="W14:W15">
    <cfRule type="expression" dxfId="1035" priority="2">
      <formula>IF($G$8="NEIN",1,0)</formula>
    </cfRule>
    <cfRule type="expression" dxfId="1034" priority="3">
      <formula>IF($K$8="NEIN",1,0)</formula>
    </cfRule>
    <cfRule type="expression" dxfId="1033" priority="4">
      <formula>IF($G$8="",1,0)</formula>
    </cfRule>
    <cfRule type="expression" dxfId="1032" priority="5">
      <formula>IF($K$8="",1,0)</formula>
    </cfRule>
  </conditionalFormatting>
  <conditionalFormatting sqref="W14:W15">
    <cfRule type="expression" dxfId="1031"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4!F13" display="◄"/>
    <hyperlink ref="R1:S1" location="S_6!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0977661A-EAF1-4DCF-AF6E-E6F03040AC32}">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7C549C53-6E12-4AEA-8E61-828F3259164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8AA55830-7498-4943-9C95-CADC91374FD0}">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480908F2-A7A8-4B72-8782-715FA86DE7AC}">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6" tint="-0.249977111117893"/>
  </sheetPr>
  <dimension ref="A1:IV102"/>
  <sheetViews>
    <sheetView zoomScale="90" zoomScaleNormal="90" workbookViewId="0">
      <selection activeCell="G8" sqref="G8"/>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1176</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f>Grünland!C10</f>
        <v>0</v>
      </c>
      <c r="D2" s="2626"/>
      <c r="E2" s="2627"/>
      <c r="F2" s="818"/>
      <c r="G2" s="1800" t="s">
        <v>1002</v>
      </c>
      <c r="H2" s="2635">
        <f>Grünland!D10</f>
        <v>0</v>
      </c>
      <c r="I2" s="2636"/>
      <c r="J2" s="818"/>
      <c r="K2" s="1801" t="s">
        <v>863</v>
      </c>
      <c r="L2" s="1800" t="s">
        <v>679</v>
      </c>
      <c r="M2" s="1040">
        <f>Grünland!H10</f>
        <v>0</v>
      </c>
      <c r="N2" s="2616" t="s">
        <v>1049</v>
      </c>
      <c r="O2" s="2617"/>
      <c r="P2" s="2653">
        <f>Grünland!J10</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Grünland!G10</f>
        <v>0</v>
      </c>
      <c r="F3" s="818"/>
      <c r="G3" s="1044" t="s">
        <v>1048</v>
      </c>
      <c r="H3" s="2633">
        <f>Grünland!E10</f>
        <v>0</v>
      </c>
      <c r="I3" s="2634"/>
      <c r="J3" s="818"/>
      <c r="K3" s="818"/>
      <c r="L3" s="1050" t="s">
        <v>1050</v>
      </c>
      <c r="M3" s="2618">
        <f>Grünland!F10</f>
        <v>0</v>
      </c>
      <c r="N3" s="2619"/>
      <c r="O3" s="2619"/>
      <c r="P3" s="2619"/>
      <c r="Q3" s="2620"/>
      <c r="R3" s="1859" t="str">
        <f>Grünland!AH10</f>
        <v>günstig</v>
      </c>
      <c r="S3" s="1859" t="str">
        <f>Grünland!AI10</f>
        <v>2,5 - 5,0 km</v>
      </c>
      <c r="T3" s="1859"/>
      <c r="U3" s="819"/>
      <c r="V3" s="819"/>
      <c r="W3" s="819"/>
      <c r="X3" s="819"/>
      <c r="Y3" s="819"/>
      <c r="Z3" s="819"/>
      <c r="AA3" s="835"/>
      <c r="AB3" s="1852"/>
      <c r="AC3" s="1852"/>
      <c r="AE3" s="1860">
        <f>Grünland!AP10</f>
        <v>0</v>
      </c>
      <c r="AF3" s="1861">
        <f>Grünland!AQ10</f>
        <v>0</v>
      </c>
      <c r="AG3" s="1862">
        <f>(Grünland!AR10+Grünland!AS10)</f>
        <v>0</v>
      </c>
      <c r="AH3" s="1863">
        <f>Grünland!AT10</f>
        <v>0</v>
      </c>
      <c r="AI3" s="1860">
        <f>Grünland!AU10</f>
        <v>0</v>
      </c>
      <c r="AJ3" s="1860">
        <f>Grünland!AV10</f>
        <v>0</v>
      </c>
      <c r="AK3" s="1860">
        <f>Grünland!AW10</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Grünland!R10</f>
        <v>0</v>
      </c>
      <c r="F6" s="997">
        <f>Grünland!S10</f>
        <v>0</v>
      </c>
      <c r="G6" s="996">
        <f>Grünland!T10</f>
        <v>0</v>
      </c>
      <c r="H6" s="997">
        <f>Grünland!U10</f>
        <v>0</v>
      </c>
      <c r="I6" s="996">
        <f>Grünland!V10</f>
        <v>0</v>
      </c>
      <c r="J6" s="997">
        <f>Grünland!W10</f>
        <v>0</v>
      </c>
      <c r="K6" s="996">
        <f>Grünland!X10</f>
        <v>0</v>
      </c>
      <c r="L6" s="997">
        <f>Grünland!Y10</f>
        <v>0</v>
      </c>
      <c r="M6" s="996">
        <f>Grünland!Z10</f>
        <v>0</v>
      </c>
      <c r="N6" s="997">
        <f>Grünland!AA10</f>
        <v>0</v>
      </c>
      <c r="O6" s="996">
        <f>Grünland!AB10</f>
        <v>0</v>
      </c>
      <c r="P6" s="997">
        <f>Grünland!AC10</f>
        <v>0</v>
      </c>
      <c r="Q6" s="818"/>
      <c r="R6" s="827">
        <f>Grünland!L10</f>
        <v>0</v>
      </c>
      <c r="S6" s="1111">
        <f>Grünland!M10</f>
        <v>0</v>
      </c>
      <c r="T6" s="819"/>
      <c r="U6" s="2637">
        <f>Grünland!AL10</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reduzieren",C13="unverändert"),Grünland!$H$10,S_6!AB13)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Grünland!AH$10</f>
        <v>günstig</v>
      </c>
      <c r="CO13" s="1882" t="str">
        <f>Grünland!AI$10</f>
        <v>2,5 - 5,0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reduzieren",C14="unverändert"),Grünland!$H$10,S_6!AB14)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t="str">
        <f>Grünland!AH$10</f>
        <v>günstig</v>
      </c>
      <c r="CO14" s="1882" t="str">
        <f>Grünland!AI$10</f>
        <v>2,5 - 5,0 km</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reduzieren",C15="unverändert"),Grünland!$H$10,S_6!AB15)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t="str">
        <f>Grünland!AH$10</f>
        <v>günstig</v>
      </c>
      <c r="CO15" s="1882" t="str">
        <f>Grünland!AI$10</f>
        <v>2,5 - 5,0 km</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4.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4.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Summen_GL!F$114</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Summen_GL!G$114</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Summen_GL!H$114</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Summen_GL!I$114</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Summen_GL!J$114</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Summen_GL!K$114</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Summen_GL!L$114</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Summen_GL!M$114</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Summen_GL!N$114</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Summen_GL!O$114</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Summen_GL!P$114</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Summen_GL!Q$114</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1u3Z3q6NbsPI8raxz8VIYbdLy6rXwM2HQhNJnqrlKkHG4Ut1jyhkOqZ2To2pHDQvVjGaTy1pmbzjyzVM/RtXiw==" saltValue="n/bqYkk8hNEcP5v3dgFXEA=="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U4:V5"/>
    <mergeCell ref="P2:Q2"/>
    <mergeCell ref="C3:D3"/>
    <mergeCell ref="H3:I3"/>
    <mergeCell ref="M3:Q3"/>
    <mergeCell ref="I5:J5"/>
    <mergeCell ref="K5:L5"/>
    <mergeCell ref="M5:N5"/>
    <mergeCell ref="C2:E2"/>
    <mergeCell ref="H2:I2"/>
    <mergeCell ref="N2:O2"/>
    <mergeCell ref="R1:S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s>
  <conditionalFormatting sqref="B14 P14:P15">
    <cfRule type="expression" dxfId="1030" priority="50" stopIfTrue="1">
      <formula>#REF!="nein"</formula>
    </cfRule>
  </conditionalFormatting>
  <conditionalFormatting sqref="B39">
    <cfRule type="expression" dxfId="1029" priority="49">
      <formula>#REF!="nein"</formula>
    </cfRule>
  </conditionalFormatting>
  <conditionalFormatting sqref="B41">
    <cfRule type="expression" dxfId="1028" priority="48">
      <formula>$B$13=" "</formula>
    </cfRule>
  </conditionalFormatting>
  <conditionalFormatting sqref="A12:S12 A13:R15">
    <cfRule type="expression" dxfId="1027" priority="45">
      <formula>IF($G$8="NEIN",1,0)</formula>
    </cfRule>
  </conditionalFormatting>
  <conditionalFormatting sqref="I8:K8">
    <cfRule type="expression" dxfId="1026" priority="44">
      <formula>IF($G$8="NEIN",1,0)</formula>
    </cfRule>
  </conditionalFormatting>
  <conditionalFormatting sqref="B15">
    <cfRule type="expression" dxfId="1025" priority="51">
      <formula>($B$13+B14)&lt;$H$2</formula>
    </cfRule>
  </conditionalFormatting>
  <conditionalFormatting sqref="C10">
    <cfRule type="expression" dxfId="1024" priority="43">
      <formula>IF($G$8="JA",1,0)</formula>
    </cfRule>
  </conditionalFormatting>
  <conditionalFormatting sqref="A14 A15:R15">
    <cfRule type="expression" dxfId="1023" priority="39">
      <formula>IF($K$8="",1,0)</formula>
    </cfRule>
    <cfRule type="expression" dxfId="1022" priority="42">
      <formula>IF($K$8="NEIN",1,0)</formula>
    </cfRule>
  </conditionalFormatting>
  <conditionalFormatting sqref="B14:R14">
    <cfRule type="expression" dxfId="1021" priority="38">
      <formula>IF($K$8="",1,0)</formula>
    </cfRule>
    <cfRule type="expression" dxfId="1020" priority="41">
      <formula>IF($K$8="NEIN",1,0)</formula>
    </cfRule>
  </conditionalFormatting>
  <conditionalFormatting sqref="A10:S12 A13:R15">
    <cfRule type="expression" dxfId="1019" priority="40">
      <formula>IF($G$8="",1,0)</formula>
    </cfRule>
  </conditionalFormatting>
  <conditionalFormatting sqref="B13:R13">
    <cfRule type="expression" dxfId="1018" priority="37">
      <formula>IF($K$8="JA",1,0)</formula>
    </cfRule>
  </conditionalFormatting>
  <conditionalFormatting sqref="B14">
    <cfRule type="expression" dxfId="1017" priority="35">
      <formula>IF($K$8="",1,0)</formula>
    </cfRule>
    <cfRule type="expression" dxfId="1016" priority="36">
      <formula>IF($K$8="NEIN",1,0)</formula>
    </cfRule>
  </conditionalFormatting>
  <conditionalFormatting sqref="S14">
    <cfRule type="expression" dxfId="1015" priority="34" stopIfTrue="1">
      <formula>#REF!="nein"</formula>
    </cfRule>
  </conditionalFormatting>
  <conditionalFormatting sqref="S15">
    <cfRule type="expression" dxfId="1014" priority="33" stopIfTrue="1">
      <formula>#REF!="nein"</formula>
    </cfRule>
  </conditionalFormatting>
  <conditionalFormatting sqref="S13:S15">
    <cfRule type="expression" dxfId="1013" priority="32">
      <formula>IF($G$8="NEIN",1,0)</formula>
    </cfRule>
  </conditionalFormatting>
  <conditionalFormatting sqref="S15">
    <cfRule type="expression" dxfId="1012" priority="28">
      <formula>IF($K$8="",1,0)</formula>
    </cfRule>
    <cfRule type="expression" dxfId="1011" priority="31">
      <formula>IF($K$8="NEIN",1,0)</formula>
    </cfRule>
  </conditionalFormatting>
  <conditionalFormatting sqref="S14">
    <cfRule type="expression" dxfId="1010" priority="27">
      <formula>IF($K$8="",1,0)</formula>
    </cfRule>
    <cfRule type="expression" dxfId="1009" priority="30">
      <formula>IF($K$8="NEIN",1,0)</formula>
    </cfRule>
  </conditionalFormatting>
  <conditionalFormatting sqref="S13:S15">
    <cfRule type="expression" dxfId="1008" priority="29">
      <formula>IF($G$8="",1,0)</formula>
    </cfRule>
  </conditionalFormatting>
  <conditionalFormatting sqref="S13">
    <cfRule type="expression" dxfId="1007" priority="26">
      <formula>IF($K$8="JA",1,0)</formula>
    </cfRule>
  </conditionalFormatting>
  <conditionalFormatting sqref="S14">
    <cfRule type="expression" dxfId="1006" priority="24">
      <formula>IF($K$8="JA",1,0)</formula>
    </cfRule>
  </conditionalFormatting>
  <conditionalFormatting sqref="S15">
    <cfRule type="expression" dxfId="1005" priority="22">
      <formula>IF($K$8="JA",1,0)</formula>
    </cfRule>
  </conditionalFormatting>
  <conditionalFormatting sqref="U13:W13">
    <cfRule type="expression" dxfId="1004" priority="18">
      <formula>IF($G$8="NEIN",1,0)</formula>
    </cfRule>
    <cfRule type="expression" dxfId="1003" priority="19">
      <formula>IF($G$8="",1,0)</formula>
    </cfRule>
    <cfRule type="expression" dxfId="1002" priority="20">
      <formula>IF($K$8="JA",1,0)</formula>
    </cfRule>
  </conditionalFormatting>
  <conditionalFormatting sqref="U11:W13">
    <cfRule type="expression" dxfId="1001" priority="17">
      <formula>IF($G$8="",1,0)</formula>
    </cfRule>
  </conditionalFormatting>
  <conditionalFormatting sqref="U11:W13">
    <cfRule type="expression" dxfId="1000" priority="16">
      <formula>IF($G$8="NEIN",1,0)</formula>
    </cfRule>
  </conditionalFormatting>
  <conditionalFormatting sqref="U14:V15">
    <cfRule type="expression" dxfId="999" priority="7">
      <formula>IF($G$8="NEIN",1,0)</formula>
    </cfRule>
    <cfRule type="expression" dxfId="998" priority="8">
      <formula>IF($K$8="NEIN",1,0)</formula>
    </cfRule>
    <cfRule type="expression" dxfId="997" priority="9">
      <formula>IF($G$8="",1,0)</formula>
    </cfRule>
    <cfRule type="expression" dxfId="996" priority="10">
      <formula>IF($K$8="",1,0)</formula>
    </cfRule>
  </conditionalFormatting>
  <conditionalFormatting sqref="U14:V15">
    <cfRule type="expression" dxfId="995" priority="6">
      <formula>IF($G$8="",1,0)</formula>
    </cfRule>
  </conditionalFormatting>
  <conditionalFormatting sqref="W14:W15">
    <cfRule type="expression" dxfId="994" priority="2">
      <formula>IF($G$8="NEIN",1,0)</formula>
    </cfRule>
    <cfRule type="expression" dxfId="993" priority="3">
      <formula>IF($K$8="NEIN",1,0)</formula>
    </cfRule>
    <cfRule type="expression" dxfId="992" priority="4">
      <formula>IF($G$8="",1,0)</formula>
    </cfRule>
    <cfRule type="expression" dxfId="991" priority="5">
      <formula>IF($K$8="",1,0)</formula>
    </cfRule>
  </conditionalFormatting>
  <conditionalFormatting sqref="W14:W15">
    <cfRule type="expression" dxfId="990"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5!F13" display="◄"/>
    <hyperlink ref="R1:S1" location="S_7!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38AE6000-9516-43F5-8FBD-F63994A2630B}">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E7657CAE-310C-4583-A355-E17BC4159826}">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17093D31-9B0B-47D1-BDD2-AF9D5E6F9D7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8062FC3F-54A8-4E24-8794-96A419A2E9C8}">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6" tint="-0.249977111117893"/>
  </sheetPr>
  <dimension ref="A1:IV102"/>
  <sheetViews>
    <sheetView zoomScale="90" zoomScaleNormal="90" workbookViewId="0">
      <selection activeCell="G8" sqref="G8"/>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7109375" style="10" hidden="1" customWidth="1"/>
    <col min="22" max="22" width="11.85546875" style="10" hidden="1" customWidth="1"/>
    <col min="23" max="23" width="17.42578125" style="10" hidden="1" customWidth="1"/>
    <col min="24" max="24" width="13.5703125" style="10" customWidth="1"/>
    <col min="25" max="26" width="17.855468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1177</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8.75" customHeight="1">
      <c r="A2" s="818"/>
      <c r="B2" s="1043"/>
      <c r="C2" s="2654">
        <f>Grünland!C11</f>
        <v>0</v>
      </c>
      <c r="D2" s="2626"/>
      <c r="E2" s="2627"/>
      <c r="F2" s="818"/>
      <c r="G2" s="1800" t="s">
        <v>1002</v>
      </c>
      <c r="H2" s="2635">
        <f>Grünland!D11</f>
        <v>0</v>
      </c>
      <c r="I2" s="2636"/>
      <c r="J2" s="818"/>
      <c r="K2" s="1801" t="s">
        <v>863</v>
      </c>
      <c r="L2" s="1800" t="s">
        <v>679</v>
      </c>
      <c r="M2" s="1040">
        <f>Grünland!H11</f>
        <v>0</v>
      </c>
      <c r="N2" s="2616" t="s">
        <v>1049</v>
      </c>
      <c r="O2" s="2617"/>
      <c r="P2" s="2653">
        <f>Grünland!J11</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8.75" customHeight="1" thickBot="1">
      <c r="A3" s="818"/>
      <c r="B3" s="818"/>
      <c r="C3" s="2628" t="s">
        <v>862</v>
      </c>
      <c r="D3" s="2628"/>
      <c r="E3" s="1051">
        <f>Grünland!G11</f>
        <v>0</v>
      </c>
      <c r="F3" s="818"/>
      <c r="G3" s="1044" t="s">
        <v>1048</v>
      </c>
      <c r="H3" s="2633">
        <f>Grünland!E11</f>
        <v>0</v>
      </c>
      <c r="I3" s="2634"/>
      <c r="J3" s="818"/>
      <c r="K3" s="818"/>
      <c r="L3" s="1050" t="s">
        <v>1050</v>
      </c>
      <c r="M3" s="2618">
        <f>Grünland!F11</f>
        <v>0</v>
      </c>
      <c r="N3" s="2619"/>
      <c r="O3" s="2619"/>
      <c r="P3" s="2619"/>
      <c r="Q3" s="2620"/>
      <c r="R3" s="1859" t="str">
        <f>Grünland!AH11</f>
        <v>normal</v>
      </c>
      <c r="S3" s="1859" t="str">
        <f>Grünland!AI11</f>
        <v>bis 2,5 km</v>
      </c>
      <c r="T3" s="1859"/>
      <c r="U3" s="819"/>
      <c r="V3" s="819"/>
      <c r="W3" s="819"/>
      <c r="X3" s="819"/>
      <c r="Y3" s="819"/>
      <c r="Z3" s="819"/>
      <c r="AA3" s="835"/>
      <c r="AB3" s="1852"/>
      <c r="AC3" s="1852"/>
      <c r="AE3" s="1860">
        <f>Grünland!AP11</f>
        <v>0</v>
      </c>
      <c r="AF3" s="1861">
        <f>Grünland!AQ11</f>
        <v>0</v>
      </c>
      <c r="AG3" s="1862">
        <f>(Grünland!AR11+Grünland!AS11)</f>
        <v>0</v>
      </c>
      <c r="AH3" s="1863">
        <f>Grünland!AT11</f>
        <v>0</v>
      </c>
      <c r="AI3" s="1860">
        <f>Grünland!AU11</f>
        <v>0</v>
      </c>
      <c r="AJ3" s="1860">
        <f>Grünland!AV11</f>
        <v>0</v>
      </c>
      <c r="AK3" s="1860">
        <f>Grünland!AW11</f>
        <v>0</v>
      </c>
      <c r="AL3" s="1860">
        <v>0</v>
      </c>
      <c r="AM3" s="1860">
        <v>0</v>
      </c>
    </row>
    <row r="4" spans="1:256" s="760" customFormat="1" ht="18.7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8.7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8.75" customHeight="1">
      <c r="A6" s="818"/>
      <c r="B6" s="818"/>
      <c r="C6" s="2623"/>
      <c r="D6" s="2624"/>
      <c r="E6" s="996">
        <f>Grünland!R11</f>
        <v>0</v>
      </c>
      <c r="F6" s="997">
        <f>Grünland!S11</f>
        <v>0</v>
      </c>
      <c r="G6" s="996">
        <f>Grünland!T11</f>
        <v>0</v>
      </c>
      <c r="H6" s="997">
        <f>Grünland!U11</f>
        <v>0</v>
      </c>
      <c r="I6" s="996">
        <f>Grünland!V11</f>
        <v>0</v>
      </c>
      <c r="J6" s="997">
        <f>Grünland!W11</f>
        <v>0</v>
      </c>
      <c r="K6" s="996">
        <f>Grünland!X11</f>
        <v>0</v>
      </c>
      <c r="L6" s="997">
        <f>Grünland!Y11</f>
        <v>0</v>
      </c>
      <c r="M6" s="996">
        <f>Grünland!Z11</f>
        <v>0</v>
      </c>
      <c r="N6" s="997">
        <f>Grünland!AA11</f>
        <v>0</v>
      </c>
      <c r="O6" s="996">
        <f>Grünland!AB11</f>
        <v>0</v>
      </c>
      <c r="P6" s="997">
        <f>Grünland!AC11</f>
        <v>0</v>
      </c>
      <c r="Q6" s="818"/>
      <c r="R6" s="827">
        <f>Grünland!L11</f>
        <v>0</v>
      </c>
      <c r="S6" s="1111">
        <f>Grünland!M11</f>
        <v>0</v>
      </c>
      <c r="T6" s="819"/>
      <c r="U6" s="2637">
        <f>Grünland!AL11</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8.7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8.7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8.7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8.7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8.7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reduzieren",C13="unverändert"),Grünland!$H$11,S_7!AB13)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Grünland!AH$11</f>
        <v>normal</v>
      </c>
      <c r="CO13" s="1882" t="str">
        <f>Grünland!AI$11</f>
        <v>bis 2,5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reduzieren",C14="unverändert"),Grünland!$H$11,S_7!AB14)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t="str">
        <f>Grünland!AH$11</f>
        <v>normal</v>
      </c>
      <c r="CO14" s="1882" t="str">
        <f>Grünland!AI$11</f>
        <v>bis 2,5 km</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reduzieren",C15="unverändert"),Grünland!$H$11,S_7!AB15)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t="str">
        <f>Grünland!AH$11</f>
        <v>normal</v>
      </c>
      <c r="CO15" s="1882" t="str">
        <f>Grünland!AI$11</f>
        <v>bis 2,5 km</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Summen_GL!F$115</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Summen_GL!G$115</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Summen_GL!H$115</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Summen_GL!I$115</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Summen_GL!J$115</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Summen_GL!K$115</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Summen_GL!L$115</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Summen_GL!M$115</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Summen_GL!N$115</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Summen_GL!O$115</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Summen_GL!P$115</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Summen_GL!Q$115</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85nuGeQrKzYncxhwLh6oigaxxetQJtViNWytI9lyrm0qHiCWOx/HDiABlh8yG7z9EGCfvngjTKdPZ3bUNNp3uw==" saltValue="pa9dAYhXNyTMasnxX6fx7w=="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U4:V5"/>
    <mergeCell ref="P2:Q2"/>
    <mergeCell ref="C3:D3"/>
    <mergeCell ref="H3:I3"/>
    <mergeCell ref="M3:Q3"/>
    <mergeCell ref="I5:J5"/>
    <mergeCell ref="K5:L5"/>
    <mergeCell ref="M5:N5"/>
    <mergeCell ref="C2:E2"/>
    <mergeCell ref="H2:I2"/>
    <mergeCell ref="N2:O2"/>
    <mergeCell ref="R1:S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s>
  <conditionalFormatting sqref="B14 P14:P15">
    <cfRule type="expression" dxfId="989" priority="53" stopIfTrue="1">
      <formula>#REF!="nein"</formula>
    </cfRule>
  </conditionalFormatting>
  <conditionalFormatting sqref="B39">
    <cfRule type="expression" dxfId="988" priority="52">
      <formula>#REF!="nein"</formula>
    </cfRule>
  </conditionalFormatting>
  <conditionalFormatting sqref="B41">
    <cfRule type="expression" dxfId="987" priority="51">
      <formula>$B$13=" "</formula>
    </cfRule>
  </conditionalFormatting>
  <conditionalFormatting sqref="A12:S12 A14:R15 A13 C13:R13">
    <cfRule type="expression" dxfId="986" priority="48">
      <formula>IF($G$8="NEIN",1,0)</formula>
    </cfRule>
  </conditionalFormatting>
  <conditionalFormatting sqref="I8:K8">
    <cfRule type="expression" dxfId="985" priority="47">
      <formula>IF($G$8="NEIN",1,0)</formula>
    </cfRule>
  </conditionalFormatting>
  <conditionalFormatting sqref="B15">
    <cfRule type="expression" dxfId="984" priority="54">
      <formula>($B$13+B14)&lt;$H$2</formula>
    </cfRule>
  </conditionalFormatting>
  <conditionalFormatting sqref="C10">
    <cfRule type="expression" dxfId="983" priority="46">
      <formula>IF($G$8="JA",1,0)</formula>
    </cfRule>
  </conditionalFormatting>
  <conditionalFormatting sqref="A14 A15:R15">
    <cfRule type="expression" dxfId="982" priority="42">
      <formula>IF($K$8="",1,0)</formula>
    </cfRule>
    <cfRule type="expression" dxfId="981" priority="45">
      <formula>IF($K$8="NEIN",1,0)</formula>
    </cfRule>
  </conditionalFormatting>
  <conditionalFormatting sqref="B14:R14">
    <cfRule type="expression" dxfId="980" priority="41">
      <formula>IF($K$8="",1,0)</formula>
    </cfRule>
    <cfRule type="expression" dxfId="979" priority="44">
      <formula>IF($K$8="NEIN",1,0)</formula>
    </cfRule>
  </conditionalFormatting>
  <conditionalFormatting sqref="A10:S12 A14:R15 A13 C13:R13">
    <cfRule type="expression" dxfId="978" priority="43">
      <formula>IF($G$8="",1,0)</formula>
    </cfRule>
  </conditionalFormatting>
  <conditionalFormatting sqref="C13:R13">
    <cfRule type="expression" dxfId="977" priority="40">
      <formula>IF($K$8="JA",1,0)</formula>
    </cfRule>
  </conditionalFormatting>
  <conditionalFormatting sqref="B14">
    <cfRule type="expression" dxfId="976" priority="38">
      <formula>IF($K$8="",1,0)</formula>
    </cfRule>
    <cfRule type="expression" dxfId="975" priority="39">
      <formula>IF($K$8="NEIN",1,0)</formula>
    </cfRule>
  </conditionalFormatting>
  <conditionalFormatting sqref="S14">
    <cfRule type="expression" dxfId="974" priority="37" stopIfTrue="1">
      <formula>#REF!="nein"</formula>
    </cfRule>
  </conditionalFormatting>
  <conditionalFormatting sqref="S15">
    <cfRule type="expression" dxfId="973" priority="36" stopIfTrue="1">
      <formula>#REF!="nein"</formula>
    </cfRule>
  </conditionalFormatting>
  <conditionalFormatting sqref="S13:S15">
    <cfRule type="expression" dxfId="972" priority="35">
      <formula>IF($G$8="NEIN",1,0)</formula>
    </cfRule>
  </conditionalFormatting>
  <conditionalFormatting sqref="S15">
    <cfRule type="expression" dxfId="971" priority="31">
      <formula>IF($K$8="",1,0)</formula>
    </cfRule>
    <cfRule type="expression" dxfId="970" priority="34">
      <formula>IF($K$8="NEIN",1,0)</formula>
    </cfRule>
  </conditionalFormatting>
  <conditionalFormatting sqref="S14">
    <cfRule type="expression" dxfId="969" priority="30">
      <formula>IF($K$8="",1,0)</formula>
    </cfRule>
    <cfRule type="expression" dxfId="968" priority="33">
      <formula>IF($K$8="NEIN",1,0)</formula>
    </cfRule>
  </conditionalFormatting>
  <conditionalFormatting sqref="S13:S15">
    <cfRule type="expression" dxfId="967" priority="32">
      <formula>IF($G$8="",1,0)</formula>
    </cfRule>
  </conditionalFormatting>
  <conditionalFormatting sqref="S13">
    <cfRule type="expression" dxfId="966" priority="29">
      <formula>IF($K$8="JA",1,0)</formula>
    </cfRule>
  </conditionalFormatting>
  <conditionalFormatting sqref="S14">
    <cfRule type="expression" dxfId="965" priority="27">
      <formula>IF($K$8="JA",1,0)</formula>
    </cfRule>
  </conditionalFormatting>
  <conditionalFormatting sqref="S15">
    <cfRule type="expression" dxfId="964" priority="25">
      <formula>IF($K$8="JA",1,0)</formula>
    </cfRule>
  </conditionalFormatting>
  <conditionalFormatting sqref="U13:W13">
    <cfRule type="expression" dxfId="963" priority="21">
      <formula>IF($G$8="NEIN",1,0)</formula>
    </cfRule>
    <cfRule type="expression" dxfId="962" priority="22">
      <formula>IF($G$8="",1,0)</formula>
    </cfRule>
    <cfRule type="expression" dxfId="961" priority="23">
      <formula>IF($K$8="JA",1,0)</formula>
    </cfRule>
  </conditionalFormatting>
  <conditionalFormatting sqref="U11:W13">
    <cfRule type="expression" dxfId="960" priority="20">
      <formula>IF($G$8="",1,0)</formula>
    </cfRule>
  </conditionalFormatting>
  <conditionalFormatting sqref="U11:W13">
    <cfRule type="expression" dxfId="959" priority="19">
      <formula>IF($G$8="NEIN",1,0)</formula>
    </cfRule>
  </conditionalFormatting>
  <conditionalFormatting sqref="U14:V15">
    <cfRule type="expression" dxfId="958" priority="10">
      <formula>IF($G$8="NEIN",1,0)</formula>
    </cfRule>
    <cfRule type="expression" dxfId="957" priority="11">
      <formula>IF($K$8="NEIN",1,0)</formula>
    </cfRule>
    <cfRule type="expression" dxfId="956" priority="12">
      <formula>IF($G$8="",1,0)</formula>
    </cfRule>
    <cfRule type="expression" dxfId="955" priority="13">
      <formula>IF($K$8="",1,0)</formula>
    </cfRule>
  </conditionalFormatting>
  <conditionalFormatting sqref="U14:V15">
    <cfRule type="expression" dxfId="954" priority="9">
      <formula>IF($G$8="",1,0)</formula>
    </cfRule>
  </conditionalFormatting>
  <conditionalFormatting sqref="B13">
    <cfRule type="expression" dxfId="953" priority="8">
      <formula>IF($G$8="NEIN",1,0)</formula>
    </cfRule>
  </conditionalFormatting>
  <conditionalFormatting sqref="B13">
    <cfRule type="expression" dxfId="952" priority="7">
      <formula>IF($G$8="",1,0)</formula>
    </cfRule>
  </conditionalFormatting>
  <conditionalFormatting sqref="B13">
    <cfRule type="expression" dxfId="951" priority="6">
      <formula>IF($K$8="JA",1,0)</formula>
    </cfRule>
  </conditionalFormatting>
  <conditionalFormatting sqref="W14:W15">
    <cfRule type="expression" dxfId="950" priority="2">
      <formula>IF($G$8="NEIN",1,0)</formula>
    </cfRule>
    <cfRule type="expression" dxfId="949" priority="3">
      <formula>IF($K$8="NEIN",1,0)</formula>
    </cfRule>
    <cfRule type="expression" dxfId="948" priority="4">
      <formula>IF($G$8="",1,0)</formula>
    </cfRule>
    <cfRule type="expression" dxfId="947" priority="5">
      <formula>IF($K$8="",1,0)</formula>
    </cfRule>
  </conditionalFormatting>
  <conditionalFormatting sqref="W14:W15">
    <cfRule type="expression" dxfId="946"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6!F13" display="◄"/>
    <hyperlink ref="R1:S1" location="S_8!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0" id="{4B5EE8C2-102B-4925-AB61-B3FE79DD6E05}">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8" id="{EAD978DE-0B93-45FE-987C-E3C1C7C02CD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6" id="{85B78070-4FF2-44DB-93A2-1B215B142AAC}">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4" id="{77E22FC8-FC5F-4DA7-A90D-6A1696CA8C1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3" width="21" style="10" customWidth="1"/>
    <col min="4" max="4" width="20.85546875"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5703125" style="10" hidden="1" customWidth="1"/>
    <col min="22" max="22" width="12" style="10" hidden="1" customWidth="1"/>
    <col min="23" max="23" width="17.42578125" style="10" hidden="1" customWidth="1"/>
    <col min="24" max="24" width="13.42578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1181</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5">
        <f>Grünland!C12</f>
        <v>0</v>
      </c>
      <c r="D2" s="2656"/>
      <c r="E2" s="2657"/>
      <c r="F2" s="818"/>
      <c r="G2" s="1800" t="s">
        <v>1002</v>
      </c>
      <c r="H2" s="2635">
        <f>Grünland!D12</f>
        <v>0</v>
      </c>
      <c r="I2" s="2636"/>
      <c r="J2" s="818"/>
      <c r="K2" s="1801" t="s">
        <v>863</v>
      </c>
      <c r="L2" s="1800" t="s">
        <v>679</v>
      </c>
      <c r="M2" s="1040">
        <f>Grünland!H12</f>
        <v>0</v>
      </c>
      <c r="N2" s="2616" t="s">
        <v>1049</v>
      </c>
      <c r="O2" s="2617"/>
      <c r="P2" s="2653">
        <f>Grünland!J12</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Grünland!G12</f>
        <v>0</v>
      </c>
      <c r="F3" s="818"/>
      <c r="G3" s="1044" t="s">
        <v>1048</v>
      </c>
      <c r="H3" s="2633">
        <f>Grünland!E12</f>
        <v>0</v>
      </c>
      <c r="I3" s="2634"/>
      <c r="J3" s="818"/>
      <c r="K3" s="818"/>
      <c r="L3" s="1050" t="s">
        <v>1050</v>
      </c>
      <c r="M3" s="2618">
        <f>Grünland!F12</f>
        <v>0</v>
      </c>
      <c r="N3" s="2619"/>
      <c r="O3" s="2619"/>
      <c r="P3" s="2619"/>
      <c r="Q3" s="2620"/>
      <c r="R3" s="1859" t="str">
        <f>Grünland!AH12</f>
        <v>günstig</v>
      </c>
      <c r="S3" s="1859" t="str">
        <f>Grünland!AI12</f>
        <v>bis 2,5 km</v>
      </c>
      <c r="T3" s="1859"/>
      <c r="U3" s="819"/>
      <c r="V3" s="819"/>
      <c r="W3" s="819"/>
      <c r="X3" s="819"/>
      <c r="Y3" s="819"/>
      <c r="Z3" s="819"/>
      <c r="AA3" s="835"/>
      <c r="AB3" s="1852"/>
      <c r="AC3" s="1852"/>
      <c r="AE3" s="1860">
        <f>Grünland!AP12</f>
        <v>0</v>
      </c>
      <c r="AF3" s="1861">
        <f>Grünland!AQ12</f>
        <v>0</v>
      </c>
      <c r="AG3" s="1862">
        <f>(Grünland!AR12+Grünland!AS12)</f>
        <v>0</v>
      </c>
      <c r="AH3" s="1863">
        <f>Grünland!AT12</f>
        <v>0</v>
      </c>
      <c r="AI3" s="1860">
        <f>Grünland!AU12</f>
        <v>0</v>
      </c>
      <c r="AJ3" s="1860">
        <f>Grünland!AV12</f>
        <v>0</v>
      </c>
      <c r="AK3" s="1860">
        <f>Grünland!AW12</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Grünland!R12</f>
        <v>0</v>
      </c>
      <c r="F6" s="997">
        <f>Grünland!S12</f>
        <v>0</v>
      </c>
      <c r="G6" s="996">
        <f>Grünland!T12</f>
        <v>0</v>
      </c>
      <c r="H6" s="997">
        <f>Grünland!U12</f>
        <v>0</v>
      </c>
      <c r="I6" s="996">
        <f>Grünland!V12</f>
        <v>0</v>
      </c>
      <c r="J6" s="997">
        <f>Grünland!W12</f>
        <v>0</v>
      </c>
      <c r="K6" s="996">
        <f>Grünland!X12</f>
        <v>0</v>
      </c>
      <c r="L6" s="997">
        <f>Grünland!Y12</f>
        <v>0</v>
      </c>
      <c r="M6" s="996">
        <f>Grünland!Z12</f>
        <v>0</v>
      </c>
      <c r="N6" s="997">
        <f>Grünland!AA12</f>
        <v>0</v>
      </c>
      <c r="O6" s="996">
        <f>Grünland!AB12</f>
        <v>0</v>
      </c>
      <c r="P6" s="997">
        <f>Grünland!AC12</f>
        <v>0</v>
      </c>
      <c r="Q6" s="818"/>
      <c r="R6" s="827">
        <f>Grünland!L12</f>
        <v>0</v>
      </c>
      <c r="S6" s="1111">
        <f>Grünland!M12</f>
        <v>0</v>
      </c>
      <c r="T6" s="819"/>
      <c r="U6" s="2637">
        <f>Grünland!AL12</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reduzieren",C13="unverändert"),Grünland!$H$12,S_8!AB13)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Grünland!AH$12</f>
        <v>günstig</v>
      </c>
      <c r="CO13" s="1882" t="str">
        <f>Grünland!AI$12</f>
        <v>bis 2,5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reduzieren",C14="unverändert"),Grünland!$H$12,S_8!AB14)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t="str">
        <f>Grünland!AH$12</f>
        <v>günstig</v>
      </c>
      <c r="CO14" s="1882" t="str">
        <f>Grünland!AI$12</f>
        <v>bis 2,5 km</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reduzieren",C15="unverändert"),Grünland!$H$12,S_8!AB15)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t="str">
        <f>Grünland!AH$12</f>
        <v>günstig</v>
      </c>
      <c r="CO15" s="1882" t="str">
        <f>Grünland!AI$12</f>
        <v>bis 2,5 km</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Summen_GL!F$116</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Summen_GL!G$116</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Summen_GL!H$116</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Summen_GL!I$116</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Summen_GL!J$116</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Summen_GL!K$116</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Summen_GL!L$116</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Summen_GL!M$116</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Summen_GL!N$116</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Summen_GL!O$116</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Summen_GL!P$116</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Summen_GL!Q$116</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M0oYmL54PUOHyJ1YgVpR8KC2jVqGhhjeSW7KuETdL/KkdDzaltqDn+u8AaMKTtsRlWtn8vh+OFi7mPL+V2lr3w==" saltValue="ZfDVaPn/RxN/aVvUJFzu5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945" priority="50" stopIfTrue="1">
      <formula>#REF!="nein"</formula>
    </cfRule>
  </conditionalFormatting>
  <conditionalFormatting sqref="B39">
    <cfRule type="expression" dxfId="944" priority="49">
      <formula>#REF!="nein"</formula>
    </cfRule>
  </conditionalFormatting>
  <conditionalFormatting sqref="B41">
    <cfRule type="expression" dxfId="943" priority="48">
      <formula>$B$13=" "</formula>
    </cfRule>
  </conditionalFormatting>
  <conditionalFormatting sqref="A12:S12 A13:R15">
    <cfRule type="expression" dxfId="942" priority="45">
      <formula>IF($G$8="NEIN",1,0)</formula>
    </cfRule>
  </conditionalFormatting>
  <conditionalFormatting sqref="I8:K8">
    <cfRule type="expression" dxfId="941" priority="44">
      <formula>IF($G$8="NEIN",1,0)</formula>
    </cfRule>
  </conditionalFormatting>
  <conditionalFormatting sqref="B15">
    <cfRule type="expression" dxfId="940" priority="51">
      <formula>($B$13+B14)&lt;$H$2</formula>
    </cfRule>
  </conditionalFormatting>
  <conditionalFormatting sqref="C10">
    <cfRule type="expression" dxfId="939" priority="43">
      <formula>IF($G$8="JA",1,0)</formula>
    </cfRule>
  </conditionalFormatting>
  <conditionalFormatting sqref="A14 A15:R15">
    <cfRule type="expression" dxfId="938" priority="39">
      <formula>IF($K$8="",1,0)</formula>
    </cfRule>
    <cfRule type="expression" dxfId="937" priority="42">
      <formula>IF($K$8="NEIN",1,0)</formula>
    </cfRule>
  </conditionalFormatting>
  <conditionalFormatting sqref="B14:R14">
    <cfRule type="expression" dxfId="936" priority="38">
      <formula>IF($K$8="",1,0)</formula>
    </cfRule>
    <cfRule type="expression" dxfId="935" priority="41">
      <formula>IF($K$8="NEIN",1,0)</formula>
    </cfRule>
  </conditionalFormatting>
  <conditionalFormatting sqref="A10:S12 A13:R15">
    <cfRule type="expression" dxfId="934" priority="40">
      <formula>IF($G$8="",1,0)</formula>
    </cfRule>
  </conditionalFormatting>
  <conditionalFormatting sqref="B13:R13">
    <cfRule type="expression" dxfId="933" priority="37">
      <formula>IF($K$8="JA",1,0)</formula>
    </cfRule>
  </conditionalFormatting>
  <conditionalFormatting sqref="B14">
    <cfRule type="expression" dxfId="932" priority="35">
      <formula>IF($K$8="",1,0)</formula>
    </cfRule>
    <cfRule type="expression" dxfId="931" priority="36">
      <formula>IF($K$8="NEIN",1,0)</formula>
    </cfRule>
  </conditionalFormatting>
  <conditionalFormatting sqref="S14">
    <cfRule type="expression" dxfId="930" priority="34" stopIfTrue="1">
      <formula>#REF!="nein"</formula>
    </cfRule>
  </conditionalFormatting>
  <conditionalFormatting sqref="S15">
    <cfRule type="expression" dxfId="929" priority="33" stopIfTrue="1">
      <formula>#REF!="nein"</formula>
    </cfRule>
  </conditionalFormatting>
  <conditionalFormatting sqref="S13:S15">
    <cfRule type="expression" dxfId="928" priority="32">
      <formula>IF($G$8="NEIN",1,0)</formula>
    </cfRule>
  </conditionalFormatting>
  <conditionalFormatting sqref="S15">
    <cfRule type="expression" dxfId="927" priority="28">
      <formula>IF($K$8="",1,0)</formula>
    </cfRule>
    <cfRule type="expression" dxfId="926" priority="31">
      <formula>IF($K$8="NEIN",1,0)</formula>
    </cfRule>
  </conditionalFormatting>
  <conditionalFormatting sqref="S14">
    <cfRule type="expression" dxfId="925" priority="27">
      <formula>IF($K$8="",1,0)</formula>
    </cfRule>
    <cfRule type="expression" dxfId="924" priority="30">
      <formula>IF($K$8="NEIN",1,0)</formula>
    </cfRule>
  </conditionalFormatting>
  <conditionalFormatting sqref="S13:S15">
    <cfRule type="expression" dxfId="923" priority="29">
      <formula>IF($G$8="",1,0)</formula>
    </cfRule>
  </conditionalFormatting>
  <conditionalFormatting sqref="S13">
    <cfRule type="expression" dxfId="922" priority="26">
      <formula>IF($K$8="JA",1,0)</formula>
    </cfRule>
  </conditionalFormatting>
  <conditionalFormatting sqref="S14">
    <cfRule type="expression" dxfId="921" priority="24">
      <formula>IF($K$8="JA",1,0)</formula>
    </cfRule>
  </conditionalFormatting>
  <conditionalFormatting sqref="S15">
    <cfRule type="expression" dxfId="920" priority="22">
      <formula>IF($K$8="JA",1,0)</formula>
    </cfRule>
  </conditionalFormatting>
  <conditionalFormatting sqref="U13:W13">
    <cfRule type="expression" dxfId="919" priority="18">
      <formula>IF($G$8="NEIN",1,0)</formula>
    </cfRule>
    <cfRule type="expression" dxfId="918" priority="19">
      <formula>IF($G$8="",1,0)</formula>
    </cfRule>
    <cfRule type="expression" dxfId="917" priority="20">
      <formula>IF($K$8="JA",1,0)</formula>
    </cfRule>
  </conditionalFormatting>
  <conditionalFormatting sqref="U11:W13">
    <cfRule type="expression" dxfId="916" priority="17">
      <formula>IF($G$8="",1,0)</formula>
    </cfRule>
  </conditionalFormatting>
  <conditionalFormatting sqref="U11:W13">
    <cfRule type="expression" dxfId="915" priority="16">
      <formula>IF($G$8="NEIN",1,0)</formula>
    </cfRule>
  </conditionalFormatting>
  <conditionalFormatting sqref="U14:V15">
    <cfRule type="expression" dxfId="914" priority="7">
      <formula>IF($G$8="NEIN",1,0)</formula>
    </cfRule>
    <cfRule type="expression" dxfId="913" priority="8">
      <formula>IF($K$8="NEIN",1,0)</formula>
    </cfRule>
    <cfRule type="expression" dxfId="912" priority="9">
      <formula>IF($G$8="",1,0)</formula>
    </cfRule>
    <cfRule type="expression" dxfId="911" priority="10">
      <formula>IF($K$8="",1,0)</formula>
    </cfRule>
  </conditionalFormatting>
  <conditionalFormatting sqref="U14:V15">
    <cfRule type="expression" dxfId="910" priority="6">
      <formula>IF($G$8="",1,0)</formula>
    </cfRule>
  </conditionalFormatting>
  <conditionalFormatting sqref="W14:W15">
    <cfRule type="expression" dxfId="909" priority="2">
      <formula>IF($G$8="NEIN",1,0)</formula>
    </cfRule>
    <cfRule type="expression" dxfId="908" priority="3">
      <formula>IF($K$8="NEIN",1,0)</formula>
    </cfRule>
    <cfRule type="expression" dxfId="907" priority="4">
      <formula>IF($G$8="",1,0)</formula>
    </cfRule>
    <cfRule type="expression" dxfId="906" priority="5">
      <formula>IF($K$8="",1,0)</formula>
    </cfRule>
  </conditionalFormatting>
  <conditionalFormatting sqref="W14:W15">
    <cfRule type="expression" dxfId="905" priority="1">
      <formula>IF($G$8="",1,0)</formula>
    </cfRule>
  </conditionalFormatting>
  <dataValidations count="5">
    <dataValidation type="list" allowBlank="1" showInputMessage="1" showErrorMessage="1" sqref="K13:K15 M13:M15 O13:O15 E13:E15 G13:G15 I13:I15 I37 G37 E37 G39 M37 K37 K41 K39 M41 M39 I41 I39 E41 E39 G41">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S_7!F13" display="◄"/>
    <hyperlink ref="R1:S1" location="S_9!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C982EB46-71B2-46D8-AC71-773EF7AF9122}">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F07CF3C1-5ED4-4768-9604-4805A10098FA}">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1DB6FF3A-5467-45D4-B95D-F98019018F6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3EC615C5-09BB-4296-97BF-2D5F85C1282A}">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6" tint="-0.249977111117893"/>
  </sheetPr>
  <dimension ref="A1:IV102"/>
  <sheetViews>
    <sheetView zoomScale="90" zoomScaleNormal="90" workbookViewId="0">
      <selection activeCell="AA1" sqref="AA1:IX1048576"/>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5.5" customHeight="1" thickBot="1">
      <c r="A1" s="1805" t="s">
        <v>1182</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5">
        <f>Grünland!C13</f>
        <v>0</v>
      </c>
      <c r="D2" s="2658"/>
      <c r="E2" s="2659"/>
      <c r="F2" s="818"/>
      <c r="G2" s="1800" t="s">
        <v>1002</v>
      </c>
      <c r="H2" s="2635">
        <f>Grünland!D13</f>
        <v>0</v>
      </c>
      <c r="I2" s="2636"/>
      <c r="J2" s="818"/>
      <c r="K2" s="1801" t="s">
        <v>863</v>
      </c>
      <c r="L2" s="1800" t="s">
        <v>679</v>
      </c>
      <c r="M2" s="1040">
        <f>Grünland!H13</f>
        <v>0</v>
      </c>
      <c r="N2" s="2616" t="s">
        <v>1049</v>
      </c>
      <c r="O2" s="2617"/>
      <c r="P2" s="2653">
        <f>Grünland!J13</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Grünland!G13</f>
        <v>0</v>
      </c>
      <c r="F3" s="818"/>
      <c r="G3" s="1044" t="s">
        <v>1048</v>
      </c>
      <c r="H3" s="2633">
        <f>Grünland!E13</f>
        <v>0</v>
      </c>
      <c r="I3" s="2634"/>
      <c r="J3" s="818"/>
      <c r="K3" s="818"/>
      <c r="L3" s="1050" t="s">
        <v>1050</v>
      </c>
      <c r="M3" s="2618">
        <f>Grünland!F13</f>
        <v>0</v>
      </c>
      <c r="N3" s="2619"/>
      <c r="O3" s="2619"/>
      <c r="P3" s="2619"/>
      <c r="Q3" s="2620"/>
      <c r="R3" s="1859" t="str">
        <f>Grünland!AH13</f>
        <v>normal</v>
      </c>
      <c r="S3" s="1859" t="str">
        <f>Grünland!AI13</f>
        <v>über 10 km</v>
      </c>
      <c r="T3" s="1859"/>
      <c r="U3" s="819"/>
      <c r="V3" s="819"/>
      <c r="W3" s="819"/>
      <c r="X3" s="819"/>
      <c r="Y3" s="819"/>
      <c r="Z3" s="819"/>
      <c r="AA3" s="835"/>
      <c r="AB3" s="1852"/>
      <c r="AC3" s="1852"/>
      <c r="AE3" s="1860">
        <f>Grünland!AP13</f>
        <v>0</v>
      </c>
      <c r="AF3" s="1861">
        <f>Grünland!AQ13</f>
        <v>0</v>
      </c>
      <c r="AG3" s="1862">
        <f>(Grünland!AR13+Grünland!AS13)</f>
        <v>0</v>
      </c>
      <c r="AH3" s="1863">
        <f>Grünland!AT13</f>
        <v>0</v>
      </c>
      <c r="AI3" s="1860">
        <f>Grünland!AU13</f>
        <v>0</v>
      </c>
      <c r="AJ3" s="1860">
        <f>Grünland!AV13</f>
        <v>0</v>
      </c>
      <c r="AK3" s="1860">
        <f>Grünland!AW13</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Grünland!R13</f>
        <v>0</v>
      </c>
      <c r="F6" s="997">
        <f>Grünland!S13</f>
        <v>0</v>
      </c>
      <c r="G6" s="996">
        <f>Grünland!T13</f>
        <v>0</v>
      </c>
      <c r="H6" s="997">
        <f>Grünland!U13</f>
        <v>0</v>
      </c>
      <c r="I6" s="996">
        <f>Grünland!V13</f>
        <v>0</v>
      </c>
      <c r="J6" s="997">
        <f>Grünland!W13</f>
        <v>0</v>
      </c>
      <c r="K6" s="996">
        <f>Grünland!X13</f>
        <v>0</v>
      </c>
      <c r="L6" s="997">
        <f>Grünland!Y13</f>
        <v>0</v>
      </c>
      <c r="M6" s="996">
        <f>Grünland!Z13</f>
        <v>0</v>
      </c>
      <c r="N6" s="997">
        <f>Grünland!AA13</f>
        <v>0</v>
      </c>
      <c r="O6" s="996">
        <f>Grünland!AB13</f>
        <v>0</v>
      </c>
      <c r="P6" s="997">
        <f>Grünland!AC13</f>
        <v>0</v>
      </c>
      <c r="Q6" s="818"/>
      <c r="R6" s="827">
        <f>Grünland!L13</f>
        <v>0</v>
      </c>
      <c r="S6" s="1111">
        <f>Grünland!M13</f>
        <v>0</v>
      </c>
      <c r="T6" s="819"/>
      <c r="U6" s="2637">
        <f>Grünland!AL13</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CM8" s="1868"/>
      <c r="CN8" s="1869" t="s">
        <v>1251</v>
      </c>
      <c r="CO8" s="1870"/>
      <c r="CP8" s="1871" t="s">
        <v>1269</v>
      </c>
      <c r="CQ8" s="1872"/>
      <c r="CR8" s="1872"/>
      <c r="CS8" s="1872"/>
      <c r="CT8" s="1872"/>
      <c r="CU8" s="1872"/>
      <c r="CV8" s="1872"/>
      <c r="CW8" s="1872"/>
      <c r="CX8" s="1872"/>
      <c r="CY8" s="1872"/>
      <c r="CZ8" s="1872"/>
      <c r="DA8" s="1873"/>
      <c r="DB8" s="10"/>
      <c r="DC8" s="10"/>
      <c r="DD8" s="10"/>
      <c r="DE8" s="1874"/>
      <c r="DF8" s="1874"/>
      <c r="DG8" s="1874"/>
      <c r="DH8" s="1874"/>
      <c r="DI8" s="1874"/>
      <c r="DJ8" s="1874"/>
      <c r="DK8" s="10"/>
      <c r="DL8" s="10"/>
      <c r="DM8" s="10"/>
      <c r="DN8" s="10"/>
      <c r="DO8" s="10"/>
      <c r="DP8" s="10"/>
      <c r="DQ8" s="10"/>
      <c r="DR8" s="10"/>
      <c r="DS8" s="10"/>
      <c r="DT8" s="10"/>
      <c r="DU8" s="10"/>
      <c r="DV8" s="10"/>
      <c r="DW8" s="10"/>
      <c r="DX8" s="10"/>
      <c r="DY8" s="10"/>
      <c r="DZ8" s="10"/>
      <c r="EA8" s="10"/>
      <c r="EB8" s="10"/>
      <c r="EC8" s="10"/>
      <c r="ED8" s="10"/>
      <c r="EE8" s="10"/>
      <c r="EF8" s="10"/>
      <c r="EG8" s="10"/>
      <c r="EH8" s="10"/>
      <c r="EI8" s="1875"/>
      <c r="EJ8" s="10"/>
      <c r="EK8" s="10"/>
      <c r="EL8" s="10"/>
      <c r="EM8" s="10"/>
      <c r="EN8" s="10"/>
      <c r="EO8" s="10"/>
      <c r="EP8" s="10"/>
      <c r="EQ8" s="10"/>
      <c r="ER8" s="10"/>
      <c r="ES8" s="10"/>
      <c r="ET8" s="10"/>
      <c r="EU8" s="10"/>
      <c r="EV8" s="1875"/>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875"/>
      <c r="GH8" s="10"/>
      <c r="GI8" s="10"/>
      <c r="GJ8" s="10"/>
      <c r="GK8" s="10"/>
      <c r="GL8" s="10"/>
      <c r="GM8" s="10"/>
      <c r="GN8" s="10"/>
      <c r="GO8" s="10"/>
      <c r="GP8" s="10"/>
      <c r="GQ8" s="10"/>
      <c r="GR8" s="10"/>
      <c r="GS8" s="10"/>
      <c r="GT8" s="1876"/>
      <c r="GU8" s="10"/>
      <c r="GV8" s="10"/>
      <c r="GW8" s="10"/>
      <c r="GX8" s="10"/>
      <c r="GY8" s="10"/>
      <c r="GZ8" s="10"/>
      <c r="HA8" s="10"/>
      <c r="HB8" s="10"/>
      <c r="HC8" s="10"/>
      <c r="HD8" s="10"/>
      <c r="HE8" s="10"/>
      <c r="HF8" s="10"/>
      <c r="HG8" s="1875"/>
      <c r="HH8" s="10"/>
      <c r="HI8" s="10"/>
      <c r="HJ8" s="10"/>
      <c r="HK8" s="10"/>
      <c r="HL8" s="10"/>
      <c r="HM8" s="10"/>
      <c r="HN8" s="10"/>
      <c r="HO8" s="10"/>
      <c r="HP8" s="10"/>
      <c r="HQ8" s="10"/>
      <c r="HR8" s="10"/>
      <c r="HS8" s="10"/>
      <c r="HT8" s="1875"/>
      <c r="HU8" s="10"/>
      <c r="HV8" s="10"/>
      <c r="HW8" s="10"/>
      <c r="HX8" s="10"/>
      <c r="HY8" s="10"/>
      <c r="HZ8" s="10"/>
      <c r="IA8" s="10"/>
      <c r="IB8" s="10"/>
      <c r="IC8" s="10"/>
      <c r="ID8" s="10"/>
      <c r="IE8" s="10"/>
      <c r="IF8" s="10"/>
      <c r="IG8" s="10"/>
      <c r="IH8" s="10"/>
      <c r="II8" s="1874"/>
      <c r="IJ8" s="1874"/>
      <c r="IK8" s="1874"/>
      <c r="IL8" s="1874"/>
      <c r="IM8" s="1874"/>
      <c r="IN8" s="1874"/>
      <c r="IO8" s="1874"/>
      <c r="IP8" s="1874"/>
      <c r="IQ8" s="1874"/>
      <c r="IR8" s="1874"/>
      <c r="IS8" s="1874"/>
      <c r="IT8" s="1874"/>
      <c r="IU8" s="1874"/>
      <c r="IV8" s="187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62"/>
      <c r="CM11" s="1877"/>
      <c r="CO11" s="1882"/>
      <c r="CP11" s="1883" t="s">
        <v>1358</v>
      </c>
      <c r="CQ11" s="1884"/>
      <c r="CR11" s="1884"/>
      <c r="CS11" s="1885"/>
      <c r="CT11" s="1883" t="s">
        <v>1359</v>
      </c>
      <c r="CU11" s="1885"/>
      <c r="CV11" s="1883" t="s">
        <v>1360</v>
      </c>
      <c r="CW11" s="1884"/>
      <c r="CX11" s="1885"/>
      <c r="CY11" s="1883" t="s">
        <v>1361</v>
      </c>
      <c r="CZ11" s="1884"/>
      <c r="DA11" s="1885"/>
      <c r="DB11" s="10"/>
      <c r="DC11" s="10"/>
      <c r="DD11" s="10"/>
      <c r="DE11" s="1875"/>
      <c r="DF11" s="1853" t="s">
        <v>1333</v>
      </c>
      <c r="DG11" s="10"/>
      <c r="DH11" s="10"/>
      <c r="DI11" s="10"/>
      <c r="DJ11" s="10"/>
      <c r="DK11" s="10"/>
      <c r="DL11" s="1874"/>
      <c r="DM11" s="1886" t="s">
        <v>1334</v>
      </c>
      <c r="DN11" s="1886"/>
      <c r="DO11" s="1886"/>
      <c r="DP11" s="1886"/>
      <c r="DQ11" s="1886"/>
      <c r="DR11" s="1886"/>
      <c r="DS11" s="1886"/>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1886" t="s">
        <v>1340</v>
      </c>
      <c r="HW11" s="1886"/>
      <c r="HX11" s="1886"/>
      <c r="HY11" s="1886"/>
      <c r="HZ11" s="1886"/>
      <c r="IA11" s="1886"/>
      <c r="IB11" s="1886"/>
      <c r="IC11" s="1886"/>
      <c r="ID11" s="1886"/>
      <c r="IE11" s="1886"/>
      <c r="IF11" s="1886"/>
      <c r="IG11" s="1886"/>
      <c r="IH11" s="1886"/>
      <c r="II11" s="1874"/>
      <c r="IJ11" s="1886" t="s">
        <v>1344</v>
      </c>
      <c r="IK11" s="1886"/>
      <c r="IL11" s="1886"/>
      <c r="IM11" s="1886"/>
      <c r="IN11" s="1886"/>
      <c r="IO11" s="1886"/>
      <c r="IP11" s="1886"/>
      <c r="IQ11" s="1886"/>
      <c r="IR11" s="1886"/>
      <c r="IS11" s="1886"/>
      <c r="IT11" s="1886"/>
      <c r="IU11" s="1886"/>
      <c r="IV11" s="1886"/>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1901" t="s">
        <v>1312</v>
      </c>
      <c r="DX12" s="1901"/>
      <c r="DY12" s="1901"/>
      <c r="DZ12" s="1901"/>
      <c r="EA12" s="1901" t="s">
        <v>1313</v>
      </c>
      <c r="EB12" s="1901"/>
      <c r="EC12" s="1901"/>
      <c r="ED12" s="1901"/>
      <c r="EE12" s="1901" t="s">
        <v>1314</v>
      </c>
      <c r="EF12" s="1901"/>
      <c r="EG12" s="1901"/>
      <c r="EH12" s="1901"/>
      <c r="EI12" s="1902" t="s">
        <v>1364</v>
      </c>
      <c r="EJ12" s="1901" t="s">
        <v>1315</v>
      </c>
      <c r="EK12" s="1901"/>
      <c r="EL12" s="1901"/>
      <c r="EM12" s="1901"/>
      <c r="EN12" s="1901" t="s">
        <v>1316</v>
      </c>
      <c r="EO12" s="1901"/>
      <c r="EP12" s="1901"/>
      <c r="EQ12" s="1901"/>
      <c r="ER12" s="1901" t="s">
        <v>1317</v>
      </c>
      <c r="ES12" s="1901"/>
      <c r="ET12" s="1901"/>
      <c r="EU12" s="1901"/>
      <c r="EV12" s="1902" t="s">
        <v>1364</v>
      </c>
      <c r="EW12" s="1901" t="s">
        <v>1318</v>
      </c>
      <c r="EX12" s="1901"/>
      <c r="EY12" s="1901"/>
      <c r="EZ12" s="1901"/>
      <c r="FA12" s="1901" t="s">
        <v>1319</v>
      </c>
      <c r="FB12" s="1901"/>
      <c r="FC12" s="1901"/>
      <c r="FD12" s="1901"/>
      <c r="FE12" s="1901" t="s">
        <v>1320</v>
      </c>
      <c r="FF12" s="1901"/>
      <c r="FG12" s="1901"/>
      <c r="FH12" s="1901"/>
      <c r="FI12" s="1901" t="s">
        <v>1321</v>
      </c>
      <c r="FJ12" s="1901"/>
      <c r="FK12" s="1901"/>
      <c r="FL12" s="1901"/>
      <c r="FM12" s="1901" t="s">
        <v>1322</v>
      </c>
      <c r="FN12" s="1901"/>
      <c r="FO12" s="1901"/>
      <c r="FP12" s="1901"/>
      <c r="FQ12" s="1901" t="s">
        <v>1323</v>
      </c>
      <c r="FR12" s="1901"/>
      <c r="FS12" s="1901"/>
      <c r="FT12" s="1901"/>
      <c r="FU12" s="1901" t="s">
        <v>1408</v>
      </c>
      <c r="FV12" s="1901"/>
      <c r="FW12" s="1901"/>
      <c r="FX12" s="1901"/>
      <c r="FY12" s="1901" t="s">
        <v>1410</v>
      </c>
      <c r="FZ12" s="1901"/>
      <c r="GA12" s="1901"/>
      <c r="GB12" s="1901"/>
      <c r="GC12" s="1901" t="s">
        <v>1409</v>
      </c>
      <c r="GD12" s="1901"/>
      <c r="GE12" s="1901"/>
      <c r="GF12" s="1901"/>
      <c r="GG12" s="1902" t="s">
        <v>1364</v>
      </c>
      <c r="GH12" s="1901" t="s">
        <v>1324</v>
      </c>
      <c r="GI12" s="1901"/>
      <c r="GJ12" s="1901"/>
      <c r="GK12" s="1901"/>
      <c r="GL12" s="1901" t="s">
        <v>1325</v>
      </c>
      <c r="GM12" s="1901"/>
      <c r="GN12" s="1901"/>
      <c r="GO12" s="1901"/>
      <c r="GP12" s="1901" t="s">
        <v>1326</v>
      </c>
      <c r="GQ12" s="1901"/>
      <c r="GR12" s="1901"/>
      <c r="GS12" s="1901"/>
      <c r="GT12" s="1902" t="s">
        <v>1364</v>
      </c>
      <c r="GU12" s="1901" t="s">
        <v>1327</v>
      </c>
      <c r="GV12" s="1901"/>
      <c r="GW12" s="1901"/>
      <c r="GX12" s="1901"/>
      <c r="GY12" s="1901" t="s">
        <v>1328</v>
      </c>
      <c r="GZ12" s="1901"/>
      <c r="HA12" s="1901"/>
      <c r="HB12" s="1901"/>
      <c r="HC12" s="1901" t="s">
        <v>1329</v>
      </c>
      <c r="HD12" s="1901"/>
      <c r="HE12" s="1901"/>
      <c r="HF12" s="1901"/>
      <c r="HG12" s="1902" t="s">
        <v>1364</v>
      </c>
      <c r="HH12" s="1901" t="s">
        <v>1330</v>
      </c>
      <c r="HI12" s="1901"/>
      <c r="HJ12" s="1901"/>
      <c r="HK12" s="1901"/>
      <c r="HL12" s="1901" t="s">
        <v>1331</v>
      </c>
      <c r="HM12" s="1901"/>
      <c r="HN12" s="1901"/>
      <c r="HO12" s="1901"/>
      <c r="HP12" s="1901" t="s">
        <v>1332</v>
      </c>
      <c r="HQ12" s="1901"/>
      <c r="HR12" s="1901"/>
      <c r="HS12" s="1901"/>
      <c r="HT12" s="1902" t="s">
        <v>1364</v>
      </c>
      <c r="HU12" s="1903"/>
      <c r="HV12" s="1853" t="s">
        <v>623</v>
      </c>
      <c r="HW12" s="1901" t="s">
        <v>1341</v>
      </c>
      <c r="HX12" s="1901"/>
      <c r="HY12" s="1901"/>
      <c r="HZ12" s="1901"/>
      <c r="IA12" s="1901" t="s">
        <v>1342</v>
      </c>
      <c r="IB12" s="1901"/>
      <c r="IC12" s="1901"/>
      <c r="ID12" s="1901"/>
      <c r="IE12" s="1901" t="s">
        <v>1343</v>
      </c>
      <c r="IF12" s="1901"/>
      <c r="IG12" s="1901"/>
      <c r="IH12" s="1901"/>
      <c r="II12" s="1874"/>
      <c r="IJ12" s="1853" t="s">
        <v>623</v>
      </c>
      <c r="IK12" s="1901" t="s">
        <v>1341</v>
      </c>
      <c r="IL12" s="1901"/>
      <c r="IM12" s="1901"/>
      <c r="IN12" s="1901"/>
      <c r="IO12" s="1901" t="s">
        <v>1342</v>
      </c>
      <c r="IP12" s="1901"/>
      <c r="IQ12" s="1901"/>
      <c r="IR12" s="1901"/>
      <c r="IS12" s="1901" t="s">
        <v>1343</v>
      </c>
      <c r="IT12" s="1901"/>
      <c r="IU12" s="1901"/>
      <c r="IV12" s="190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reduzieren",C13="unverändert"),Grünland!$H$13,S_9!AB13)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Grünland!AH$13</f>
        <v>normal</v>
      </c>
      <c r="CO13" s="1882" t="str">
        <f>Grünland!AI$13</f>
        <v>über 10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reduzieren",C14="unverändert"),Grünland!$H$13,S_9!AB14)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IF($CD14="",IF($D14=1,"1",0),0)</f>
        <v>0</v>
      </c>
      <c r="CF14" s="1907">
        <f>IF($CD14="",IF($D14=2,"2",0),0)</f>
        <v>0</v>
      </c>
      <c r="CG14" s="1907">
        <f>IF($CD14="",IF($D14=3,"3",0),0)</f>
        <v>0</v>
      </c>
      <c r="CH14" s="1907">
        <f>IF($CD14="",IF($D14=4,"4",0),0)</f>
        <v>0</v>
      </c>
      <c r="CI14" s="1907">
        <f>IF($CD14="",IF($D14=5,"5",0),0)</f>
        <v>0</v>
      </c>
      <c r="CJ14" s="1907">
        <f>IF($CD14="",IF($D14=6,"6",0),0)</f>
        <v>0</v>
      </c>
      <c r="CK14" s="1907">
        <f>IF(AND(C14="als Dauerweide führen",D14=0),"7",0)</f>
        <v>0</v>
      </c>
      <c r="CL14" s="1907">
        <f t="shared" ref="CL14:CL15" si="2">CE14+CF14+CG14+CH14+CI14+CJ14+CK14</f>
        <v>0</v>
      </c>
      <c r="CM14" s="1908" t="str">
        <f>IF(CL14&gt;0,VLOOKUP(CL14,$CD$20:$CE$26,2,0),CD14)</f>
        <v/>
      </c>
      <c r="CN14" s="1852" t="str">
        <f>Grünland!AH$13</f>
        <v>normal</v>
      </c>
      <c r="CO14" s="1882" t="str">
        <f>Grünland!AI$13</f>
        <v>über 10 km</v>
      </c>
      <c r="CP14" s="1909">
        <f>DE14*B14</f>
        <v>0</v>
      </c>
      <c r="CQ14" s="1910">
        <f>DM14*B14</f>
        <v>0</v>
      </c>
      <c r="CR14" s="1911" t="e">
        <f>CP14/Betrieb!$E$23</f>
        <v>#DIV/0!</v>
      </c>
      <c r="CS14" s="1911" t="e">
        <f>CQ14/Betrieb!$E$24</f>
        <v>#DIV/0!</v>
      </c>
      <c r="CT14" s="1912">
        <f>(Betrieb!$E$21*Betrieb!$H$21)+(Betrieb!$E$23*Betrieb!$H$23)</f>
        <v>0</v>
      </c>
      <c r="CU14" s="1913">
        <f>(Betrieb!$E$22*Betrieb!$H$22)+(Betrieb!$E$24*Betrieb!$H$24)</f>
        <v>0</v>
      </c>
      <c r="CV14" s="1912">
        <f t="shared" ref="CV14:CV15" si="3">HV14</f>
        <v>0</v>
      </c>
      <c r="CW14" s="1913">
        <f t="shared" ref="CW14:CW15" si="4">IJ14</f>
        <v>0</v>
      </c>
      <c r="CX14" s="1914">
        <f t="shared" ref="CX14:CX15" si="5">DV14</f>
        <v>0</v>
      </c>
      <c r="CY14" s="1915">
        <f t="shared" ref="CY14:CY15" si="6">IFERROR((CR14/CV14)*CT14,0)</f>
        <v>0</v>
      </c>
      <c r="CZ14" s="1915">
        <f t="shared" ref="CZ14:CZ15" si="7">IFERROR((CS14/CW14)*CU14,0)</f>
        <v>0</v>
      </c>
      <c r="DA14" s="1916">
        <f>IF(DU14="Weide/Hutweide",$DA$34*B14,((($DA$22+$DA$23+$DA$24)*B14)*DU14)+(((CX14*B14)*$DA$26)*DU14))</f>
        <v>0</v>
      </c>
      <c r="DB14" s="1926" t="e">
        <f>IF(OR(C14="unverändert",C14=""),U6/H2*B14,CY14+CZ14+DA14)</f>
        <v>#DIV/0!</v>
      </c>
      <c r="DC14" s="1927">
        <f>W14-U6</f>
        <v>0</v>
      </c>
      <c r="DD14" s="2188">
        <f>U6-W14</f>
        <v>0</v>
      </c>
      <c r="DE14" s="1920">
        <f t="shared" ref="DE14" si="8">SUM(DF14:DK14)</f>
        <v>0</v>
      </c>
      <c r="DF14" s="1921">
        <f>(IFERROR(IF(SEARCH("gülle",E14),F14),0))+(IFERROR(IF(SEARCH("jauche",E14),F14),0))</f>
        <v>0</v>
      </c>
      <c r="DG14" s="1921">
        <f>(IFERROR(IF(SEARCH("gülle",G14),H14),0))+(IFERROR(IF(SEARCH("jauche",G14),H14),0))</f>
        <v>0</v>
      </c>
      <c r="DH14" s="1921">
        <f>(IFERROR(IF(SEARCH("gülle",I14),J14),0))+(IFERROR(IF(SEARCH("jauche",I14),J14),0))</f>
        <v>0</v>
      </c>
      <c r="DI14" s="1921">
        <f>(IFERROR(IF(SEARCH("gülle",K14),L14),0))+(IFERROR(IF(SEARCH("jauche",K14),L14),0))</f>
        <v>0</v>
      </c>
      <c r="DJ14" s="1921">
        <f>(IFERROR(IF(SEARCH("gülle",M14),N14),0))+(IFERROR(IF(SEARCH("jauche",M14),N14),0))</f>
        <v>0</v>
      </c>
      <c r="DK14" s="1921">
        <f>(IFERROR(IF(SEARCH("gülle",O14),P14),0))+(IFERROR(IF(SEARCH("jauche",O14),P14),0))</f>
        <v>0</v>
      </c>
      <c r="DM14" s="1920">
        <f t="shared" ref="DM14:DM15" si="9">SUM(DN14:DS14)</f>
        <v>0</v>
      </c>
      <c r="DN14" s="1917">
        <f>IFERROR(IF(SEARCH("mist",E14),F14),0)</f>
        <v>0</v>
      </c>
      <c r="DO14" s="1917">
        <f>IFERROR(IF(SEARCH("mist",G14),H14),0)</f>
        <v>0</v>
      </c>
      <c r="DP14" s="1917">
        <f>IFERROR(IF(SEARCH("mist",I14),J14),0)</f>
        <v>0</v>
      </c>
      <c r="DQ14" s="1917">
        <f>IFERROR(IF(SEARCH("mist",K14),L14),0)</f>
        <v>0</v>
      </c>
      <c r="DR14" s="1917">
        <f>IFERROR(IF(SEARCH("mist",M14),N14),0)</f>
        <v>0</v>
      </c>
      <c r="DS14" s="1917">
        <f>IFERROR(IF(SEARCH("mist",O14),P14),0)</f>
        <v>0</v>
      </c>
      <c r="DU14" s="1922">
        <f t="shared" ref="DU14:DU15" si="10">IF(OR(CM14="Mähweide",CM14="Dauerweide",CM14="Hutweide",CM14="Hutweide mit Düngung"),"Weide/Hutweide",(EI14+EV14+GG14+GT14+HG14+HT14))</f>
        <v>0</v>
      </c>
      <c r="DV14" s="1923">
        <f t="shared" ref="DV14:DV15" si="11">SUM(DW14:EH14)+SUM(EJ14:EU14)+SUM(EW14:GF14)+SUM(GH14:GS14)+SUM(GU14:HF14)+SUM(HH14:HS14)</f>
        <v>0</v>
      </c>
      <c r="DW14" s="1923">
        <f>IF(AND(CM14="Grünland  1 Nutzung",CN14= "günstig", CO14="bis 2,5 km"),$CO$24,0)</f>
        <v>0</v>
      </c>
      <c r="DX14" s="1923">
        <f>IF(AND(CM14="Grünland  1 Nutzung",CN14= "günstig", CO14="2,5 - 5,0 km"),$CO$25,0)</f>
        <v>0</v>
      </c>
      <c r="DY14" s="1923">
        <f>IF(AND(CM14="Grünland  1 Nutzung",CN14= "günstig", CO14="5,0 - 10 km"),$CO$26,0)</f>
        <v>0</v>
      </c>
      <c r="DZ14" s="1923">
        <f>IF(AND(CM14="Grünland  1 Nutzung",CN14= "günstig", CO14="über 10 km"),$CO$27,0)</f>
        <v>0</v>
      </c>
      <c r="EA14" s="1923">
        <f>IF(AND(CM14="Grünland  1 Nutzung",CN14= "normal", CO14="bis 2,5 km"),$CP$24,0)</f>
        <v>0</v>
      </c>
      <c r="EB14" s="1923">
        <f>IF(AND(CM14="Grünland  1 Nutzung",CN14= "normal", CO14="2,5 - 5,0 km"),$CP$25,0)</f>
        <v>0</v>
      </c>
      <c r="EC14" s="1923">
        <f>IF(AND(CM14="Grünland  1 Nutzung",CN14= "normal", CO14="5,0 - 10 km"),$CP$26,0)</f>
        <v>0</v>
      </c>
      <c r="ED14" s="1923">
        <f>IF(AND(CM14="Grünland  1 Nutzung",CN14= "normal", CO14="über 10 km"),$CP$27,0)</f>
        <v>0</v>
      </c>
      <c r="EE14" s="1923">
        <f>IF(AND(CM14="Grünland  1 Nutzung",CN14= "ungünstig", CO14="bis 2,5 km"),$CQ$24,0)</f>
        <v>0</v>
      </c>
      <c r="EF14" s="1923">
        <f>IF(AND(CM14="Grünland  1 Nutzung",CN14= "ungünstig", CO14="2,5 - 5,0 km"),$CQ$25,0)</f>
        <v>0</v>
      </c>
      <c r="EG14" s="1923">
        <f>IF(AND(CM14="Grünland  1 Nutzung",CN14= "ungünstig", CO14="5,0 - 10 km"),$CQ$26,0)</f>
        <v>0</v>
      </c>
      <c r="EH14" s="1923">
        <f>IF(AND(CM14="Grünland  1 Nutzung",CN14= "ungünstig", CO14="über 10 km"),$CQ$27,0)</f>
        <v>0</v>
      </c>
      <c r="EI14" s="1924">
        <f t="shared" ref="EI14:EI15" si="12">IF(SUM(DW14:EH14)&gt;0,1,0)</f>
        <v>0</v>
      </c>
      <c r="EJ14" s="1923">
        <f>IF(AND(CM14="Grünland  2 Nutzungen",CN14= "günstig", CO14="bis 2,5 km"),$CR$24,0)</f>
        <v>0</v>
      </c>
      <c r="EK14" s="1923">
        <f>IF(AND(CM14="Grünland  2 Nutzungen",CN14= "günstig", CO14="2,5 - 5,0 km"),$CR$25,0)</f>
        <v>0</v>
      </c>
      <c r="EL14" s="1923">
        <f>IF(AND(CM14="Grünland  2 Nutzungen",CN14= "günstig", CO14="5,0 - 10 km"),$CR$26,0)</f>
        <v>0</v>
      </c>
      <c r="EM14" s="1923">
        <f>IF(AND(CM14="Grünland  2 Nutzungen",CN14= "günstig", CO14="über 10 km"),$CR$27,0)</f>
        <v>0</v>
      </c>
      <c r="EN14" s="1923">
        <f>IF(AND(CM14="Grünland  2 Nutzungen",CN14= "normal", CO14="bis 2,5 km"),$CS$24,0)</f>
        <v>0</v>
      </c>
      <c r="EO14" s="1923">
        <f>IF(AND(CM14="Grünland  2 Nutzungen",CN14= "normal", CO14="2,5 - 5,0 km"),$CS$25,0)</f>
        <v>0</v>
      </c>
      <c r="EP14" s="1923">
        <f>IF(AND(CM14="Grünland  2 Nutzungen",CN14= "normal", CO14="5,0 - 10 km"),$CS$26,0)</f>
        <v>0</v>
      </c>
      <c r="EQ14" s="1923">
        <f>IF(AND(CM14="Grünland  2 Nutzungen",CN14= "normal", CO14="über 10 km"),$CS$27,0)</f>
        <v>0</v>
      </c>
      <c r="ER14" s="1923">
        <f>IF(AND(CM14="Grünland  2 Nutzungen",CN14= "ungünstig", CO14="bis 2,5 km"),$CT$24,0)</f>
        <v>0</v>
      </c>
      <c r="ES14" s="1923">
        <f>IF(AND(CM14="Grünland  2 Nutzungen",CN14= "ungünstig", CO14="2,5 - 5,0 km"),$CT$25,0)</f>
        <v>0</v>
      </c>
      <c r="ET14" s="1923">
        <f>IF(AND(CM14="Grünland  2 Nutzungen",CN14= "ungünstig", CO14="5,0 - 10 km"),$CT$26,0)</f>
        <v>0</v>
      </c>
      <c r="EU14" s="1923">
        <f>IF(AND(CM14="Grünland  2 Nutzungen",CN14= "ungünstig", CO14="über 10 km"),$CT$27,0)</f>
        <v>0</v>
      </c>
      <c r="EV14" s="1925">
        <f t="shared" ref="EV14:EV15" si="13">IF(SUM(EJ14:EU14)&gt;0,2,0)</f>
        <v>0</v>
      </c>
      <c r="EW14" s="1923">
        <f>IF(AND(CM14="GL kleebetont 3 Nutz.",CN14= "günstig", CO14="bis 2,5 km"),$CR$24,0)</f>
        <v>0</v>
      </c>
      <c r="EX14" s="1923">
        <f>IF(AND(CM14="GL kleebetont 3 Nutz.",CN14= "günstig", CM14="2,5 - 5,0 km"),$CR$25,0)</f>
        <v>0</v>
      </c>
      <c r="EY14" s="1923">
        <f>IF(AND(CM14="GL kleebetont 3 Nutz.",CN14= "günstig", CM14="5,0 - 10 km"),$CR$26,0)</f>
        <v>0</v>
      </c>
      <c r="EZ14" s="1923">
        <f>IF(AND(CM14="GL kleebetont 3 Nutz.",CN14= "günstig", CO14="über 10 km"),$CR$27,0)</f>
        <v>0</v>
      </c>
      <c r="FA14" s="1923">
        <f>IF(AND(CM14="GL kleebetont 3 Nutz.",CN14= "normal", CO14="bis 2,5 km"),$CS$24,0)</f>
        <v>0</v>
      </c>
      <c r="FB14" s="1923">
        <f>IF(AND(CM14="GL kleebetont 3 Nutz.",CN14= "normal", CO14="2,5 - 5,0 km"),$CS$25,0)</f>
        <v>0</v>
      </c>
      <c r="FC14" s="1923">
        <f>IF(AND(CM14="GL kleebetont 3 Nutz.",CN14= "normal", CO14="5,0 - 10 km"),$CS$26,0)</f>
        <v>0</v>
      </c>
      <c r="FD14" s="1923">
        <f>IF(AND(CM14="GL kleebetont 3 Nutz.",CN14= "normal", CO14="über 10 km"),$CS$27,0)</f>
        <v>0</v>
      </c>
      <c r="FE14" s="1923">
        <f>IF(AND(CM14="GL kleebetont 3 Nutz.",CN14= "ungünstig", CO14="bis 2,5 km"),$CT$24,0)</f>
        <v>0</v>
      </c>
      <c r="FF14" s="1923">
        <f>IF(AND(CM14="GL kleebetont 3 Nutz.",CN14= "ungünstig", CO14="2,5 - 5,0 km"),$CT$25,0)</f>
        <v>0</v>
      </c>
      <c r="FG14" s="1923">
        <f>IF(AND(CM14="GL kleebetont 3 Nutz.",CN14= "ungünstig", CO14="5,0 - 10 km"),$CT$26,0)</f>
        <v>0</v>
      </c>
      <c r="FH14" s="1923">
        <f>IF(AND(CM14="GL kleebetont 3 Nutz.",CN14= "ungünstig", CO14="über 10 km"),$CT$27,0)</f>
        <v>0</v>
      </c>
      <c r="FI14" s="1923">
        <f>IF(AND(CM14="GL gräserbetont 3 Nutz.",CN14= "günstig", CO14="bis 2,5 km"),$CR$24,0)</f>
        <v>0</v>
      </c>
      <c r="FJ14" s="1923">
        <f>IF(AND(CM14="GL gräserbetont 3 Nutz.",CN14= "günstig", CO14="2,5 - 5,0 km"),$CR$25,0)</f>
        <v>0</v>
      </c>
      <c r="FK14" s="1923">
        <f>IF(AND(CM14="GL gräserbetont 3 Nutz.",CN14= "günstig", CO14="5,0 - 10 km"),$CR$26,0)</f>
        <v>0</v>
      </c>
      <c r="FL14" s="1923">
        <f>IF(AND(CM14="GL gräserbetont 3 Nutz.",CN14= "günstig", CO14="über 10 km"),$CR$27,0)</f>
        <v>0</v>
      </c>
      <c r="FM14" s="1923">
        <f>IF(AND(CM14="GL gräserbetont 3 Nutz.",CN14= "normal", CO14="bis 2,5 km"),$CS$24,0)</f>
        <v>0</v>
      </c>
      <c r="FN14" s="1923">
        <f>IF(AND(CM14="GL gräserbetont 3 Nutz.",CN14= "normal", CO14="2,5 - 5,0 km"),$CS$25,0)</f>
        <v>0</v>
      </c>
      <c r="FO14" s="1923">
        <f>IF(AND(CM14="GL gräserbetont 3 Nutz.",CN14= "normal", CO14="5,0 - 10 km"),$CS$26,0)</f>
        <v>0</v>
      </c>
      <c r="FP14" s="1923">
        <f>IF(AND(CM14="GL gräserbetont 3 Nutz.",CN14= "normal", CO14="über 10 km"),$CS$27,0)</f>
        <v>0</v>
      </c>
      <c r="FQ14" s="1923">
        <f>IF(AND(CM14="GL gräserbetont 3 Nutz.",CN14= "ungünstig", CO14="bis 2,5 km"),$CT$24,0)</f>
        <v>0</v>
      </c>
      <c r="FR14" s="1923">
        <f>IF(AND(CM14="GL gräserbetont 3 Nutz.",CN14= "ungünstig", CO14="2,5 - 5,0 km"),$CT$25,0)</f>
        <v>0</v>
      </c>
      <c r="FS14" s="1923">
        <f>IF(AND(CM14="GL gräserbetont 3 Nutz.",CN14= "ungünstig", CO14="5,0 - 10 km"),$CT$26,0)</f>
        <v>0</v>
      </c>
      <c r="FT14" s="1923">
        <f>IF(AND(CM14="GL gräserbetont 3 Nutz.",CN14= "ungünstig", CO14="über 10 km"),$CT$27,0)</f>
        <v>0</v>
      </c>
      <c r="FU14" s="1923">
        <f>IF(AND(CM14="GL 3 Nutzungen",CN14= "günstig", CO14="bis 2,5 km"),$CR$24,0)</f>
        <v>0</v>
      </c>
      <c r="FV14" s="1923">
        <f>IF(AND(CM14="GL 3 Nutzungen",CN14= "günstig", CO14="2,5 - 5,0 km"),$CR$25,0)</f>
        <v>0</v>
      </c>
      <c r="FW14" s="1923">
        <f>IF(AND(CM14="GL 3 Nutzungen",CN14= "günstig", CO14="5,0 - 10 km"),$CR$26,0)</f>
        <v>0</v>
      </c>
      <c r="FX14" s="1923">
        <f>IF(AND(CM14="GL 3 Nutzungen",CN14= "günstig", CO14="über 10 km"),$CR$27,0)</f>
        <v>0</v>
      </c>
      <c r="FY14" s="1923">
        <f>IF(AND(CM14="GL 3 Nutzungen",CN14= "normal", CO14="bis 2,5 km"),$CS$24,0)</f>
        <v>0</v>
      </c>
      <c r="FZ14" s="1923">
        <f>IF(AND(CM14="GL 3 Nutzungen",CN14= "normal", CO14="2,5 - 5,0 km"),$CS$25,0)</f>
        <v>0</v>
      </c>
      <c r="GA14" s="1923">
        <f>IF(AND(CM14="GL 3 Nutzungen",CN14= "normal", CO14="5,0 - 10 km"),$CS$26,0)</f>
        <v>0</v>
      </c>
      <c r="GB14" s="1923">
        <f>IF(AND(CM14="GL 3 Nutzungen",CN14= "normal", CO14="über 10 km"),$CS$27,0)</f>
        <v>0</v>
      </c>
      <c r="GC14" s="1923">
        <f>IF(AND(CM14="GL 3 Nutzungen",CN14= "ungünstig", CO14="bis 2,5 km"),$CT$24,0)</f>
        <v>0</v>
      </c>
      <c r="GD14" s="1923">
        <f>IF(AND(CM14="GL 3 Nutzungen",CN14= "ungünstig", CO14="2,5 - 5,0 km"),$CT$25,0)</f>
        <v>0</v>
      </c>
      <c r="GE14" s="1923">
        <f>IF(AND(CM14="GL 3 Nutzungen",CN14= "ungünstig", CO14="5,0 - 10 km"),$CT$26,0)</f>
        <v>0</v>
      </c>
      <c r="GF14" s="1923">
        <f>IF(AND(CM14="GL 3 Nutzungen",CN14= "ungünstig", CO14="über 10 km"),$CT$27,0)</f>
        <v>0</v>
      </c>
      <c r="GG14" s="1925">
        <f t="shared" ref="GG14:GG15" si="14">IF(SUM(EW14:GF14)&gt;0,3,0)</f>
        <v>0</v>
      </c>
      <c r="GH14" s="1923">
        <f>IF(AND(CM14="GL 4 Nutzungen",CN14= "günstig", CO14="bis 2,5 km"),$CR$24,0)</f>
        <v>0</v>
      </c>
      <c r="GI14" s="1923">
        <f>IF(AND(CM14="GL 4 Nutzungen",CN14= "günstig", CO14="2,5 - 5,0 km"),$CR$25,0)</f>
        <v>0</v>
      </c>
      <c r="GJ14" s="1923">
        <f>IF(AND(CM14="GL 4 Nutzungen",CN14= "günstig", CO14="5,0 - 10 km"),$CR$26,0)</f>
        <v>0</v>
      </c>
      <c r="GK14" s="1923">
        <f>IF(AND(CM14="GL 4 Nutzungen",CN14= "günstig", CO14="über 10 km"),$CR$27,0)</f>
        <v>0</v>
      </c>
      <c r="GL14" s="1923">
        <f>IF(AND(CM14="GL 4 Nutzungen",CN14= "normal", CO14="bis 2,5 km"),$CS$24,0)</f>
        <v>0</v>
      </c>
      <c r="GM14" s="1923">
        <f>IF(AND(CM14="GL 4 Nutzungen",CN14= "normal", CO14="2,5 - 5,0 km"),$CS$25,0)</f>
        <v>0</v>
      </c>
      <c r="GN14" s="1923">
        <f>IF(AND(CM14="GL 4 Nutzungen",CN14= "normal", CO14="5,0 - 10 km"),$CS$26,0)</f>
        <v>0</v>
      </c>
      <c r="GO14" s="1923">
        <f>IF(AND(CM14="GL 4 Nutzungen",CN14= "normal", CO14="über 10 km"),$CS$27,0)</f>
        <v>0</v>
      </c>
      <c r="GP14" s="1923">
        <f>IF(AND(CM14="GL 4 Nutzungen",CN14= "ungünstig", CO14="bis 2,5 km"),$CT$24,0)</f>
        <v>0</v>
      </c>
      <c r="GQ14" s="1923">
        <f>IF(AND(CM14="GL 4 Nutzungen",CN14= "ungünstig", CO14="2,5 - 5,0 km"),$CT$25,0)</f>
        <v>0</v>
      </c>
      <c r="GR14" s="1923">
        <f>IF(AND(CM14="GL 4 Nutzungen",CN14= "ungünstig", CO14="5,0 - 10 km"),$CT$26,0)</f>
        <v>0</v>
      </c>
      <c r="GS14" s="1923">
        <f>IF(AND(CM14="GL 4 Nutzungen",CN14= "ungünstig", CO14="über 10 km"),$CT$27,0)</f>
        <v>0</v>
      </c>
      <c r="GT14" s="1925">
        <f t="shared" ref="GT14:GT15" si="15">IF(SUM(GH14:GS14)&gt;0,4,0)</f>
        <v>0</v>
      </c>
      <c r="GU14" s="1923">
        <f>IF(AND(CM14="GL 5 Nutzungen",CN14= "günstig", CO14="bis 2,5 km"),$CU$24,0)</f>
        <v>0</v>
      </c>
      <c r="GV14" s="1923">
        <f>IF(AND(CM14="GL 5 Nutzungen",CN14= "günstig", CO14="2,5 - 5,0 km"),$CU$25,0)</f>
        <v>0</v>
      </c>
      <c r="GW14" s="1923">
        <f>IF(AND(CM14="GL 5 Nutzungen",CN14= "günstig", CO14="5,0 - 10 km"),$CU$26,0)</f>
        <v>0</v>
      </c>
      <c r="GX14" s="1923">
        <f>IF(AND(CM14="GL 5 Nutzungen",CN14= "günstig", CO14="über 10 km"),$CU$27,0)</f>
        <v>0</v>
      </c>
      <c r="GY14" s="1923">
        <f>IF(AND(CM14="GL 5 Nutzungen",CN14= "normal", CO14="bis 2,5 km"),$CV$24,0)</f>
        <v>0</v>
      </c>
      <c r="GZ14" s="1923">
        <f>IF(AND(CM14="GL 5 Nutzungen",CN14= "normal", CO14="2,5 - 5,0 km"),$CV$25,0)</f>
        <v>0</v>
      </c>
      <c r="HA14" s="1923">
        <f>IF(AND(CM14="GL 5 Nutzungen",CN14= "normal", CO14="5,0 - 10 km"),$CV$26,0)</f>
        <v>0</v>
      </c>
      <c r="HB14" s="1923">
        <f>IF(AND(CM14="GL 5 Nutzungen",CN14= "normal", CO14="über 10 km"),$CV$27,0)</f>
        <v>0</v>
      </c>
      <c r="HC14" s="1923">
        <f>IF(AND(CM14="GL 5 Nutzungen",CN14= "ungünstig", CO14="bis 2,5 km"),$CW$24,0)</f>
        <v>0</v>
      </c>
      <c r="HD14" s="1923">
        <f>IF(AND(CM14="GL 5 Nutzungen",CN14= "ungünstig", CO14="2,5 - 5,0 km"),$CW$25,0)</f>
        <v>0</v>
      </c>
      <c r="HE14" s="1923">
        <f>IF(AND(CM14="GL 5 Nutzungen",CN14= "ungünstig", CO14="5,0 - 10 km"),$CW$26,0)</f>
        <v>0</v>
      </c>
      <c r="HF14" s="1923">
        <f>IF(AND(CM14="GL 5 Nutzungen",CN14= "ungünstig", CO14="über 10 km"),$CW$27,0)</f>
        <v>0</v>
      </c>
      <c r="HG14" s="1925">
        <f t="shared" ref="HG14:HG15" si="16">IF(SUM(GU14:HF14)&gt;0,5,0)</f>
        <v>0</v>
      </c>
      <c r="HH14" s="1923">
        <f>IF(AND(CM14="GL 6 Nutzungen",CN14= "günstig", CO14="bis 2,5 km"),$CU$24,0)</f>
        <v>0</v>
      </c>
      <c r="HI14" s="1923">
        <f>IF(AND(CM14="GL 6 Nutzungen",CN14= "günstig", CO14="2,5 - 5,0 km"),$CU$25,0)</f>
        <v>0</v>
      </c>
      <c r="HJ14" s="1923">
        <f>IF(AND(CM14="GL 6 Nutzungen",CN14= "günstig", CO14="5,0 - 10 km"),$CU$26,0)</f>
        <v>0</v>
      </c>
      <c r="HK14" s="1923">
        <f>IF(AND(CM14="GL 6 Nutzungen",CN14= "günstig", CO14="über 10 km"),$CU$27,0)</f>
        <v>0</v>
      </c>
      <c r="HL14" s="1923">
        <f>IF(AND(CM14="GL 6 Nutzungen",CN14= "normal", CO14="bis 2,5 km"),$CV$24,0)</f>
        <v>0</v>
      </c>
      <c r="HM14" s="1923">
        <f>IF(AND(CM14="GL 6 Nutzungen",CN14= "normal", CO14="2,5 - 5,0 km"),$CV$25,0)</f>
        <v>0</v>
      </c>
      <c r="HN14" s="1923">
        <f>IF(AND(CM14="GL 6 Nutzungen",CN14= "normal", CO14="5,0 - 10 km"),$CV$26,0)</f>
        <v>0</v>
      </c>
      <c r="HO14" s="1923">
        <f>IF(AND(CM14="GL 6 Nutzungen",CN14= "normal", CO14="über 10 km"),$CV$27,0)</f>
        <v>0</v>
      </c>
      <c r="HP14" s="1923">
        <f>IF(AND(CM14="GL 6 Nutzungen",CN14= "ungünstig", CO14="bis 2,5 km"),$CW$24,0)</f>
        <v>0</v>
      </c>
      <c r="HQ14" s="1923">
        <f>IF(AND(CM14="GL 6 Nutzungen",CN14= "ungünstig", CO14="2,5 - 5,0 km"),$CW$25,0)</f>
        <v>0</v>
      </c>
      <c r="HR14" s="1923">
        <f>IF(AND(CM14="GL 6 Nutzungen",CN14= "ungünstig", CO14="5,0 - 10 km"),$CW$26,0)</f>
        <v>0</v>
      </c>
      <c r="HS14" s="1923">
        <f>IF(AND(CM14="GL 6 Nutzungen",CN14= "ungünstig", CO14="über 10 km"),$CW$27,0)</f>
        <v>0</v>
      </c>
      <c r="HT14" s="1925">
        <f t="shared" ref="HT14:HT15" si="17">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8">SUM(IK14:IV14)</f>
        <v>0</v>
      </c>
      <c r="IK14" s="1917">
        <f>IF(AND(DM14&gt;0,CN14="günstig",CO14="bis 2,5 km"),$CO$38,0)</f>
        <v>0</v>
      </c>
      <c r="IL14" s="1917">
        <f>IF(AND(DM14&gt;0,CN14="günstig",CO14="2,5 - 5,0 km"),$CO$39,0)</f>
        <v>0</v>
      </c>
      <c r="IM14" s="1917">
        <f>IF(AND(DM14&gt;0,CN14="günstig",CO14="5,0 - 10 km"),$CO$40,0)</f>
        <v>0</v>
      </c>
      <c r="IN14" s="1917">
        <f>IF(AND(DM14&gt;0,CN14="günstig",CO14="über 10 km"),$CO$41,0)</f>
        <v>0</v>
      </c>
      <c r="IO14" s="1917">
        <f>IF(AND(DM14&gt;0,CN14="normal",CO14="bis 2,5 km"),$CP$38,0)</f>
        <v>0</v>
      </c>
      <c r="IP14" s="1917">
        <f>IF(AND(DM14&gt;0,CN14="normal",CO14="2,5 - 5,0 km"),$CP$39,0)</f>
        <v>0</v>
      </c>
      <c r="IQ14" s="1917">
        <f>IF(AND(DM14&gt;0,CN14="normal",CO14="5,0 - 10 km"),$CP$40,0)</f>
        <v>0</v>
      </c>
      <c r="IR14" s="1917">
        <f>IF(AND(DM14&gt;0,CN14="normal",CO14="über 10 km"),$CP$41,0)</f>
        <v>0</v>
      </c>
      <c r="IS14" s="1917">
        <f>IF(AND(DM14&gt;0,CN14="ungünstig",CO14="bis 2,5 km"),$CQ$38,0)</f>
        <v>0</v>
      </c>
      <c r="IT14" s="1917">
        <f>IF(AND(DM14&gt;0,CN14="ungünstig",CO14="2,5 - 5,0 km"),$CQ$39,0)</f>
        <v>0</v>
      </c>
      <c r="IU14" s="1917">
        <f>IF(AND(DM14&gt;0,CN14="ungünstig",CO14="5,0 - 10 km"),$CQ$40,0)</f>
        <v>0</v>
      </c>
      <c r="IV14" s="1917">
        <f>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reduzieren",C15="unverändert"),Grünland!$H$13,S_9!AB15)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IF($CD15="",IF($D15=1,"1",0),0)</f>
        <v>0</v>
      </c>
      <c r="CF15" s="1907">
        <f>IF($CD15="",IF($D15=2,"2",0),0)</f>
        <v>0</v>
      </c>
      <c r="CG15" s="1907">
        <f>IF($CD15="",IF($D15=3,"3",0),0)</f>
        <v>0</v>
      </c>
      <c r="CH15" s="1907">
        <f>IF($CD15="",IF($D15=4,"4",0),0)</f>
        <v>0</v>
      </c>
      <c r="CI15" s="1907">
        <f>IF($CD15="",IF($D15=5,"5",0),0)</f>
        <v>0</v>
      </c>
      <c r="CJ15" s="1907">
        <f>IF($CD15="",IF($D15=6,"6",0),0)</f>
        <v>0</v>
      </c>
      <c r="CK15" s="1907">
        <f>IF(AND(C15="als Dauerweide führen",D15=0),"7",0)</f>
        <v>0</v>
      </c>
      <c r="CL15" s="1907">
        <f t="shared" si="2"/>
        <v>0</v>
      </c>
      <c r="CM15" s="1908" t="str">
        <f>IF(CL15&gt;0,VLOOKUP(CL15,$CD$20:$CE$26,2,0),CD15)</f>
        <v/>
      </c>
      <c r="CN15" s="1852" t="str">
        <f>Grünland!AH$13</f>
        <v>normal</v>
      </c>
      <c r="CO15" s="1882" t="str">
        <f>Grünland!AI$13</f>
        <v>über 10 km</v>
      </c>
      <c r="CP15" s="1909">
        <f>DE15*B15</f>
        <v>0</v>
      </c>
      <c r="CQ15" s="1910">
        <f>DM15*B15</f>
        <v>0</v>
      </c>
      <c r="CR15" s="1911" t="e">
        <f>CP15/Betrieb!$E$23</f>
        <v>#DIV/0!</v>
      </c>
      <c r="CS15" s="1911" t="e">
        <f>CQ15/Betrieb!$E$24</f>
        <v>#DIV/0!</v>
      </c>
      <c r="CT15" s="1912">
        <f>(Betrieb!$E$21*Betrieb!$H$21)+(Betrieb!$E$23*Betrieb!$H$23)</f>
        <v>0</v>
      </c>
      <c r="CU15" s="1913">
        <f>(Betrieb!$E$22*Betrieb!$H$22)+(Betrieb!$E$24*Betrieb!$H$24)</f>
        <v>0</v>
      </c>
      <c r="CV15" s="1912">
        <f t="shared" si="3"/>
        <v>0</v>
      </c>
      <c r="CW15" s="1913">
        <f t="shared" si="4"/>
        <v>0</v>
      </c>
      <c r="CX15" s="1914">
        <f t="shared" si="5"/>
        <v>0</v>
      </c>
      <c r="CY15" s="1915">
        <f t="shared" si="6"/>
        <v>0</v>
      </c>
      <c r="CZ15" s="1915">
        <f t="shared" si="7"/>
        <v>0</v>
      </c>
      <c r="DA15" s="1916">
        <f>IF(DU15="Weide/Hutweide",$DA$34*B15,((($DA$22+$DA$23+$DA$24)*B15)*DU15)+(((CX15*B15)*$DA$26)*DU15))</f>
        <v>0</v>
      </c>
      <c r="DB15" s="1926" t="e">
        <f>IF(OR(C15="unverändert",C15=""),U6/H2*B15,CY15+CZ15+DA15)</f>
        <v>#DIV/0!</v>
      </c>
      <c r="DC15" s="2189"/>
      <c r="DD15" s="2190"/>
      <c r="DE15" s="1920">
        <f>SUM(DF15:DK15)</f>
        <v>0</v>
      </c>
      <c r="DF15" s="1921">
        <f>(IFERROR(IF(SEARCH("gülle",E15),F15),0))+(IFERROR(IF(SEARCH("jauche",E15),F15),0))</f>
        <v>0</v>
      </c>
      <c r="DG15" s="1921">
        <f>(IFERROR(IF(SEARCH("gülle",G15),H15),0))+(IFERROR(IF(SEARCH("jauche",G15),H15),0))</f>
        <v>0</v>
      </c>
      <c r="DH15" s="1921">
        <f>(IFERROR(IF(SEARCH("gülle",I15),J15),0))+(IFERROR(IF(SEARCH("jauche",I15),J15),0))</f>
        <v>0</v>
      </c>
      <c r="DI15" s="1921">
        <f>(IFERROR(IF(SEARCH("gülle",K15),L15),0))+(IFERROR(IF(SEARCH("jauche",K15),L15),0))</f>
        <v>0</v>
      </c>
      <c r="DJ15" s="1921">
        <f>(IFERROR(IF(SEARCH("gülle",M15),N15),0))+(IFERROR(IF(SEARCH("jauche",M15),N15),0))</f>
        <v>0</v>
      </c>
      <c r="DK15" s="1921">
        <f>(IFERROR(IF(SEARCH("gülle",O15),P15),0))+(IFERROR(IF(SEARCH("jauche",O15),P15),0))</f>
        <v>0</v>
      </c>
      <c r="DM15" s="1920">
        <f t="shared" si="9"/>
        <v>0</v>
      </c>
      <c r="DN15" s="1917">
        <f>IFERROR(IF(SEARCH("mist",E15),F15),0)</f>
        <v>0</v>
      </c>
      <c r="DO15" s="1917">
        <f>IFERROR(IF(SEARCH("mist",G15),H15),0)</f>
        <v>0</v>
      </c>
      <c r="DP15" s="1917">
        <f>IFERROR(IF(SEARCH("mist",I15),J15),0)</f>
        <v>0</v>
      </c>
      <c r="DQ15" s="1917">
        <f>IFERROR(IF(SEARCH("mist",K15),L15),0)</f>
        <v>0</v>
      </c>
      <c r="DR15" s="1917">
        <f>IFERROR(IF(SEARCH("mist",M15),N15),0)</f>
        <v>0</v>
      </c>
      <c r="DS15" s="1917">
        <f>IFERROR(IF(SEARCH("mist",O15),P15),0)</f>
        <v>0</v>
      </c>
      <c r="DU15" s="1922">
        <f t="shared" si="10"/>
        <v>0</v>
      </c>
      <c r="DV15" s="1923">
        <f t="shared" si="11"/>
        <v>0</v>
      </c>
      <c r="DW15" s="1923">
        <f>IF(AND(CM15="Grünland  1 Nutzung",CN15= "günstig", CO15="bis 2,5 km"),$CO$24,0)</f>
        <v>0</v>
      </c>
      <c r="DX15" s="1923">
        <f>IF(AND(CM15="Grünland  1 Nutzung",CN15= "günstig", CO15="2,5 - 5,0 km"),$CO$25,0)</f>
        <v>0</v>
      </c>
      <c r="DY15" s="1923">
        <f>IF(AND(CM15="Grünland  1 Nutzung",CN15= "günstig", CO15="5,0 - 10 km"),$CO$26,0)</f>
        <v>0</v>
      </c>
      <c r="DZ15" s="1923">
        <f>IF(AND(CM15="Grünland  1 Nutzung",CN15= "günstig", CO15="über 10 km"),$CO$27,0)</f>
        <v>0</v>
      </c>
      <c r="EA15" s="1923">
        <f>IF(AND(CM15="Grünland  1 Nutzung",CN15= "normal", CO15="bis 2,5 km"),$CP$24,0)</f>
        <v>0</v>
      </c>
      <c r="EB15" s="1923">
        <f>IF(AND(CM15="Grünland  1 Nutzung",CN15= "normal", CO15="2,5 - 5,0 km"),$CP$25,0)</f>
        <v>0</v>
      </c>
      <c r="EC15" s="1923">
        <f>IF(AND(CM15="Grünland  1 Nutzung",CN15= "normal", CO15="5,0 - 10 km"),$CP$26,0)</f>
        <v>0</v>
      </c>
      <c r="ED15" s="1923">
        <f>IF(AND(CM15="Grünland  1 Nutzung",CN15= "normal", CO15="über 10 km"),$CP$27,0)</f>
        <v>0</v>
      </c>
      <c r="EE15" s="1923">
        <f>IF(AND(CM15="Grünland  1 Nutzung",CN15= "ungünstig", CO15="bis 2,5 km"),$CQ$24,0)</f>
        <v>0</v>
      </c>
      <c r="EF15" s="1923">
        <f>IF(AND(CM15="Grünland  1 Nutzung",CN15= "ungünstig", CO15="2,5 - 5,0 km"),$CQ$25,0)</f>
        <v>0</v>
      </c>
      <c r="EG15" s="1923">
        <f>IF(AND(CM15="Grünland  1 Nutzung",CN15= "ungünstig", CO15="5,0 - 10 km"),$CQ$26,0)</f>
        <v>0</v>
      </c>
      <c r="EH15" s="1923">
        <f>IF(AND(CM15="Grünland  1 Nutzung",CN15= "ungünstig", CO15="über 10 km"),$CQ$27,0)</f>
        <v>0</v>
      </c>
      <c r="EI15" s="1924">
        <f t="shared" si="12"/>
        <v>0</v>
      </c>
      <c r="EJ15" s="1923">
        <f>IF(AND(CM15="Grünland  2 Nutzungen",CN15= "günstig", CO15="bis 2,5 km"),$CR$24,0)</f>
        <v>0</v>
      </c>
      <c r="EK15" s="1923">
        <f>IF(AND(CM15="Grünland  2 Nutzungen",CN15= "günstig", CO15="2,5 - 5,0 km"),$CR$25,0)</f>
        <v>0</v>
      </c>
      <c r="EL15" s="1923">
        <f>IF(AND(CM15="Grünland  2 Nutzungen",CN15= "günstig", CO15="5,0 - 10 km"),$CR$26,0)</f>
        <v>0</v>
      </c>
      <c r="EM15" s="1923">
        <f>IF(AND(CM15="Grünland  2 Nutzungen",CN15= "günstig", CO15="über 10 km"),$CR$27,0)</f>
        <v>0</v>
      </c>
      <c r="EN15" s="1923">
        <f>IF(AND(CM15="Grünland  2 Nutzungen",CN15= "normal", CO15="bis 2,5 km"),$CS$24,0)</f>
        <v>0</v>
      </c>
      <c r="EO15" s="1923">
        <f>IF(AND(CM15="Grünland  2 Nutzungen",CN15= "normal", CO15="2,5 - 5,0 km"),$CS$25,0)</f>
        <v>0</v>
      </c>
      <c r="EP15" s="1923">
        <f>IF(AND(CM15="Grünland  2 Nutzungen",CN15= "normal", CO15="5,0 - 10 km"),$CS$26,0)</f>
        <v>0</v>
      </c>
      <c r="EQ15" s="1923">
        <f>IF(AND(CM15="Grünland  2 Nutzungen",CN15= "normal", CO15="über 10 km"),$CS$27,0)</f>
        <v>0</v>
      </c>
      <c r="ER15" s="1923">
        <f>IF(AND(CM15="Grünland  2 Nutzungen",CN15= "ungünstig", CO15="bis 2,5 km"),$CT$24,0)</f>
        <v>0</v>
      </c>
      <c r="ES15" s="1923">
        <f>IF(AND(CM15="Grünland  2 Nutzungen",CN15= "ungünstig", CO15="2,5 - 5,0 km"),$CT$25,0)</f>
        <v>0</v>
      </c>
      <c r="ET15" s="1923">
        <f>IF(AND(CM15="Grünland  2 Nutzungen",CN15= "ungünstig", CO15="5,0 - 10 km"),$CT$26,0)</f>
        <v>0</v>
      </c>
      <c r="EU15" s="1923">
        <f>IF(AND(CM15="Grünland  2 Nutzungen",CN15= "ungünstig", CO15="über 10 km"),$CT$27,0)</f>
        <v>0</v>
      </c>
      <c r="EV15" s="1925">
        <f t="shared" si="13"/>
        <v>0</v>
      </c>
      <c r="EW15" s="1923">
        <f>IF(AND(CM15="GL kleebetont 3 Nutz.",CN15= "günstig", CO15="bis 2,5 km"),$CR$24,0)</f>
        <v>0</v>
      </c>
      <c r="EX15" s="1923">
        <f>IF(AND(CM15="GL kleebetont 3 Nutz.",CN15= "günstig", CM15="2,5 - 5,0 km"),$CR$25,0)</f>
        <v>0</v>
      </c>
      <c r="EY15" s="1923">
        <f>IF(AND(CM15="GL kleebetont 3 Nutz.",CN15= "günstig", CM15="5,0 - 10 km"),$CR$26,0)</f>
        <v>0</v>
      </c>
      <c r="EZ15" s="1923">
        <f>IF(AND(CM15="GL kleebetont 3 Nutz.",CN15= "günstig", CO15="über 10 km"),$CR$27,0)</f>
        <v>0</v>
      </c>
      <c r="FA15" s="1923">
        <f>IF(AND(CM15="GL kleebetont 3 Nutz.",CN15= "normal", CO15="bis 2,5 km"),$CS$24,0)</f>
        <v>0</v>
      </c>
      <c r="FB15" s="1923">
        <f>IF(AND(CM15="GL kleebetont 3 Nutz.",CN15= "normal", CO15="2,5 - 5,0 km"),$CS$25,0)</f>
        <v>0</v>
      </c>
      <c r="FC15" s="1923">
        <f>IF(AND(CM15="GL kleebetont 3 Nutz.",CN15= "normal", CO15="5,0 - 10 km"),$CS$26,0)</f>
        <v>0</v>
      </c>
      <c r="FD15" s="1923">
        <f>IF(AND(CM15="GL kleebetont 3 Nutz.",CN15= "normal", CO15="über 10 km"),$CS$27,0)</f>
        <v>0</v>
      </c>
      <c r="FE15" s="1923">
        <f>IF(AND(CM15="GL kleebetont 3 Nutz.",CN15= "ungünstig", CO15="bis 2,5 km"),$CT$24,0)</f>
        <v>0</v>
      </c>
      <c r="FF15" s="1923">
        <f>IF(AND(CM15="GL kleebetont 3 Nutz.",CN15= "ungünstig", CO15="2,5 - 5,0 km"),$CT$25,0)</f>
        <v>0</v>
      </c>
      <c r="FG15" s="1923">
        <f>IF(AND(CM15="GL kleebetont 3 Nutz.",CN15= "ungünstig", CO15="5,0 - 10 km"),$CT$26,0)</f>
        <v>0</v>
      </c>
      <c r="FH15" s="1923">
        <f>IF(AND(CM15="GL kleebetont 3 Nutz.",CN15= "ungünstig", CO15="über 10 km"),$CT$27,0)</f>
        <v>0</v>
      </c>
      <c r="FI15" s="1923">
        <f>IF(AND(CM15="GL gräserbetont 3 Nutz.",CN15= "günstig", CO15="bis 2,5 km"),$CR$24,0)</f>
        <v>0</v>
      </c>
      <c r="FJ15" s="1923">
        <f>IF(AND(CM15="GL gräserbetont 3 Nutz.",CN15= "günstig", CO15="2,5 - 5,0 km"),$CR$25,0)</f>
        <v>0</v>
      </c>
      <c r="FK15" s="1923">
        <f>IF(AND(CM15="GL gräserbetont 3 Nutz.",CN15= "günstig", CO15="5,0 - 10 km"),$CR$26,0)</f>
        <v>0</v>
      </c>
      <c r="FL15" s="1923">
        <f>IF(AND(CM15="GL gräserbetont 3 Nutz.",CN15= "günstig", CO15="über 10 km"),$CR$27,0)</f>
        <v>0</v>
      </c>
      <c r="FM15" s="1923">
        <f>IF(AND(CM15="GL gräserbetont 3 Nutz.",CN15= "normal", CO15="bis 2,5 km"),$CS$24,0)</f>
        <v>0</v>
      </c>
      <c r="FN15" s="1923">
        <f>IF(AND(CM15="GL gräserbetont 3 Nutz.",CN15= "normal", CO15="2,5 - 5,0 km"),$CS$25,0)</f>
        <v>0</v>
      </c>
      <c r="FO15" s="1923">
        <f>IF(AND(CM15="GL gräserbetont 3 Nutz.",CN15= "normal", CO15="5,0 - 10 km"),$CS$26,0)</f>
        <v>0</v>
      </c>
      <c r="FP15" s="1923">
        <f>IF(AND(CM15="GL gräserbetont 3 Nutz.",CN15= "normal", CO15="über 10 km"),$CS$27,0)</f>
        <v>0</v>
      </c>
      <c r="FQ15" s="1923">
        <f>IF(AND(CM15="GL gräserbetont 3 Nutz.",CN15= "ungünstig", CO15="bis 2,5 km"),$CT$24,0)</f>
        <v>0</v>
      </c>
      <c r="FR15" s="1923">
        <f>IF(AND(CM15="GL gräserbetont 3 Nutz.",CN15= "ungünstig", CO15="2,5 - 5,0 km"),$CT$25,0)</f>
        <v>0</v>
      </c>
      <c r="FS15" s="1923">
        <f>IF(AND(CM15="GL gräserbetont 3 Nutz.",CN15= "ungünstig", CO15="5,0 - 10 km"),$CT$26,0)</f>
        <v>0</v>
      </c>
      <c r="FT15" s="1923">
        <f>IF(AND(CM15="GL gräserbetont 3 Nutz.",CN15= "ungünstig", CO15="über 10 km"),$CT$27,0)</f>
        <v>0</v>
      </c>
      <c r="FU15" s="1923">
        <f>IF(AND(CM15="GL 3 Nutzungen",CN15= "günstig", CO15="bis 2,5 km"),$CR$24,0)</f>
        <v>0</v>
      </c>
      <c r="FV15" s="1923">
        <f>IF(AND(CM15="GL 3 Nutzungen",CN15= "günstig", CO15="2,5 - 5,0 km"),$CR$25,0)</f>
        <v>0</v>
      </c>
      <c r="FW15" s="1923">
        <f>IF(AND(CM15="GL 3 Nutzungen",CN15= "günstig", CO15="5,0 - 10 km"),$CR$26,0)</f>
        <v>0</v>
      </c>
      <c r="FX15" s="1923">
        <f>IF(AND(CM15="GL 3 Nutzungen",CN15= "günstig", CO15="über 10 km"),$CR$27,0)</f>
        <v>0</v>
      </c>
      <c r="FY15" s="1923">
        <f>IF(AND(CM15="GL 3 Nutzungen",CN15= "normal", CO15="bis 2,5 km"),$CS$24,0)</f>
        <v>0</v>
      </c>
      <c r="FZ15" s="1923">
        <f>IF(AND(CM15="GL 3 Nutzungen",CN15= "normal", CO15="2,5 - 5,0 km"),$CS$25,0)</f>
        <v>0</v>
      </c>
      <c r="GA15" s="1923">
        <f>IF(AND(CM15="GL 3 Nutzungen",CN15= "normal", CO15="5,0 - 10 km"),$CS$26,0)</f>
        <v>0</v>
      </c>
      <c r="GB15" s="1923">
        <f>IF(AND(CM15="GL 3 Nutzungen",CN15= "normal", CO15="über 10 km"),$CS$27,0)</f>
        <v>0</v>
      </c>
      <c r="GC15" s="1923">
        <f>IF(AND(CM15="GL 3 Nutzungen",CN15= "ungünstig", CO15="bis 2,5 km"),$CT$24,0)</f>
        <v>0</v>
      </c>
      <c r="GD15" s="1923">
        <f>IF(AND(CM15="GL 3 Nutzungen",CN15= "ungünstig", CO15="2,5 - 5,0 km"),$CT$25,0)</f>
        <v>0</v>
      </c>
      <c r="GE15" s="1923">
        <f>IF(AND(CM15="GL 3 Nutzungen",CN15= "ungünstig", CO15="5,0 - 10 km"),$CT$26,0)</f>
        <v>0</v>
      </c>
      <c r="GF15" s="1923">
        <f>IF(AND(CM15="GL 3 Nutzungen",CN15= "ungünstig", CO15="über 10 km"),$CT$27,0)</f>
        <v>0</v>
      </c>
      <c r="GG15" s="1925">
        <f t="shared" si="14"/>
        <v>0</v>
      </c>
      <c r="GH15" s="1923">
        <f>IF(AND(CM15="GL 4 Nutzungen",CN15= "günstig", CO15="bis 2,5 km"),$CR$24,0)</f>
        <v>0</v>
      </c>
      <c r="GI15" s="1923">
        <f>IF(AND(CM15="GL 4 Nutzungen",CN15= "günstig", CO15="2,5 - 5,0 km"),$CR$25,0)</f>
        <v>0</v>
      </c>
      <c r="GJ15" s="1923">
        <f>IF(AND(CM15="GL 4 Nutzungen",CN15= "günstig", CO15="5,0 - 10 km"),$CR$26,0)</f>
        <v>0</v>
      </c>
      <c r="GK15" s="1923">
        <f>IF(AND(CM15="GL 4 Nutzungen",CN15= "günstig", CO15="über 10 km"),$CR$27,0)</f>
        <v>0</v>
      </c>
      <c r="GL15" s="1923">
        <f>IF(AND(CM15="GL 4 Nutzungen",CN15= "normal", CO15="bis 2,5 km"),$CS$24,0)</f>
        <v>0</v>
      </c>
      <c r="GM15" s="1923">
        <f>IF(AND(CM15="GL 4 Nutzungen",CN15= "normal", CO15="2,5 - 5,0 km"),$CS$25,0)</f>
        <v>0</v>
      </c>
      <c r="GN15" s="1923">
        <f>IF(AND(CM15="GL 4 Nutzungen",CN15= "normal", CO15="5,0 - 10 km"),$CS$26,0)</f>
        <v>0</v>
      </c>
      <c r="GO15" s="1923">
        <f>IF(AND(CM15="GL 4 Nutzungen",CN15= "normal", CO15="über 10 km"),$CS$27,0)</f>
        <v>0</v>
      </c>
      <c r="GP15" s="1923">
        <f>IF(AND(CM15="GL 4 Nutzungen",CN15= "ungünstig", CO15="bis 2,5 km"),$CT$24,0)</f>
        <v>0</v>
      </c>
      <c r="GQ15" s="1923">
        <f>IF(AND(CM15="GL 4 Nutzungen",CN15= "ungünstig", CO15="2,5 - 5,0 km"),$CT$25,0)</f>
        <v>0</v>
      </c>
      <c r="GR15" s="1923">
        <f>IF(AND(CM15="GL 4 Nutzungen",CN15= "ungünstig", CO15="5,0 - 10 km"),$CT$26,0)</f>
        <v>0</v>
      </c>
      <c r="GS15" s="1923">
        <f>IF(AND(CM15="GL 4 Nutzungen",CN15= "ungünstig", CO15="über 10 km"),$CT$27,0)</f>
        <v>0</v>
      </c>
      <c r="GT15" s="1925">
        <f t="shared" si="15"/>
        <v>0</v>
      </c>
      <c r="GU15" s="1923">
        <f>IF(AND(CM15="GL 5 Nutzungen",CN15= "günstig", CO15="bis 2,5 km"),$CU$24,0)</f>
        <v>0</v>
      </c>
      <c r="GV15" s="1923">
        <f>IF(AND(CM15="GL 5 Nutzungen",CN15= "günstig", CO15="2,5 - 5,0 km"),$CU$25,0)</f>
        <v>0</v>
      </c>
      <c r="GW15" s="1923">
        <f>IF(AND(CM15="GL 5 Nutzungen",CN15= "günstig", CO15="5,0 - 10 km"),$CU$26,0)</f>
        <v>0</v>
      </c>
      <c r="GX15" s="1923">
        <f>IF(AND(CM15="GL 5 Nutzungen",CN15= "günstig", CO15="über 10 km"),$CU$27,0)</f>
        <v>0</v>
      </c>
      <c r="GY15" s="1923">
        <f>IF(AND(CM15="GL 5 Nutzungen",CN15= "normal", CO15="bis 2,5 km"),$CV$24,0)</f>
        <v>0</v>
      </c>
      <c r="GZ15" s="1923">
        <f>IF(AND(CM15="GL 5 Nutzungen",CN15= "normal", CO15="2,5 - 5,0 km"),$CV$25,0)</f>
        <v>0</v>
      </c>
      <c r="HA15" s="1923">
        <f>IF(AND(CM15="GL 5 Nutzungen",CN15= "normal", CO15="5,0 - 10 km"),$CV$26,0)</f>
        <v>0</v>
      </c>
      <c r="HB15" s="1923">
        <f>IF(AND(CM15="GL 5 Nutzungen",CN15= "normal", CO15="über 10 km"),$CV$27,0)</f>
        <v>0</v>
      </c>
      <c r="HC15" s="1923">
        <f>IF(AND(CM15="GL 5 Nutzungen",CN15= "ungünstig", CO15="bis 2,5 km"),$CW$24,0)</f>
        <v>0</v>
      </c>
      <c r="HD15" s="1923">
        <f>IF(AND(CM15="GL 5 Nutzungen",CN15= "ungünstig", CO15="2,5 - 5,0 km"),$CW$25,0)</f>
        <v>0</v>
      </c>
      <c r="HE15" s="1923">
        <f>IF(AND(CM15="GL 5 Nutzungen",CN15= "ungünstig", CO15="5,0 - 10 km"),$CW$26,0)</f>
        <v>0</v>
      </c>
      <c r="HF15" s="1923">
        <f>IF(AND(CM15="GL 5 Nutzungen",CN15= "ungünstig", CO15="über 10 km"),$CW$27,0)</f>
        <v>0</v>
      </c>
      <c r="HG15" s="1925">
        <f t="shared" si="16"/>
        <v>0</v>
      </c>
      <c r="HH15" s="1923">
        <f>IF(AND(CM15="GL 6 Nutzungen",CN15= "günstig", CO15="bis 2,5 km"),$CU$24,0)</f>
        <v>0</v>
      </c>
      <c r="HI15" s="1923">
        <f>IF(AND(CM15="GL 6 Nutzungen",CN15= "günstig", CO15="2,5 - 5,0 km"),$CU$25,0)</f>
        <v>0</v>
      </c>
      <c r="HJ15" s="1923">
        <f>IF(AND(CM15="GL 6 Nutzungen",CN15= "günstig", CO15="5,0 - 10 km"),$CU$26,0)</f>
        <v>0</v>
      </c>
      <c r="HK15" s="1923">
        <f>IF(AND(CM15="GL 6 Nutzungen",CN15= "günstig", CO15="über 10 km"),$CU$27,0)</f>
        <v>0</v>
      </c>
      <c r="HL15" s="1923">
        <f>IF(AND(CM15="GL 6 Nutzungen",CN15= "normal", CO15="bis 2,5 km"),$CV$24,0)</f>
        <v>0</v>
      </c>
      <c r="HM15" s="1923">
        <f>IF(AND(CM15="GL 6 Nutzungen",CN15= "normal", CO15="2,5 - 5,0 km"),$CV$25,0)</f>
        <v>0</v>
      </c>
      <c r="HN15" s="1923">
        <f>IF(AND(CM15="GL 6 Nutzungen",CN15= "normal", CO15="5,0 - 10 km"),$CV$26,0)</f>
        <v>0</v>
      </c>
      <c r="HO15" s="1923">
        <f>IF(AND(CM15="GL 6 Nutzungen",CN15= "normal", CO15="über 10 km"),$CV$27,0)</f>
        <v>0</v>
      </c>
      <c r="HP15" s="1923">
        <f>IF(AND(CM15="GL 6 Nutzungen",CN15= "ungünstig", CO15="bis 2,5 km"),$CW$24,0)</f>
        <v>0</v>
      </c>
      <c r="HQ15" s="1923">
        <f>IF(AND(CM15="GL 6 Nutzungen",CN15= "ungünstig", CO15="2,5 - 5,0 km"),$CW$25,0)</f>
        <v>0</v>
      </c>
      <c r="HR15" s="1923">
        <f>IF(AND(CM15="GL 6 Nutzungen",CN15= "ungünstig", CO15="5,0 - 10 km"),$CW$26,0)</f>
        <v>0</v>
      </c>
      <c r="HS15" s="1923">
        <f>IF(AND(CM15="GL 6 Nutzungen",CN15= "ungünstig", CO15="über 10 km"),$CW$27,0)</f>
        <v>0</v>
      </c>
      <c r="HT15" s="1925">
        <f t="shared" si="17"/>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IF(AND(DM15&gt;0,CN15="günstig",CO15="bis 2,5 km"),$CO$38,0)</f>
        <v>0</v>
      </c>
      <c r="IL15" s="1917">
        <f>IF(AND(DM15&gt;0,CN15="günstig",CO15="2,5 - 5,0 km"),$CO$39,0)</f>
        <v>0</v>
      </c>
      <c r="IM15" s="1917">
        <f>IF(AND(DM15&gt;0,CN15="günstig",CO15="5,0 - 10 km"),$CO$40,0)</f>
        <v>0</v>
      </c>
      <c r="IN15" s="1917">
        <f>IF(AND(DM15&gt;0,CN15="günstig",CO15="über 10 km"),$CO$41,0)</f>
        <v>0</v>
      </c>
      <c r="IO15" s="1917">
        <f>IF(AND(DM15&gt;0,CN15="normal",CO15="bis 2,5 km"),$CP$38,0)</f>
        <v>0</v>
      </c>
      <c r="IP15" s="1917">
        <f>IF(AND(DM15&gt;0,CN15="normal",CO15="2,5 - 5,0 km"),$CP$39,0)</f>
        <v>0</v>
      </c>
      <c r="IQ15" s="1917">
        <f>IF(AND(DM15&gt;0,CN15="normal",CO15="5,0 - 10 km"),$CP$40,0)</f>
        <v>0</v>
      </c>
      <c r="IR15" s="1917">
        <f>IF(AND(DM15&gt;0,CN15="normal",CO15="über 10 km"),$CP$41,0)</f>
        <v>0</v>
      </c>
      <c r="IS15" s="1917">
        <f>IF(AND(DM15&gt;0,CN15="ungünstig",CO15="bis 2,5 km"),$CQ$38,0)</f>
        <v>0</v>
      </c>
      <c r="IT15" s="1917">
        <f>IF(AND(DM15&gt;0,CN15="ungünstig",CO15="2,5 - 5,0 km"),$CQ$39,0)</f>
        <v>0</v>
      </c>
      <c r="IU15" s="1917">
        <f>IF(AND(DM15&gt;0,CN15="ungünstig",CO15="5,0 - 10 km"),$CQ$40,0)</f>
        <v>0</v>
      </c>
      <c r="IV15" s="1917">
        <f>IF(AND(DM15&gt;0,CN15="ungünstig",CO15="über 10 km"),$CQ$41,0)</f>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191"/>
      <c r="DD16" s="219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c r="A18" s="819"/>
      <c r="B18" s="819"/>
      <c r="C18" s="2660" t="s">
        <v>1052</v>
      </c>
      <c r="D18" s="2661"/>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9">$P20*AH20</f>
        <v>0</v>
      </c>
      <c r="AF20" s="1952">
        <f t="shared" si="19"/>
        <v>0</v>
      </c>
      <c r="AG20" s="1953">
        <f t="shared" si="19"/>
        <v>0</v>
      </c>
      <c r="AH20" s="1954">
        <f>IF(ISNA(B13),0,SUM(AO20:AT20)*$B$13)</f>
        <v>0</v>
      </c>
      <c r="AI20" s="1955">
        <f>IF(ISNA(B14),0,SUM(AV20:BA20)*$B$14)</f>
        <v>0</v>
      </c>
      <c r="AJ20" s="1956">
        <f>IF(ISNUMBER($B$15),(SUM(BC20:BH20)*$B$15),0)</f>
        <v>0</v>
      </c>
      <c r="AK20" s="1957">
        <f>SUM(AH20:AJ20)</f>
        <v>0</v>
      </c>
      <c r="AL20" s="1958">
        <f>Summen_GL!F$117</f>
        <v>0</v>
      </c>
      <c r="AM20" s="1952">
        <f>AK20-AL20</f>
        <v>0</v>
      </c>
      <c r="AO20" s="826">
        <f t="shared" ref="AO20:AO31" si="20">IF($O20=$E$13,$F$13,0)</f>
        <v>0</v>
      </c>
      <c r="AP20" s="826">
        <f t="shared" ref="AP20:AP31" si="21">IF($O20=$G$13,$H$13,0)</f>
        <v>0</v>
      </c>
      <c r="AQ20" s="826">
        <f t="shared" ref="AQ20:AQ31" si="22">IF($O20=$I$13,$J$13,0)</f>
        <v>0</v>
      </c>
      <c r="AR20" s="826">
        <f t="shared" ref="AR20:AR31" si="23">IF($O20=$K$13,$L$13,0)</f>
        <v>0</v>
      </c>
      <c r="AS20" s="826">
        <f t="shared" ref="AS20:AS31" si="24">IF($O20=$M$13,$N$13,0)</f>
        <v>0</v>
      </c>
      <c r="AT20" s="826">
        <f t="shared" ref="AT20:AT31" si="25">IF($O20=$O$13,$P$13,0)</f>
        <v>0</v>
      </c>
      <c r="AV20" s="826">
        <f t="shared" ref="AV20:AV31" si="26">IF($O20=$E$14,$F$14,0)</f>
        <v>0</v>
      </c>
      <c r="AW20" s="826">
        <f t="shared" ref="AW20:AW31" si="27">IF($O20=$G$14,$H$14,0)</f>
        <v>0</v>
      </c>
      <c r="AX20" s="826">
        <f t="shared" ref="AX20:AX31" si="28">IF($O20=$I$14,$J$14,0)</f>
        <v>0</v>
      </c>
      <c r="AY20" s="826">
        <f t="shared" ref="AY20:AY31" si="29">IF($O20=$K$14,$L$14,0)</f>
        <v>0</v>
      </c>
      <c r="AZ20" s="826">
        <f t="shared" ref="AZ20:AZ31" si="30">IF($O20=$M$14,$N$14,0)</f>
        <v>0</v>
      </c>
      <c r="BA20" s="826">
        <f t="shared" ref="BA20:BA31" si="31">IF($O20=$O$14,$P$14,0)</f>
        <v>0</v>
      </c>
      <c r="BC20" s="826">
        <f t="shared" ref="BC20:BC31" si="32">IF($O20=$E$15,$F$15,0)</f>
        <v>0</v>
      </c>
      <c r="BD20" s="826">
        <f t="shared" ref="BD20:BD31" si="33">IF($O20=$G$15,$H$15,0)</f>
        <v>0</v>
      </c>
      <c r="BE20" s="826">
        <f t="shared" ref="BE20:BE31" si="34">IF($O20=$I$15,$J$15,0)</f>
        <v>0</v>
      </c>
      <c r="BF20" s="826">
        <f t="shared" ref="BF20:BF31" si="35">IF($O20=$K$15,$L$15,0)</f>
        <v>0</v>
      </c>
      <c r="BG20" s="826">
        <f t="shared" ref="BG20:BG31" si="36">IF($O20=$M$15,$N$15,0)</f>
        <v>0</v>
      </c>
      <c r="BH20" s="826">
        <f t="shared" ref="BH20:BH31" si="37">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9"/>
        <v>0</v>
      </c>
      <c r="AF21" s="1952">
        <f t="shared" si="19"/>
        <v>0</v>
      </c>
      <c r="AG21" s="1953">
        <f t="shared" si="19"/>
        <v>0</v>
      </c>
      <c r="AH21" s="1954">
        <f>SUM(AO21:AT21)*$B$13</f>
        <v>0</v>
      </c>
      <c r="AI21" s="1955">
        <f>IF(ISNA(B15),0,SUM(AV21:BA21)*$B$14)</f>
        <v>0</v>
      </c>
      <c r="AJ21" s="1956">
        <f>IF(ISNUMBER($B$15),(SUM(BC21:BH21)*$B$15),0)</f>
        <v>0</v>
      </c>
      <c r="AK21" s="1957">
        <f t="shared" ref="AK21:AK31" si="38">SUM(AH21:AJ21)</f>
        <v>0</v>
      </c>
      <c r="AL21" s="1958">
        <f>Summen_GL!G$117</f>
        <v>0</v>
      </c>
      <c r="AM21" s="1952">
        <f t="shared" ref="AM21:AM31" si="39">AK21-AL21</f>
        <v>0</v>
      </c>
      <c r="AO21" s="826">
        <f t="shared" si="20"/>
        <v>0</v>
      </c>
      <c r="AP21" s="826">
        <f t="shared" si="21"/>
        <v>0</v>
      </c>
      <c r="AQ21" s="826">
        <f t="shared" si="22"/>
        <v>0</v>
      </c>
      <c r="AR21" s="826">
        <f t="shared" si="23"/>
        <v>0</v>
      </c>
      <c r="AS21" s="826">
        <f t="shared" si="24"/>
        <v>0</v>
      </c>
      <c r="AT21" s="826">
        <f t="shared" si="25"/>
        <v>0</v>
      </c>
      <c r="AV21" s="826">
        <f t="shared" si="26"/>
        <v>0</v>
      </c>
      <c r="AW21" s="826">
        <f t="shared" si="27"/>
        <v>0</v>
      </c>
      <c r="AX21" s="826">
        <f t="shared" si="28"/>
        <v>0</v>
      </c>
      <c r="AY21" s="826">
        <f t="shared" si="29"/>
        <v>0</v>
      </c>
      <c r="AZ21" s="826">
        <f t="shared" si="30"/>
        <v>0</v>
      </c>
      <c r="BA21" s="826">
        <f t="shared" si="31"/>
        <v>0</v>
      </c>
      <c r="BC21" s="826">
        <f t="shared" si="32"/>
        <v>0</v>
      </c>
      <c r="BD21" s="826">
        <f t="shared" si="33"/>
        <v>0</v>
      </c>
      <c r="BE21" s="826">
        <f t="shared" si="34"/>
        <v>0</v>
      </c>
      <c r="BF21" s="826">
        <f t="shared" si="35"/>
        <v>0</v>
      </c>
      <c r="BG21" s="826">
        <f t="shared" si="36"/>
        <v>0</v>
      </c>
      <c r="BH21" s="826">
        <f t="shared" si="37"/>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9"/>
        <v>0</v>
      </c>
      <c r="AF22" s="1952">
        <f t="shared" si="19"/>
        <v>0</v>
      </c>
      <c r="AG22" s="1953">
        <f t="shared" si="19"/>
        <v>0</v>
      </c>
      <c r="AH22" s="1954">
        <f t="shared" ref="AH22:AH31" si="40">SUM(AO22:AT22)*$B$13</f>
        <v>0</v>
      </c>
      <c r="AI22" s="1955">
        <f>IF(ISNA(B16),0,SUM(AV22:BA22)*$B$14)</f>
        <v>0</v>
      </c>
      <c r="AJ22" s="1956">
        <f t="shared" ref="AJ22:AJ31" si="41">IF(ISNUMBER($B$15),(SUM(BC22:BH22)*$B$15),0)</f>
        <v>0</v>
      </c>
      <c r="AK22" s="1957">
        <f t="shared" si="38"/>
        <v>0</v>
      </c>
      <c r="AL22" s="1958">
        <f>Summen_GL!H$117</f>
        <v>0</v>
      </c>
      <c r="AM22" s="1952">
        <f t="shared" si="39"/>
        <v>0</v>
      </c>
      <c r="AO22" s="826">
        <f t="shared" si="20"/>
        <v>0</v>
      </c>
      <c r="AP22" s="826">
        <f t="shared" si="21"/>
        <v>0</v>
      </c>
      <c r="AQ22" s="826">
        <f t="shared" si="22"/>
        <v>0</v>
      </c>
      <c r="AR22" s="826">
        <f t="shared" si="23"/>
        <v>0</v>
      </c>
      <c r="AS22" s="826">
        <f t="shared" si="24"/>
        <v>0</v>
      </c>
      <c r="AT22" s="826">
        <f t="shared" si="25"/>
        <v>0</v>
      </c>
      <c r="AV22" s="826">
        <f t="shared" si="26"/>
        <v>0</v>
      </c>
      <c r="AW22" s="826">
        <f t="shared" si="27"/>
        <v>0</v>
      </c>
      <c r="AX22" s="826">
        <f t="shared" si="28"/>
        <v>0</v>
      </c>
      <c r="AY22" s="826">
        <f t="shared" si="29"/>
        <v>0</v>
      </c>
      <c r="AZ22" s="826">
        <f t="shared" si="30"/>
        <v>0</v>
      </c>
      <c r="BA22" s="826">
        <f t="shared" si="31"/>
        <v>0</v>
      </c>
      <c r="BC22" s="826">
        <f t="shared" si="32"/>
        <v>0</v>
      </c>
      <c r="BD22" s="826">
        <f t="shared" si="33"/>
        <v>0</v>
      </c>
      <c r="BE22" s="826">
        <f t="shared" si="34"/>
        <v>0</v>
      </c>
      <c r="BF22" s="826">
        <f t="shared" si="35"/>
        <v>0</v>
      </c>
      <c r="BG22" s="826">
        <f t="shared" si="36"/>
        <v>0</v>
      </c>
      <c r="BH22" s="826">
        <f t="shared" si="37"/>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9"/>
        <v>0</v>
      </c>
      <c r="AF23" s="1952">
        <f t="shared" si="19"/>
        <v>0</v>
      </c>
      <c r="AG23" s="1953">
        <f t="shared" si="19"/>
        <v>0</v>
      </c>
      <c r="AH23" s="1954">
        <f t="shared" si="40"/>
        <v>0</v>
      </c>
      <c r="AI23" s="1955">
        <f>IF(ISNA(#REF!),0,SUM(AV23:BA23)*$B$14)</f>
        <v>0</v>
      </c>
      <c r="AJ23" s="1956">
        <f t="shared" si="41"/>
        <v>0</v>
      </c>
      <c r="AK23" s="1957">
        <f t="shared" si="38"/>
        <v>0</v>
      </c>
      <c r="AL23" s="1958">
        <f>Summen_GL!I$117</f>
        <v>0</v>
      </c>
      <c r="AM23" s="1952">
        <f t="shared" si="39"/>
        <v>0</v>
      </c>
      <c r="AO23" s="826">
        <f t="shared" si="20"/>
        <v>0</v>
      </c>
      <c r="AP23" s="826">
        <f t="shared" si="21"/>
        <v>0</v>
      </c>
      <c r="AQ23" s="826">
        <f t="shared" si="22"/>
        <v>0</v>
      </c>
      <c r="AR23" s="826">
        <f t="shared" si="23"/>
        <v>0</v>
      </c>
      <c r="AS23" s="826">
        <f t="shared" si="24"/>
        <v>0</v>
      </c>
      <c r="AT23" s="826">
        <f t="shared" si="25"/>
        <v>0</v>
      </c>
      <c r="AV23" s="826">
        <f t="shared" si="26"/>
        <v>0</v>
      </c>
      <c r="AW23" s="826">
        <f t="shared" si="27"/>
        <v>0</v>
      </c>
      <c r="AX23" s="826">
        <f t="shared" si="28"/>
        <v>0</v>
      </c>
      <c r="AY23" s="826">
        <f t="shared" si="29"/>
        <v>0</v>
      </c>
      <c r="AZ23" s="826">
        <f t="shared" si="30"/>
        <v>0</v>
      </c>
      <c r="BA23" s="826">
        <f t="shared" si="31"/>
        <v>0</v>
      </c>
      <c r="BC23" s="826">
        <f t="shared" si="32"/>
        <v>0</v>
      </c>
      <c r="BD23" s="826">
        <f t="shared" si="33"/>
        <v>0</v>
      </c>
      <c r="BE23" s="826">
        <f t="shared" si="34"/>
        <v>0</v>
      </c>
      <c r="BF23" s="826">
        <f t="shared" si="35"/>
        <v>0</v>
      </c>
      <c r="BG23" s="826">
        <f t="shared" si="36"/>
        <v>0</v>
      </c>
      <c r="BH23" s="826">
        <f t="shared" si="37"/>
        <v>0</v>
      </c>
      <c r="BI23" s="1943"/>
      <c r="CD23" s="1852">
        <v>4</v>
      </c>
      <c r="CE23" s="1852" t="s">
        <v>1028</v>
      </c>
      <c r="CN23" s="1964"/>
      <c r="CO23" s="1970" t="s">
        <v>1276</v>
      </c>
      <c r="CP23" s="1971"/>
      <c r="CQ23" s="1972"/>
      <c r="CR23" s="1970" t="s">
        <v>1277</v>
      </c>
      <c r="CS23" s="1971"/>
      <c r="CT23" s="1972"/>
      <c r="CU23" s="1970" t="s">
        <v>1278</v>
      </c>
      <c r="CV23" s="1971"/>
      <c r="CW23" s="1972"/>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9"/>
        <v>0</v>
      </c>
      <c r="AF24" s="1952">
        <f t="shared" si="19"/>
        <v>0</v>
      </c>
      <c r="AG24" s="1953">
        <f t="shared" si="19"/>
        <v>0</v>
      </c>
      <c r="AH24" s="1954">
        <f t="shared" si="40"/>
        <v>0</v>
      </c>
      <c r="AI24" s="1973">
        <f>IF(ISNA(#REF!),0,SUM(AV24:BA24)*$B$14)</f>
        <v>0</v>
      </c>
      <c r="AJ24" s="1956">
        <f t="shared" si="41"/>
        <v>0</v>
      </c>
      <c r="AK24" s="1957">
        <f t="shared" si="38"/>
        <v>0</v>
      </c>
      <c r="AL24" s="1958">
        <f>Summen_GL!J$117</f>
        <v>0</v>
      </c>
      <c r="AM24" s="1952">
        <f t="shared" si="39"/>
        <v>0</v>
      </c>
      <c r="AO24" s="826">
        <f t="shared" si="20"/>
        <v>0</v>
      </c>
      <c r="AP24" s="826">
        <f t="shared" si="21"/>
        <v>0</v>
      </c>
      <c r="AQ24" s="826">
        <f t="shared" si="22"/>
        <v>0</v>
      </c>
      <c r="AR24" s="826">
        <f t="shared" si="23"/>
        <v>0</v>
      </c>
      <c r="AS24" s="826">
        <f t="shared" si="24"/>
        <v>0</v>
      </c>
      <c r="AT24" s="826">
        <f t="shared" si="25"/>
        <v>0</v>
      </c>
      <c r="AV24" s="826">
        <f t="shared" si="26"/>
        <v>0</v>
      </c>
      <c r="AW24" s="826">
        <f t="shared" si="27"/>
        <v>0</v>
      </c>
      <c r="AX24" s="826">
        <f t="shared" si="28"/>
        <v>0</v>
      </c>
      <c r="AY24" s="826">
        <f t="shared" si="29"/>
        <v>0</v>
      </c>
      <c r="AZ24" s="826">
        <f t="shared" si="30"/>
        <v>0</v>
      </c>
      <c r="BA24" s="826">
        <f t="shared" si="31"/>
        <v>0</v>
      </c>
      <c r="BC24" s="826">
        <f t="shared" si="32"/>
        <v>0</v>
      </c>
      <c r="BD24" s="826">
        <f t="shared" si="33"/>
        <v>0</v>
      </c>
      <c r="BE24" s="826">
        <f t="shared" si="34"/>
        <v>0</v>
      </c>
      <c r="BF24" s="826">
        <f t="shared" si="35"/>
        <v>0</v>
      </c>
      <c r="BG24" s="826">
        <f t="shared" si="36"/>
        <v>0</v>
      </c>
      <c r="BH24" s="826">
        <f t="shared" si="37"/>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9"/>
        <v>0</v>
      </c>
      <c r="AF25" s="1952">
        <f t="shared" si="19"/>
        <v>0</v>
      </c>
      <c r="AG25" s="1953">
        <f t="shared" si="19"/>
        <v>0</v>
      </c>
      <c r="AH25" s="1954">
        <f t="shared" si="40"/>
        <v>0</v>
      </c>
      <c r="AI25" s="1955">
        <f>IF(ISNA(#REF!),0,SUM(AV25:BA25)*$B$14)</f>
        <v>0</v>
      </c>
      <c r="AJ25" s="1956">
        <f t="shared" si="41"/>
        <v>0</v>
      </c>
      <c r="AK25" s="1957">
        <f t="shared" si="38"/>
        <v>0</v>
      </c>
      <c r="AL25" s="1958">
        <f>Summen_GL!K$117</f>
        <v>0</v>
      </c>
      <c r="AM25" s="1952">
        <f t="shared" si="39"/>
        <v>0</v>
      </c>
      <c r="AO25" s="826">
        <f t="shared" si="20"/>
        <v>0</v>
      </c>
      <c r="AP25" s="826">
        <f t="shared" si="21"/>
        <v>0</v>
      </c>
      <c r="AQ25" s="826">
        <f t="shared" si="22"/>
        <v>0</v>
      </c>
      <c r="AR25" s="826">
        <f t="shared" si="23"/>
        <v>0</v>
      </c>
      <c r="AS25" s="826">
        <f t="shared" si="24"/>
        <v>0</v>
      </c>
      <c r="AT25" s="826">
        <f t="shared" si="25"/>
        <v>0</v>
      </c>
      <c r="AV25" s="826">
        <f t="shared" si="26"/>
        <v>0</v>
      </c>
      <c r="AW25" s="826">
        <f t="shared" si="27"/>
        <v>0</v>
      </c>
      <c r="AX25" s="826">
        <f t="shared" si="28"/>
        <v>0</v>
      </c>
      <c r="AY25" s="826">
        <f t="shared" si="29"/>
        <v>0</v>
      </c>
      <c r="AZ25" s="826">
        <f t="shared" si="30"/>
        <v>0</v>
      </c>
      <c r="BA25" s="826">
        <f t="shared" si="31"/>
        <v>0</v>
      </c>
      <c r="BC25" s="826">
        <f t="shared" si="32"/>
        <v>0</v>
      </c>
      <c r="BD25" s="826">
        <f t="shared" si="33"/>
        <v>0</v>
      </c>
      <c r="BE25" s="826">
        <f t="shared" si="34"/>
        <v>0</v>
      </c>
      <c r="BF25" s="826">
        <f t="shared" si="35"/>
        <v>0</v>
      </c>
      <c r="BG25" s="826">
        <f t="shared" si="36"/>
        <v>0</v>
      </c>
      <c r="BH25" s="826">
        <f t="shared" si="37"/>
        <v>0</v>
      </c>
      <c r="BI25" s="1943"/>
      <c r="CD25" s="1852">
        <v>6</v>
      </c>
      <c r="CE25" s="1852" t="s">
        <v>1030</v>
      </c>
      <c r="CN25" s="1974" t="s">
        <v>1280</v>
      </c>
      <c r="CO25" s="1959">
        <f t="shared" ref="CO25:CO27" si="42">CP25*0.9</f>
        <v>0.9</v>
      </c>
      <c r="CP25" s="1959">
        <v>1</v>
      </c>
      <c r="CQ25" s="1959">
        <f t="shared" ref="CQ25:CQ27" si="43">CP25*1.1</f>
        <v>1.1000000000000001</v>
      </c>
      <c r="CR25" s="1959">
        <f t="shared" ref="CR25:CR27" si="44">CS25*0.9</f>
        <v>0.67500000000000004</v>
      </c>
      <c r="CS25" s="1959">
        <v>0.75</v>
      </c>
      <c r="CT25" s="10">
        <f t="shared" ref="CT25:CT27" si="45">CS25*1.1</f>
        <v>0.82500000000000007</v>
      </c>
      <c r="CU25" s="10">
        <f t="shared" ref="CU25:CU27" si="46">CV25*0.9</f>
        <v>0.63</v>
      </c>
      <c r="CV25" s="10">
        <v>0.7</v>
      </c>
      <c r="CW25" s="10">
        <f t="shared" ref="CW25:CW27" si="47">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9"/>
        <v>0</v>
      </c>
      <c r="AF26" s="1952">
        <f t="shared" si="19"/>
        <v>0</v>
      </c>
      <c r="AG26" s="1953">
        <f t="shared" si="19"/>
        <v>0</v>
      </c>
      <c r="AH26" s="1954">
        <f t="shared" si="40"/>
        <v>0</v>
      </c>
      <c r="AI26" s="1955">
        <f>IF(ISNA(#REF!),0,SUM(AV26:BA26)*$B$14)</f>
        <v>0</v>
      </c>
      <c r="AJ26" s="1956">
        <f t="shared" si="41"/>
        <v>0</v>
      </c>
      <c r="AK26" s="1957">
        <f t="shared" si="38"/>
        <v>0</v>
      </c>
      <c r="AL26" s="1958">
        <f>Summen_GL!L$117</f>
        <v>0</v>
      </c>
      <c r="AM26" s="1952">
        <f t="shared" si="39"/>
        <v>0</v>
      </c>
      <c r="AO26" s="826">
        <f t="shared" si="20"/>
        <v>0</v>
      </c>
      <c r="AP26" s="826">
        <f t="shared" si="21"/>
        <v>0</v>
      </c>
      <c r="AQ26" s="826">
        <f t="shared" si="22"/>
        <v>0</v>
      </c>
      <c r="AR26" s="826">
        <f t="shared" si="23"/>
        <v>0</v>
      </c>
      <c r="AS26" s="826">
        <f t="shared" si="24"/>
        <v>0</v>
      </c>
      <c r="AT26" s="826">
        <f t="shared" si="25"/>
        <v>0</v>
      </c>
      <c r="AV26" s="826">
        <f t="shared" si="26"/>
        <v>0</v>
      </c>
      <c r="AW26" s="826">
        <f t="shared" si="27"/>
        <v>0</v>
      </c>
      <c r="AX26" s="826">
        <f t="shared" si="28"/>
        <v>0</v>
      </c>
      <c r="AY26" s="826">
        <f t="shared" si="29"/>
        <v>0</v>
      </c>
      <c r="AZ26" s="826">
        <f t="shared" si="30"/>
        <v>0</v>
      </c>
      <c r="BA26" s="826">
        <f t="shared" si="31"/>
        <v>0</v>
      </c>
      <c r="BC26" s="826">
        <f t="shared" si="32"/>
        <v>0</v>
      </c>
      <c r="BD26" s="826">
        <f t="shared" si="33"/>
        <v>0</v>
      </c>
      <c r="BE26" s="826">
        <f t="shared" si="34"/>
        <v>0</v>
      </c>
      <c r="BF26" s="826">
        <f t="shared" si="35"/>
        <v>0</v>
      </c>
      <c r="BG26" s="826">
        <f t="shared" si="36"/>
        <v>0</v>
      </c>
      <c r="BH26" s="826">
        <f t="shared" si="37"/>
        <v>0</v>
      </c>
      <c r="BI26" s="1943"/>
      <c r="CD26" s="1852">
        <v>7</v>
      </c>
      <c r="CE26" s="1852" t="s">
        <v>827</v>
      </c>
      <c r="CN26" s="1974" t="s">
        <v>1281</v>
      </c>
      <c r="CO26" s="1959">
        <f t="shared" si="42"/>
        <v>1.125</v>
      </c>
      <c r="CP26" s="1959">
        <v>1.25</v>
      </c>
      <c r="CQ26" s="1959">
        <f t="shared" si="43"/>
        <v>1.375</v>
      </c>
      <c r="CR26" s="1959">
        <f t="shared" si="44"/>
        <v>0.9</v>
      </c>
      <c r="CS26" s="1959">
        <v>1</v>
      </c>
      <c r="CT26" s="10">
        <f t="shared" si="45"/>
        <v>1.1000000000000001</v>
      </c>
      <c r="CU26" s="10">
        <f t="shared" si="46"/>
        <v>0.9</v>
      </c>
      <c r="CV26" s="10">
        <v>1</v>
      </c>
      <c r="CW26" s="10">
        <f t="shared" si="47"/>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9"/>
        <v>0</v>
      </c>
      <c r="AF27" s="1952">
        <f t="shared" si="19"/>
        <v>0</v>
      </c>
      <c r="AG27" s="1953">
        <f t="shared" si="19"/>
        <v>0</v>
      </c>
      <c r="AH27" s="1954">
        <f t="shared" si="40"/>
        <v>0</v>
      </c>
      <c r="AI27" s="1955">
        <f>IF(ISNA(#REF!),0,SUM(AV27:BA27)*$B$14)</f>
        <v>0</v>
      </c>
      <c r="AJ27" s="1956">
        <f t="shared" si="41"/>
        <v>0</v>
      </c>
      <c r="AK27" s="1957">
        <f t="shared" si="38"/>
        <v>0</v>
      </c>
      <c r="AL27" s="1958">
        <f>Summen_GL!M$117</f>
        <v>0</v>
      </c>
      <c r="AM27" s="1952">
        <f t="shared" si="39"/>
        <v>0</v>
      </c>
      <c r="AO27" s="826">
        <f t="shared" si="20"/>
        <v>0</v>
      </c>
      <c r="AP27" s="826">
        <f t="shared" si="21"/>
        <v>0</v>
      </c>
      <c r="AQ27" s="826">
        <f t="shared" si="22"/>
        <v>0</v>
      </c>
      <c r="AR27" s="826">
        <f t="shared" si="23"/>
        <v>0</v>
      </c>
      <c r="AS27" s="826">
        <f t="shared" si="24"/>
        <v>0</v>
      </c>
      <c r="AT27" s="826">
        <f t="shared" si="25"/>
        <v>0</v>
      </c>
      <c r="AV27" s="826">
        <f t="shared" si="26"/>
        <v>0</v>
      </c>
      <c r="AW27" s="826">
        <f t="shared" si="27"/>
        <v>0</v>
      </c>
      <c r="AX27" s="826">
        <f t="shared" si="28"/>
        <v>0</v>
      </c>
      <c r="AY27" s="826">
        <f t="shared" si="29"/>
        <v>0</v>
      </c>
      <c r="AZ27" s="826">
        <f t="shared" si="30"/>
        <v>0</v>
      </c>
      <c r="BA27" s="826">
        <f t="shared" si="31"/>
        <v>0</v>
      </c>
      <c r="BC27" s="826">
        <f t="shared" si="32"/>
        <v>0</v>
      </c>
      <c r="BD27" s="826">
        <f t="shared" si="33"/>
        <v>0</v>
      </c>
      <c r="BE27" s="826">
        <f t="shared" si="34"/>
        <v>0</v>
      </c>
      <c r="BF27" s="826">
        <f t="shared" si="35"/>
        <v>0</v>
      </c>
      <c r="BG27" s="826">
        <f t="shared" si="36"/>
        <v>0</v>
      </c>
      <c r="BH27" s="826">
        <f t="shared" si="37"/>
        <v>0</v>
      </c>
      <c r="BI27" s="1943"/>
      <c r="CD27" s="1975"/>
      <c r="CE27" s="1976"/>
      <c r="CF27" s="1976"/>
      <c r="CG27" s="1976"/>
      <c r="CN27" s="1974" t="s">
        <v>1282</v>
      </c>
      <c r="CO27" s="1959">
        <f t="shared" si="42"/>
        <v>1.35</v>
      </c>
      <c r="CP27" s="1959">
        <v>1.5</v>
      </c>
      <c r="CQ27" s="1959">
        <f t="shared" si="43"/>
        <v>1.6500000000000001</v>
      </c>
      <c r="CR27" s="1959">
        <f t="shared" si="44"/>
        <v>1.125</v>
      </c>
      <c r="CS27" s="1959">
        <v>1.25</v>
      </c>
      <c r="CT27" s="10">
        <f t="shared" si="45"/>
        <v>1.375</v>
      </c>
      <c r="CU27" s="10">
        <f t="shared" si="46"/>
        <v>1.125</v>
      </c>
      <c r="CV27" s="10">
        <v>1.25</v>
      </c>
      <c r="CW27" s="10">
        <f t="shared" si="47"/>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9"/>
        <v>0</v>
      </c>
      <c r="AF28" s="1952">
        <f t="shared" si="19"/>
        <v>0</v>
      </c>
      <c r="AG28" s="1953">
        <f t="shared" si="19"/>
        <v>0</v>
      </c>
      <c r="AH28" s="1954">
        <f t="shared" si="40"/>
        <v>0</v>
      </c>
      <c r="AI28" s="1955">
        <f>IF(ISNA(#REF!),0,SUM(AV28:BA28)*$B$14)</f>
        <v>0</v>
      </c>
      <c r="AJ28" s="1956">
        <f t="shared" si="41"/>
        <v>0</v>
      </c>
      <c r="AK28" s="1957">
        <f t="shared" si="38"/>
        <v>0</v>
      </c>
      <c r="AL28" s="1958">
        <f>Summen_GL!N$117</f>
        <v>0</v>
      </c>
      <c r="AM28" s="1952">
        <f t="shared" si="39"/>
        <v>0</v>
      </c>
      <c r="AO28" s="826">
        <f t="shared" si="20"/>
        <v>0</v>
      </c>
      <c r="AP28" s="826">
        <f t="shared" si="21"/>
        <v>0</v>
      </c>
      <c r="AQ28" s="826">
        <f t="shared" si="22"/>
        <v>0</v>
      </c>
      <c r="AR28" s="826">
        <f t="shared" si="23"/>
        <v>0</v>
      </c>
      <c r="AS28" s="826">
        <f t="shared" si="24"/>
        <v>0</v>
      </c>
      <c r="AT28" s="826">
        <f t="shared" si="25"/>
        <v>0</v>
      </c>
      <c r="AV28" s="826">
        <f t="shared" si="26"/>
        <v>0</v>
      </c>
      <c r="AW28" s="826">
        <f t="shared" si="27"/>
        <v>0</v>
      </c>
      <c r="AX28" s="826">
        <f t="shared" si="28"/>
        <v>0</v>
      </c>
      <c r="AY28" s="826">
        <f t="shared" si="29"/>
        <v>0</v>
      </c>
      <c r="AZ28" s="826">
        <f t="shared" si="30"/>
        <v>0</v>
      </c>
      <c r="BA28" s="826">
        <f t="shared" si="31"/>
        <v>0</v>
      </c>
      <c r="BC28" s="826">
        <f t="shared" si="32"/>
        <v>0</v>
      </c>
      <c r="BD28" s="826">
        <f t="shared" si="33"/>
        <v>0</v>
      </c>
      <c r="BE28" s="826">
        <f t="shared" si="34"/>
        <v>0</v>
      </c>
      <c r="BF28" s="826">
        <f t="shared" si="35"/>
        <v>0</v>
      </c>
      <c r="BG28" s="826">
        <f t="shared" si="36"/>
        <v>0</v>
      </c>
      <c r="BH28" s="826">
        <f t="shared" si="37"/>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9"/>
        <v>0</v>
      </c>
      <c r="AF29" s="1952">
        <f t="shared" si="19"/>
        <v>0</v>
      </c>
      <c r="AG29" s="1953">
        <f t="shared" si="19"/>
        <v>0</v>
      </c>
      <c r="AH29" s="1954">
        <f t="shared" si="40"/>
        <v>0</v>
      </c>
      <c r="AI29" s="1955">
        <f>IF(ISNA(C18),0,SUM(AV29:BA29)*$B$14)</f>
        <v>0</v>
      </c>
      <c r="AJ29" s="1956">
        <f t="shared" si="41"/>
        <v>0</v>
      </c>
      <c r="AK29" s="1957">
        <f t="shared" si="38"/>
        <v>0</v>
      </c>
      <c r="AL29" s="1958">
        <f>Summen_GL!O$117</f>
        <v>0</v>
      </c>
      <c r="AM29" s="1952">
        <f t="shared" si="39"/>
        <v>0</v>
      </c>
      <c r="AO29" s="826">
        <f t="shared" si="20"/>
        <v>0</v>
      </c>
      <c r="AP29" s="826">
        <f t="shared" si="21"/>
        <v>0</v>
      </c>
      <c r="AQ29" s="826">
        <f t="shared" si="22"/>
        <v>0</v>
      </c>
      <c r="AR29" s="826">
        <f t="shared" si="23"/>
        <v>0</v>
      </c>
      <c r="AS29" s="826">
        <f t="shared" si="24"/>
        <v>0</v>
      </c>
      <c r="AT29" s="826">
        <f t="shared" si="25"/>
        <v>0</v>
      </c>
      <c r="AV29" s="826">
        <f t="shared" si="26"/>
        <v>0</v>
      </c>
      <c r="AW29" s="826">
        <f t="shared" si="27"/>
        <v>0</v>
      </c>
      <c r="AX29" s="826">
        <f t="shared" si="28"/>
        <v>0</v>
      </c>
      <c r="AY29" s="826">
        <f t="shared" si="29"/>
        <v>0</v>
      </c>
      <c r="AZ29" s="826">
        <f t="shared" si="30"/>
        <v>0</v>
      </c>
      <c r="BA29" s="826">
        <f t="shared" si="31"/>
        <v>0</v>
      </c>
      <c r="BC29" s="826">
        <f t="shared" si="32"/>
        <v>0</v>
      </c>
      <c r="BD29" s="826">
        <f t="shared" si="33"/>
        <v>0</v>
      </c>
      <c r="BE29" s="826">
        <f t="shared" si="34"/>
        <v>0</v>
      </c>
      <c r="BF29" s="826">
        <f t="shared" si="35"/>
        <v>0</v>
      </c>
      <c r="BG29" s="826">
        <f t="shared" si="36"/>
        <v>0</v>
      </c>
      <c r="BH29" s="826">
        <f t="shared" si="37"/>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9"/>
        <v>0</v>
      </c>
      <c r="AF30" s="1952">
        <f t="shared" si="19"/>
        <v>0</v>
      </c>
      <c r="AG30" s="1953">
        <f t="shared" si="19"/>
        <v>0</v>
      </c>
      <c r="AH30" s="1954">
        <f t="shared" si="40"/>
        <v>0</v>
      </c>
      <c r="AI30" s="1955">
        <f>IF(ISNA(B19),0,SUM(AV30:BA30)*$B$14)</f>
        <v>0</v>
      </c>
      <c r="AJ30" s="1956">
        <f t="shared" si="41"/>
        <v>0</v>
      </c>
      <c r="AK30" s="1957">
        <f t="shared" si="38"/>
        <v>0</v>
      </c>
      <c r="AL30" s="1958">
        <f>Summen_GL!P$117</f>
        <v>0</v>
      </c>
      <c r="AM30" s="1952">
        <f t="shared" si="39"/>
        <v>0</v>
      </c>
      <c r="AO30" s="826">
        <f t="shared" si="20"/>
        <v>0</v>
      </c>
      <c r="AP30" s="826">
        <f t="shared" si="21"/>
        <v>0</v>
      </c>
      <c r="AQ30" s="826">
        <f t="shared" si="22"/>
        <v>0</v>
      </c>
      <c r="AR30" s="826">
        <f t="shared" si="23"/>
        <v>0</v>
      </c>
      <c r="AS30" s="826">
        <f t="shared" si="24"/>
        <v>0</v>
      </c>
      <c r="AT30" s="826">
        <f t="shared" si="25"/>
        <v>0</v>
      </c>
      <c r="AV30" s="826">
        <f t="shared" si="26"/>
        <v>0</v>
      </c>
      <c r="AW30" s="826">
        <f t="shared" si="27"/>
        <v>0</v>
      </c>
      <c r="AX30" s="826">
        <f t="shared" si="28"/>
        <v>0</v>
      </c>
      <c r="AY30" s="826">
        <f t="shared" si="29"/>
        <v>0</v>
      </c>
      <c r="AZ30" s="826">
        <f t="shared" si="30"/>
        <v>0</v>
      </c>
      <c r="BA30" s="826">
        <f t="shared" si="31"/>
        <v>0</v>
      </c>
      <c r="BC30" s="826">
        <f t="shared" si="32"/>
        <v>0</v>
      </c>
      <c r="BD30" s="826">
        <f t="shared" si="33"/>
        <v>0</v>
      </c>
      <c r="BE30" s="826">
        <f t="shared" si="34"/>
        <v>0</v>
      </c>
      <c r="BF30" s="826">
        <f t="shared" si="35"/>
        <v>0</v>
      </c>
      <c r="BG30" s="826">
        <f t="shared" si="36"/>
        <v>0</v>
      </c>
      <c r="BH30" s="826">
        <f t="shared" si="37"/>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9"/>
        <v>0</v>
      </c>
      <c r="AF31" s="1952">
        <f t="shared" si="19"/>
        <v>0</v>
      </c>
      <c r="AG31" s="1953">
        <f t="shared" si="19"/>
        <v>0</v>
      </c>
      <c r="AH31" s="1954">
        <f t="shared" si="40"/>
        <v>0</v>
      </c>
      <c r="AI31" s="1955">
        <f>IF(ISNA(B30),0,SUM(AV31:BA31)*$B$14)</f>
        <v>0</v>
      </c>
      <c r="AJ31" s="1956">
        <f t="shared" si="41"/>
        <v>0</v>
      </c>
      <c r="AK31" s="1957">
        <f t="shared" si="38"/>
        <v>0</v>
      </c>
      <c r="AL31" s="1958">
        <f>Summen_GL!Q$117</f>
        <v>0</v>
      </c>
      <c r="AM31" s="1952">
        <f t="shared" si="39"/>
        <v>0</v>
      </c>
      <c r="AO31" s="826">
        <f t="shared" si="20"/>
        <v>0</v>
      </c>
      <c r="AP31" s="826">
        <f t="shared" si="21"/>
        <v>0</v>
      </c>
      <c r="AQ31" s="826">
        <f t="shared" si="22"/>
        <v>0</v>
      </c>
      <c r="AR31" s="826">
        <f t="shared" si="23"/>
        <v>0</v>
      </c>
      <c r="AS31" s="826">
        <f t="shared" si="24"/>
        <v>0</v>
      </c>
      <c r="AT31" s="826">
        <f t="shared" si="25"/>
        <v>0</v>
      </c>
      <c r="AV31" s="826">
        <f t="shared" si="26"/>
        <v>0</v>
      </c>
      <c r="AW31" s="826">
        <f t="shared" si="27"/>
        <v>0</v>
      </c>
      <c r="AX31" s="826">
        <f t="shared" si="28"/>
        <v>0</v>
      </c>
      <c r="AY31" s="826">
        <f t="shared" si="29"/>
        <v>0</v>
      </c>
      <c r="AZ31" s="826">
        <f t="shared" si="30"/>
        <v>0</v>
      </c>
      <c r="BA31" s="826">
        <f t="shared" si="31"/>
        <v>0</v>
      </c>
      <c r="BC31" s="826">
        <f t="shared" si="32"/>
        <v>0</v>
      </c>
      <c r="BD31" s="826">
        <f t="shared" si="33"/>
        <v>0</v>
      </c>
      <c r="BE31" s="826">
        <f t="shared" si="34"/>
        <v>0</v>
      </c>
      <c r="BF31" s="826">
        <f t="shared" si="35"/>
        <v>0</v>
      </c>
      <c r="BG31" s="826">
        <f t="shared" si="36"/>
        <v>0</v>
      </c>
      <c r="BH31" s="826">
        <f t="shared" si="37"/>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48">CO39*0.97</f>
        <v>1.94</v>
      </c>
      <c r="CQ39" s="1959">
        <f t="shared" ref="CQ39:CQ41" si="49">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48"/>
        <v>0.97</v>
      </c>
      <c r="CQ40" s="1959">
        <f t="shared" si="49"/>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48"/>
        <v>0.72750000000000004</v>
      </c>
      <c r="CQ41" s="1959">
        <f t="shared" si="49"/>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H2p4tbW3/74KqzTxER8L9kQo6pq5QILiEYLZg3K7OT7MU8imIrQpSV9NCRAkQRylrTY9m2044YqVROiQNtrvEA==" saltValue="ph+3L4VCXS6em0StVkOvBw==" spinCount="100000" sheet="1" formatCells="0" formatColumns="0" formatRows="0"/>
  <mergeCells count="34">
    <mergeCell ref="W11:W12"/>
    <mergeCell ref="C18:D18"/>
    <mergeCell ref="CD11:CL11"/>
    <mergeCell ref="U14:U15"/>
    <mergeCell ref="V14:V15"/>
    <mergeCell ref="W14:W15"/>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U6:V6"/>
    <mergeCell ref="U11:V12"/>
    <mergeCell ref="I5:J5"/>
    <mergeCell ref="K5:L5"/>
    <mergeCell ref="M5:N5"/>
    <mergeCell ref="C2:E2"/>
    <mergeCell ref="H2:I2"/>
    <mergeCell ref="N2:O2"/>
    <mergeCell ref="R1:S1"/>
    <mergeCell ref="P2:Q2"/>
    <mergeCell ref="C3:D3"/>
    <mergeCell ref="H3:I3"/>
    <mergeCell ref="M3:Q3"/>
  </mergeCells>
  <conditionalFormatting sqref="B14 P14:P15">
    <cfRule type="expression" dxfId="904" priority="53" stopIfTrue="1">
      <formula>#REF!="nein"</formula>
    </cfRule>
  </conditionalFormatting>
  <conditionalFormatting sqref="B39">
    <cfRule type="expression" dxfId="903" priority="52">
      <formula>#REF!="nein"</formula>
    </cfRule>
  </conditionalFormatting>
  <conditionalFormatting sqref="B41">
    <cfRule type="expression" dxfId="902" priority="51">
      <formula>$B$13=" "</formula>
    </cfRule>
  </conditionalFormatting>
  <conditionalFormatting sqref="A12:S12 A14:R15 A13 C13:R13">
    <cfRule type="expression" dxfId="901" priority="48">
      <formula>IF($G$8="NEIN",1,0)</formula>
    </cfRule>
  </conditionalFormatting>
  <conditionalFormatting sqref="I8:K8">
    <cfRule type="expression" dxfId="900" priority="47">
      <formula>IF($G$8="NEIN",1,0)</formula>
    </cfRule>
  </conditionalFormatting>
  <conditionalFormatting sqref="B15">
    <cfRule type="expression" dxfId="899" priority="54">
      <formula>($B$13+B14)&lt;$H$2</formula>
    </cfRule>
  </conditionalFormatting>
  <conditionalFormatting sqref="C10">
    <cfRule type="expression" dxfId="898" priority="46">
      <formula>IF($G$8="JA",1,0)</formula>
    </cfRule>
  </conditionalFormatting>
  <conditionalFormatting sqref="A14 A15:R15">
    <cfRule type="expression" dxfId="897" priority="42">
      <formula>IF($K$8="",1,0)</formula>
    </cfRule>
    <cfRule type="expression" dxfId="896" priority="45">
      <formula>IF($K$8="NEIN",1,0)</formula>
    </cfRule>
  </conditionalFormatting>
  <conditionalFormatting sqref="B14:R14">
    <cfRule type="expression" dxfId="895" priority="41">
      <formula>IF($K$8="",1,0)</formula>
    </cfRule>
    <cfRule type="expression" dxfId="894" priority="44">
      <formula>IF($K$8="NEIN",1,0)</formula>
    </cfRule>
  </conditionalFormatting>
  <conditionalFormatting sqref="A10:S12 A14:R15 A13 C13:R13">
    <cfRule type="expression" dxfId="893" priority="43">
      <formula>IF($G$8="",1,0)</formula>
    </cfRule>
  </conditionalFormatting>
  <conditionalFormatting sqref="C13:R13">
    <cfRule type="expression" dxfId="892" priority="40">
      <formula>IF($K$8="JA",1,0)</formula>
    </cfRule>
  </conditionalFormatting>
  <conditionalFormatting sqref="B14">
    <cfRule type="expression" dxfId="891" priority="38">
      <formula>IF($K$8="",1,0)</formula>
    </cfRule>
    <cfRule type="expression" dxfId="890" priority="39">
      <formula>IF($K$8="NEIN",1,0)</formula>
    </cfRule>
  </conditionalFormatting>
  <conditionalFormatting sqref="S14">
    <cfRule type="expression" dxfId="889" priority="37" stopIfTrue="1">
      <formula>#REF!="nein"</formula>
    </cfRule>
  </conditionalFormatting>
  <conditionalFormatting sqref="S15">
    <cfRule type="expression" dxfId="888" priority="36" stopIfTrue="1">
      <formula>#REF!="nein"</formula>
    </cfRule>
  </conditionalFormatting>
  <conditionalFormatting sqref="S13:S15">
    <cfRule type="expression" dxfId="887" priority="35">
      <formula>IF($G$8="NEIN",1,0)</formula>
    </cfRule>
  </conditionalFormatting>
  <conditionalFormatting sqref="S15">
    <cfRule type="expression" dxfId="886" priority="31">
      <formula>IF($K$8="",1,0)</formula>
    </cfRule>
    <cfRule type="expression" dxfId="885" priority="34">
      <formula>IF($K$8="NEIN",1,0)</formula>
    </cfRule>
  </conditionalFormatting>
  <conditionalFormatting sqref="S14">
    <cfRule type="expression" dxfId="884" priority="30">
      <formula>IF($K$8="",1,0)</formula>
    </cfRule>
    <cfRule type="expression" dxfId="883" priority="33">
      <formula>IF($K$8="NEIN",1,0)</formula>
    </cfRule>
  </conditionalFormatting>
  <conditionalFormatting sqref="S13:S15">
    <cfRule type="expression" dxfId="882" priority="32">
      <formula>IF($G$8="",1,0)</formula>
    </cfRule>
  </conditionalFormatting>
  <conditionalFormatting sqref="S13">
    <cfRule type="expression" dxfId="881" priority="29">
      <formula>IF($K$8="JA",1,0)</formula>
    </cfRule>
  </conditionalFormatting>
  <conditionalFormatting sqref="S14">
    <cfRule type="expression" dxfId="880" priority="27">
      <formula>IF($K$8="JA",1,0)</formula>
    </cfRule>
  </conditionalFormatting>
  <conditionalFormatting sqref="S15">
    <cfRule type="expression" dxfId="879" priority="25">
      <formula>IF($K$8="JA",1,0)</formula>
    </cfRule>
  </conditionalFormatting>
  <conditionalFormatting sqref="U13:W13">
    <cfRule type="expression" dxfId="878" priority="21">
      <formula>IF($G$8="NEIN",1,0)</formula>
    </cfRule>
    <cfRule type="expression" dxfId="877" priority="22">
      <formula>IF($G$8="",1,0)</formula>
    </cfRule>
    <cfRule type="expression" dxfId="876" priority="23">
      <formula>IF($K$8="JA",1,0)</formula>
    </cfRule>
  </conditionalFormatting>
  <conditionalFormatting sqref="U11:W13">
    <cfRule type="expression" dxfId="875" priority="20">
      <formula>IF($G$8="",1,0)</formula>
    </cfRule>
  </conditionalFormatting>
  <conditionalFormatting sqref="U11:W13">
    <cfRule type="expression" dxfId="874" priority="19">
      <formula>IF($G$8="NEIN",1,0)</formula>
    </cfRule>
  </conditionalFormatting>
  <conditionalFormatting sqref="U14:V15">
    <cfRule type="expression" dxfId="873" priority="10">
      <formula>IF($G$8="NEIN",1,0)</formula>
    </cfRule>
    <cfRule type="expression" dxfId="872" priority="11">
      <formula>IF($K$8="NEIN",1,0)</formula>
    </cfRule>
    <cfRule type="expression" dxfId="871" priority="12">
      <formula>IF($G$8="",1,0)</formula>
    </cfRule>
    <cfRule type="expression" dxfId="870" priority="13">
      <formula>IF($K$8="",1,0)</formula>
    </cfRule>
  </conditionalFormatting>
  <conditionalFormatting sqref="U14:V15">
    <cfRule type="expression" dxfId="869" priority="9">
      <formula>IF($G$8="",1,0)</formula>
    </cfRule>
  </conditionalFormatting>
  <conditionalFormatting sqref="B13">
    <cfRule type="expression" dxfId="868" priority="8">
      <formula>IF($G$8="NEIN",1,0)</formula>
    </cfRule>
  </conditionalFormatting>
  <conditionalFormatting sqref="B13">
    <cfRule type="expression" dxfId="867" priority="7">
      <formula>IF($G$8="",1,0)</formula>
    </cfRule>
  </conditionalFormatting>
  <conditionalFormatting sqref="B13">
    <cfRule type="expression" dxfId="866" priority="6">
      <formula>IF($K$8="JA",1,0)</formula>
    </cfRule>
  </conditionalFormatting>
  <conditionalFormatting sqref="W14:W15">
    <cfRule type="expression" dxfId="865" priority="2">
      <formula>IF($G$8="NEIN",1,0)</formula>
    </cfRule>
    <cfRule type="expression" dxfId="864" priority="3">
      <formula>IF($K$8="NEIN",1,0)</formula>
    </cfRule>
    <cfRule type="expression" dxfId="863" priority="4">
      <formula>IF($G$8="",1,0)</formula>
    </cfRule>
    <cfRule type="expression" dxfId="862" priority="5">
      <formula>IF($K$8="",1,0)</formula>
    </cfRule>
  </conditionalFormatting>
  <conditionalFormatting sqref="W14:W15">
    <cfRule type="expression" dxfId="861"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8!F13" display="◄"/>
    <hyperlink ref="R1:S1" location="S_10!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0" id="{FB28AEDE-E7F9-4D0F-B8C3-636EDF40414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8" id="{7713A865-B0D2-42A6-9286-DAEDB70D9A1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6" id="{A51C05E0-E553-43F8-AAFF-7CCBDC04FFFC}">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4" id="{1753EF71-7B1B-456A-BCBD-C3496D9D396C}">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7" customHeight="1" thickBot="1">
      <c r="A1" s="1805" t="s">
        <v>1183</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f>Grünland!C14</f>
        <v>0</v>
      </c>
      <c r="D2" s="2663"/>
      <c r="E2" s="2664"/>
      <c r="F2" s="818"/>
      <c r="G2" s="1800" t="s">
        <v>1002</v>
      </c>
      <c r="H2" s="2635">
        <f>Grünland!D14</f>
        <v>0</v>
      </c>
      <c r="I2" s="2636"/>
      <c r="J2" s="818"/>
      <c r="K2" s="1801" t="s">
        <v>863</v>
      </c>
      <c r="L2" s="1800" t="s">
        <v>679</v>
      </c>
      <c r="M2" s="1040">
        <f>Grünland!H14</f>
        <v>0</v>
      </c>
      <c r="N2" s="2616" t="s">
        <v>1049</v>
      </c>
      <c r="O2" s="2617"/>
      <c r="P2" s="2653">
        <f>Grünland!J14</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Grünland!G414</f>
        <v>0</v>
      </c>
      <c r="F3" s="818"/>
      <c r="G3" s="1044" t="s">
        <v>1048</v>
      </c>
      <c r="H3" s="2633">
        <f>Grünland!E14</f>
        <v>0</v>
      </c>
      <c r="I3" s="2634"/>
      <c r="J3" s="818"/>
      <c r="K3" s="818"/>
      <c r="L3" s="1050" t="s">
        <v>1050</v>
      </c>
      <c r="M3" s="2618">
        <f>Grünland!F14</f>
        <v>0</v>
      </c>
      <c r="N3" s="2619"/>
      <c r="O3" s="2619"/>
      <c r="P3" s="2619"/>
      <c r="Q3" s="2620"/>
      <c r="R3" s="1859" t="str">
        <f>Grünland!AH14</f>
        <v>normal</v>
      </c>
      <c r="S3" s="1859" t="str">
        <f>Grünland!AI14</f>
        <v>5,0 - 10 km</v>
      </c>
      <c r="T3" s="1859"/>
      <c r="U3" s="819"/>
      <c r="V3" s="819"/>
      <c r="W3" s="819"/>
      <c r="X3" s="819"/>
      <c r="Y3" s="819"/>
      <c r="Z3" s="819"/>
      <c r="AA3" s="835"/>
      <c r="AB3" s="1852"/>
      <c r="AC3" s="1852"/>
      <c r="AE3" s="1860">
        <f>Grünland!AP14</f>
        <v>0</v>
      </c>
      <c r="AF3" s="1861">
        <f>Grünland!AQ14</f>
        <v>0</v>
      </c>
      <c r="AG3" s="1862">
        <f>(Grünland!AR14+Grünland!AS14)</f>
        <v>0</v>
      </c>
      <c r="AH3" s="1863">
        <f>Grünland!AT14</f>
        <v>0</v>
      </c>
      <c r="AI3" s="1860">
        <f>Grünland!AU14</f>
        <v>0</v>
      </c>
      <c r="AJ3" s="1860">
        <f>Grünland!AV14</f>
        <v>0</v>
      </c>
      <c r="AK3" s="1860">
        <f>Grünland!AW14</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Grünland!R14</f>
        <v>0</v>
      </c>
      <c r="F6" s="997">
        <f>Grünland!S14</f>
        <v>0</v>
      </c>
      <c r="G6" s="996">
        <f>Grünland!T14</f>
        <v>0</v>
      </c>
      <c r="H6" s="997">
        <f>Grünland!U14</f>
        <v>0</v>
      </c>
      <c r="I6" s="996">
        <f>Grünland!V14</f>
        <v>0</v>
      </c>
      <c r="J6" s="997">
        <f>Grünland!W14</f>
        <v>0</v>
      </c>
      <c r="K6" s="996">
        <f>Grünland!X14</f>
        <v>0</v>
      </c>
      <c r="L6" s="997">
        <f>Grünland!Y14</f>
        <v>0</v>
      </c>
      <c r="M6" s="996">
        <f>Grünland!Z14</f>
        <v>0</v>
      </c>
      <c r="N6" s="997">
        <f>Grünland!AA14</f>
        <v>0</v>
      </c>
      <c r="O6" s="996">
        <f>Grünland!AB14</f>
        <v>0</v>
      </c>
      <c r="P6" s="997">
        <f>Grünland!AC14</f>
        <v>0</v>
      </c>
      <c r="Q6" s="818"/>
      <c r="R6" s="827">
        <f>Grünland!L14</f>
        <v>0</v>
      </c>
      <c r="S6" s="1111">
        <f>Grünland!M14</f>
        <v>0</v>
      </c>
      <c r="T6" s="819"/>
      <c r="U6" s="2637">
        <f>Grünland!AL14</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reduzieren",C13="unverändert"),Grünland!$H$14,S_10!AB13)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t="str">
        <f>Grünland!AH$14</f>
        <v>normal</v>
      </c>
      <c r="CO13" s="1882" t="str">
        <f>Grünland!AI$14</f>
        <v>5,0 - 10 km</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reduzieren",C14="unverändert"),Grünland!$H$14,S_10!AB14)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t="str">
        <f>Grünland!AH$14</f>
        <v>normal</v>
      </c>
      <c r="CO14" s="1882" t="str">
        <f>Grünland!AI$14</f>
        <v>5,0 - 10 km</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reduzieren",C15="unverändert"),Grünland!$H$14,S_10!AB15)</f>
        <v>0</v>
      </c>
      <c r="R15" s="977">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t="str">
        <f>Grünland!AH$14</f>
        <v>normal</v>
      </c>
      <c r="CO15" s="1882" t="str">
        <f>Grünland!AI$14</f>
        <v>5,0 - 10 km</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c r="A18" s="819"/>
      <c r="B18" s="819"/>
      <c r="C18" s="2660" t="s">
        <v>1052</v>
      </c>
      <c r="D18" s="2661"/>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Summen_GL!F$118</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Summen_GL!G$118</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Summen_GL!H$118</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Summen_GL!I$118</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Summen_GL!J$118</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Summen_GL!K$118</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Summen_GL!L$118</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Summen_GL!M$118</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Summen_GL!N$118</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Summen_GL!O$118</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Summen_GL!P$118</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Summen_GL!Q$118</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yC77XrziRbggnn8SXHpdddiZcmmuubfaFGix0o+E/8e+45nwqwFp+7++FNpOqFINP8kpJvm5Gns3nu142Ww26A==" saltValue="3tuMrGwRIgyECeYPtik9hA=="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860" priority="50" stopIfTrue="1">
      <formula>#REF!="nein"</formula>
    </cfRule>
  </conditionalFormatting>
  <conditionalFormatting sqref="B39">
    <cfRule type="expression" dxfId="859" priority="49">
      <formula>#REF!="nein"</formula>
    </cfRule>
  </conditionalFormatting>
  <conditionalFormatting sqref="B41">
    <cfRule type="expression" dxfId="858" priority="48">
      <formula>$B$13=" "</formula>
    </cfRule>
  </conditionalFormatting>
  <conditionalFormatting sqref="A12:S12 A13:R15">
    <cfRule type="expression" dxfId="857" priority="45">
      <formula>IF($G$8="NEIN",1,0)</formula>
    </cfRule>
  </conditionalFormatting>
  <conditionalFormatting sqref="I8:K8">
    <cfRule type="expression" dxfId="856" priority="44">
      <formula>IF($G$8="NEIN",1,0)</formula>
    </cfRule>
  </conditionalFormatting>
  <conditionalFormatting sqref="B15">
    <cfRule type="expression" dxfId="855" priority="51">
      <formula>($B$13+B14)&lt;$H$2</formula>
    </cfRule>
  </conditionalFormatting>
  <conditionalFormatting sqref="C10">
    <cfRule type="expression" dxfId="854" priority="43">
      <formula>IF($G$8="JA",1,0)</formula>
    </cfRule>
  </conditionalFormatting>
  <conditionalFormatting sqref="A14 A15:R15">
    <cfRule type="expression" dxfId="853" priority="39">
      <formula>IF($K$8="",1,0)</formula>
    </cfRule>
    <cfRule type="expression" dxfId="852" priority="42">
      <formula>IF($K$8="NEIN",1,0)</formula>
    </cfRule>
  </conditionalFormatting>
  <conditionalFormatting sqref="B14:R14">
    <cfRule type="expression" dxfId="851" priority="38">
      <formula>IF($K$8="",1,0)</formula>
    </cfRule>
    <cfRule type="expression" dxfId="850" priority="41">
      <formula>IF($K$8="NEIN",1,0)</formula>
    </cfRule>
  </conditionalFormatting>
  <conditionalFormatting sqref="A10:S12 A13:R15">
    <cfRule type="expression" dxfId="849" priority="40">
      <formula>IF($G$8="",1,0)</formula>
    </cfRule>
  </conditionalFormatting>
  <conditionalFormatting sqref="B13:R13">
    <cfRule type="expression" dxfId="848" priority="37">
      <formula>IF($K$8="JA",1,0)</formula>
    </cfRule>
  </conditionalFormatting>
  <conditionalFormatting sqref="B14">
    <cfRule type="expression" dxfId="847" priority="35">
      <formula>IF($K$8="",1,0)</formula>
    </cfRule>
    <cfRule type="expression" dxfId="846" priority="36">
      <formula>IF($K$8="NEIN",1,0)</formula>
    </cfRule>
  </conditionalFormatting>
  <conditionalFormatting sqref="S14">
    <cfRule type="expression" dxfId="845" priority="34" stopIfTrue="1">
      <formula>#REF!="nein"</formula>
    </cfRule>
  </conditionalFormatting>
  <conditionalFormatting sqref="S15">
    <cfRule type="expression" dxfId="844" priority="33" stopIfTrue="1">
      <formula>#REF!="nein"</formula>
    </cfRule>
  </conditionalFormatting>
  <conditionalFormatting sqref="S13:S15">
    <cfRule type="expression" dxfId="843" priority="32">
      <formula>IF($G$8="NEIN",1,0)</formula>
    </cfRule>
  </conditionalFormatting>
  <conditionalFormatting sqref="S15">
    <cfRule type="expression" dxfId="842" priority="28">
      <formula>IF($K$8="",1,0)</formula>
    </cfRule>
    <cfRule type="expression" dxfId="841" priority="31">
      <formula>IF($K$8="NEIN",1,0)</formula>
    </cfRule>
  </conditionalFormatting>
  <conditionalFormatting sqref="S14">
    <cfRule type="expression" dxfId="840" priority="27">
      <formula>IF($K$8="",1,0)</formula>
    </cfRule>
    <cfRule type="expression" dxfId="839" priority="30">
      <formula>IF($K$8="NEIN",1,0)</formula>
    </cfRule>
  </conditionalFormatting>
  <conditionalFormatting sqref="S13:S15">
    <cfRule type="expression" dxfId="838" priority="29">
      <formula>IF($G$8="",1,0)</formula>
    </cfRule>
  </conditionalFormatting>
  <conditionalFormatting sqref="S13">
    <cfRule type="expression" dxfId="837" priority="26">
      <formula>IF($K$8="JA",1,0)</formula>
    </cfRule>
  </conditionalFormatting>
  <conditionalFormatting sqref="S14">
    <cfRule type="expression" dxfId="836" priority="24">
      <formula>IF($K$8="JA",1,0)</formula>
    </cfRule>
  </conditionalFormatting>
  <conditionalFormatting sqref="S15">
    <cfRule type="expression" dxfId="835" priority="22">
      <formula>IF($K$8="JA",1,0)</formula>
    </cfRule>
  </conditionalFormatting>
  <conditionalFormatting sqref="U13:W13">
    <cfRule type="expression" dxfId="834" priority="18">
      <formula>IF($G$8="NEIN",1,0)</formula>
    </cfRule>
    <cfRule type="expression" dxfId="833" priority="19">
      <formula>IF($G$8="",1,0)</formula>
    </cfRule>
    <cfRule type="expression" dxfId="832" priority="20">
      <formula>IF($K$8="JA",1,0)</formula>
    </cfRule>
  </conditionalFormatting>
  <conditionalFormatting sqref="U11:W13">
    <cfRule type="expression" dxfId="831" priority="17">
      <formula>IF($G$8="",1,0)</formula>
    </cfRule>
  </conditionalFormatting>
  <conditionalFormatting sqref="U11:W13">
    <cfRule type="expression" dxfId="830" priority="16">
      <formula>IF($G$8="NEIN",1,0)</formula>
    </cfRule>
  </conditionalFormatting>
  <conditionalFormatting sqref="U14:V15">
    <cfRule type="expression" dxfId="829" priority="7">
      <formula>IF($G$8="NEIN",1,0)</formula>
    </cfRule>
    <cfRule type="expression" dxfId="828" priority="8">
      <formula>IF($K$8="NEIN",1,0)</formula>
    </cfRule>
    <cfRule type="expression" dxfId="827" priority="9">
      <formula>IF($G$8="",1,0)</formula>
    </cfRule>
    <cfRule type="expression" dxfId="826" priority="10">
      <formula>IF($K$8="",1,0)</formula>
    </cfRule>
  </conditionalFormatting>
  <conditionalFormatting sqref="U14:V15">
    <cfRule type="expression" dxfId="825" priority="6">
      <formula>IF($G$8="",1,0)</formula>
    </cfRule>
  </conditionalFormatting>
  <conditionalFormatting sqref="W14:W15">
    <cfRule type="expression" dxfId="824" priority="2">
      <formula>IF($G$8="NEIN",1,0)</formula>
    </cfRule>
    <cfRule type="expression" dxfId="823" priority="3">
      <formula>IF($K$8="NEIN",1,0)</formula>
    </cfRule>
    <cfRule type="expression" dxfId="822" priority="4">
      <formula>IF($G$8="",1,0)</formula>
    </cfRule>
    <cfRule type="expression" dxfId="821" priority="5">
      <formula>IF($K$8="",1,0)</formula>
    </cfRule>
  </conditionalFormatting>
  <conditionalFormatting sqref="W14:W15">
    <cfRule type="expression" dxfId="820"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9!F13" display="◄"/>
    <hyperlink ref="R1:S1" location="S_11!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25E08178-4A8D-41ED-A56D-2D79670D1DBB}">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1E348339-AAA7-4DDA-8DC4-0DC1BEF20F0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60D8D6F6-D02B-45DF-8D0C-E91B403D903A}">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BB306961-5F0F-464C-B1A1-4415807D8B0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1371</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f>Grünland!C15</f>
        <v>0</v>
      </c>
      <c r="D2" s="2626"/>
      <c r="E2" s="2627"/>
      <c r="F2" s="818"/>
      <c r="G2" s="1800" t="s">
        <v>1002</v>
      </c>
      <c r="H2" s="2635">
        <f>Grünland!D15</f>
        <v>0</v>
      </c>
      <c r="I2" s="2636"/>
      <c r="J2" s="818"/>
      <c r="K2" s="1801" t="s">
        <v>863</v>
      </c>
      <c r="L2" s="1800" t="s">
        <v>679</v>
      </c>
      <c r="M2" s="1040">
        <f>Grünland!H15</f>
        <v>0</v>
      </c>
      <c r="N2" s="2616" t="s">
        <v>1049</v>
      </c>
      <c r="O2" s="2617"/>
      <c r="P2" s="2653">
        <f>Grünland!J15</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Grünland!G15</f>
        <v>0</v>
      </c>
      <c r="F3" s="818"/>
      <c r="G3" s="1044" t="s">
        <v>1048</v>
      </c>
      <c r="H3" s="2633">
        <f>Grünland!E15</f>
        <v>0</v>
      </c>
      <c r="I3" s="2634"/>
      <c r="J3" s="818"/>
      <c r="K3" s="818"/>
      <c r="L3" s="1050" t="s">
        <v>1050</v>
      </c>
      <c r="M3" s="2618">
        <f>Grünland!F15</f>
        <v>0</v>
      </c>
      <c r="N3" s="2619"/>
      <c r="O3" s="2619"/>
      <c r="P3" s="2619"/>
      <c r="Q3" s="2620"/>
      <c r="R3" s="1859">
        <f>Grünland!AH15</f>
        <v>0</v>
      </c>
      <c r="S3" s="1859">
        <f>Grünland!AI15</f>
        <v>0</v>
      </c>
      <c r="T3" s="1859"/>
      <c r="U3" s="819"/>
      <c r="V3" s="819"/>
      <c r="W3" s="819"/>
      <c r="X3" s="819"/>
      <c r="Y3" s="819"/>
      <c r="Z3" s="819"/>
      <c r="AA3" s="835"/>
      <c r="AB3" s="1852"/>
      <c r="AC3" s="1852"/>
      <c r="AE3" s="1860">
        <f>Grünland!AP15</f>
        <v>0</v>
      </c>
      <c r="AF3" s="1861">
        <f>Grünland!AQ15</f>
        <v>0</v>
      </c>
      <c r="AG3" s="1862">
        <f>(Grünland!AR15+Grünland!AS15)</f>
        <v>0</v>
      </c>
      <c r="AH3" s="1863">
        <f>Grünland!AT15</f>
        <v>0</v>
      </c>
      <c r="AI3" s="1860">
        <f>Grünland!AU15</f>
        <v>0</v>
      </c>
      <c r="AJ3" s="1860">
        <f>Grünland!AV15</f>
        <v>0</v>
      </c>
      <c r="AK3" s="1860">
        <f>Grünland!AW15</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Grünland!R15</f>
        <v>0</v>
      </c>
      <c r="F6" s="997">
        <f>Grünland!S15</f>
        <v>0</v>
      </c>
      <c r="G6" s="996">
        <f>Grünland!T15</f>
        <v>0</v>
      </c>
      <c r="H6" s="997">
        <f>Grünland!U15</f>
        <v>0</v>
      </c>
      <c r="I6" s="996">
        <f>Grünland!V15</f>
        <v>0</v>
      </c>
      <c r="J6" s="997">
        <f>Grünland!W15</f>
        <v>0</v>
      </c>
      <c r="K6" s="996">
        <f>Grünland!X15</f>
        <v>0</v>
      </c>
      <c r="L6" s="997">
        <f>Grünland!Y15</f>
        <v>0</v>
      </c>
      <c r="M6" s="996">
        <f>Grünland!Z15</f>
        <v>0</v>
      </c>
      <c r="N6" s="997">
        <f>Grünland!AA15</f>
        <v>0</v>
      </c>
      <c r="O6" s="996">
        <f>Grünland!AB15</f>
        <v>0</v>
      </c>
      <c r="P6" s="997">
        <f>Grünland!AC15</f>
        <v>0</v>
      </c>
      <c r="Q6" s="818"/>
      <c r="R6" s="827">
        <f>Grünland!L15</f>
        <v>0</v>
      </c>
      <c r="S6" s="1111">
        <f>Grünland!M15</f>
        <v>0</v>
      </c>
      <c r="T6" s="819"/>
      <c r="U6" s="2637">
        <f>Grünland!AL15</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reduzieren",C13="unverändert"),Grünland!$H$15,S_11!AB13)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Grünland!AH$15</f>
        <v>0</v>
      </c>
      <c r="CO13" s="1882">
        <f>Grünland!AI$15</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reduzieren",C14="unverändert"),Grünland!$H$15,S_11!AB14)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Grünland!AH$15</f>
        <v>0</v>
      </c>
      <c r="CO14" s="1882">
        <f>Grünland!AI$15</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reduzieren",C15="unverändert"),Grünland!$H$15,S_11!AB15)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Grünland!AH$15</f>
        <v>0</v>
      </c>
      <c r="CO15" s="1882">
        <f>Grünland!AI$15</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Summen_GL!F$119</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Summen_GL!G$119</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Summen_GL!H$119</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Summen_GL!I$119</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Summen_GL!J$119</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Summen_GL!K$119</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Summen_GL!L$119</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Summen_GL!M$119</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Summen_GL!N$119</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Summen_GL!O$119</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Summen_GL!P$119</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Summen_GL!Q$119</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21.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21.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21.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21.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21.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JG483ridDYw/OEjkj1alP9oStPmYPZg9CvpHtF3Gx6DzyUl7bU2CTdXUDVX88zCNX1Huzrf4BJ8p1VSkDqlcCQ==" saltValue="TXkh+MOnSMsc3thOm7Cjsg=="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819" priority="50" stopIfTrue="1">
      <formula>#REF!="nein"</formula>
    </cfRule>
  </conditionalFormatting>
  <conditionalFormatting sqref="B39">
    <cfRule type="expression" dxfId="818" priority="49">
      <formula>#REF!="nein"</formula>
    </cfRule>
  </conditionalFormatting>
  <conditionalFormatting sqref="B41">
    <cfRule type="expression" dxfId="817" priority="48">
      <formula>$B$13=" "</formula>
    </cfRule>
  </conditionalFormatting>
  <conditionalFormatting sqref="A12:S12 A13:R15">
    <cfRule type="expression" dxfId="816" priority="45">
      <formula>IF($G$8="NEIN",1,0)</formula>
    </cfRule>
  </conditionalFormatting>
  <conditionalFormatting sqref="I8:K8">
    <cfRule type="expression" dxfId="815" priority="44">
      <formula>IF($G$8="NEIN",1,0)</formula>
    </cfRule>
  </conditionalFormatting>
  <conditionalFormatting sqref="B15">
    <cfRule type="expression" dxfId="814" priority="51">
      <formula>($B$13+B14)&lt;$H$2</formula>
    </cfRule>
  </conditionalFormatting>
  <conditionalFormatting sqref="C10">
    <cfRule type="expression" dxfId="813" priority="43">
      <formula>IF($G$8="JA",1,0)</formula>
    </cfRule>
  </conditionalFormatting>
  <conditionalFormatting sqref="A14 A15:R15">
    <cfRule type="expression" dxfId="812" priority="39">
      <formula>IF($K$8="",1,0)</formula>
    </cfRule>
    <cfRule type="expression" dxfId="811" priority="42">
      <formula>IF($K$8="NEIN",1,0)</formula>
    </cfRule>
  </conditionalFormatting>
  <conditionalFormatting sqref="B14:R14">
    <cfRule type="expression" dxfId="810" priority="38">
      <formula>IF($K$8="",1,0)</formula>
    </cfRule>
    <cfRule type="expression" dxfId="809" priority="41">
      <formula>IF($K$8="NEIN",1,0)</formula>
    </cfRule>
  </conditionalFormatting>
  <conditionalFormatting sqref="A10:S12 A13:R15">
    <cfRule type="expression" dxfId="808" priority="40">
      <formula>IF($G$8="",1,0)</formula>
    </cfRule>
  </conditionalFormatting>
  <conditionalFormatting sqref="B13:R13">
    <cfRule type="expression" dxfId="807" priority="37">
      <formula>IF($K$8="JA",1,0)</formula>
    </cfRule>
  </conditionalFormatting>
  <conditionalFormatting sqref="B14">
    <cfRule type="expression" dxfId="806" priority="35">
      <formula>IF($K$8="",1,0)</formula>
    </cfRule>
    <cfRule type="expression" dxfId="805" priority="36">
      <formula>IF($K$8="NEIN",1,0)</formula>
    </cfRule>
  </conditionalFormatting>
  <conditionalFormatting sqref="S14">
    <cfRule type="expression" dxfId="804" priority="29" stopIfTrue="1">
      <formula>#REF!="nein"</formula>
    </cfRule>
  </conditionalFormatting>
  <conditionalFormatting sqref="S15">
    <cfRule type="expression" dxfId="803" priority="28" stopIfTrue="1">
      <formula>#REF!="nein"</formula>
    </cfRule>
  </conditionalFormatting>
  <conditionalFormatting sqref="S13:S15">
    <cfRule type="expression" dxfId="802" priority="27">
      <formula>IF($G$8="NEIN",1,0)</formula>
    </cfRule>
  </conditionalFormatting>
  <conditionalFormatting sqref="S15">
    <cfRule type="expression" dxfId="801" priority="23">
      <formula>IF($K$8="",1,0)</formula>
    </cfRule>
    <cfRule type="expression" dxfId="800" priority="26">
      <formula>IF($K$8="NEIN",1,0)</formula>
    </cfRule>
  </conditionalFormatting>
  <conditionalFormatting sqref="S14">
    <cfRule type="expression" dxfId="799" priority="22">
      <formula>IF($K$8="",1,0)</formula>
    </cfRule>
    <cfRule type="expression" dxfId="798" priority="25">
      <formula>IF($K$8="NEIN",1,0)</formula>
    </cfRule>
  </conditionalFormatting>
  <conditionalFormatting sqref="S13:S15">
    <cfRule type="expression" dxfId="797" priority="24">
      <formula>IF($G$8="",1,0)</formula>
    </cfRule>
  </conditionalFormatting>
  <conditionalFormatting sqref="S13">
    <cfRule type="expression" dxfId="796" priority="21">
      <formula>IF($K$8="JA",1,0)</formula>
    </cfRule>
  </conditionalFormatting>
  <conditionalFormatting sqref="S14">
    <cfRule type="expression" dxfId="795" priority="19">
      <formula>IF($K$8="JA",1,0)</formula>
    </cfRule>
  </conditionalFormatting>
  <conditionalFormatting sqref="S15">
    <cfRule type="expression" dxfId="794" priority="17">
      <formula>IF($K$8="JA",1,0)</formula>
    </cfRule>
  </conditionalFormatting>
  <conditionalFormatting sqref="U13:W13">
    <cfRule type="expression" dxfId="793" priority="13">
      <formula>IF($G$8="NEIN",1,0)</formula>
    </cfRule>
    <cfRule type="expression" dxfId="792" priority="14">
      <formula>IF($G$8="",1,0)</formula>
    </cfRule>
    <cfRule type="expression" dxfId="791" priority="15">
      <formula>IF($K$8="JA",1,0)</formula>
    </cfRule>
  </conditionalFormatting>
  <conditionalFormatting sqref="U11:W13">
    <cfRule type="expression" dxfId="790" priority="12">
      <formula>IF($G$8="",1,0)</formula>
    </cfRule>
  </conditionalFormatting>
  <conditionalFormatting sqref="U11:W13">
    <cfRule type="expression" dxfId="789" priority="11">
      <formula>IF($G$8="NEIN",1,0)</formula>
    </cfRule>
  </conditionalFormatting>
  <conditionalFormatting sqref="U14:W15">
    <cfRule type="expression" dxfId="788" priority="2">
      <formula>IF($G$8="NEIN",1,0)</formula>
    </cfRule>
    <cfRule type="expression" dxfId="787" priority="3">
      <formula>IF($K$8="NEIN",1,0)</formula>
    </cfRule>
    <cfRule type="expression" dxfId="786" priority="4">
      <formula>IF($G$8="",1,0)</formula>
    </cfRule>
    <cfRule type="expression" dxfId="785" priority="5">
      <formula>IF($K$8="",1,0)</formula>
    </cfRule>
  </conditionalFormatting>
  <conditionalFormatting sqref="U14:W15">
    <cfRule type="expression" dxfId="784"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10!F13" display="◄"/>
    <hyperlink ref="R1:S1" location="S_12!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499B6A90-723E-45B4-B799-4D60397B8115}">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0" id="{A96F3FD5-A525-4114-9F22-9A6C0A72C3D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18" id="{78C41F6E-3FAC-4170-80BD-5DE96D6E40B5}">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16" id="{3B7DE98C-D0B8-4F51-BAEC-E746807B3944}">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5703125" style="10" hidden="1" customWidth="1"/>
    <col min="22" max="22" width="12" style="10" hidden="1" customWidth="1"/>
    <col min="23" max="23" width="17.42578125" style="10" hidden="1" customWidth="1"/>
    <col min="24" max="24" width="13.5703125" style="10" customWidth="1"/>
    <col min="25" max="26" width="17.855468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1372</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Grünland!C16</f>
        <v>-</v>
      </c>
      <c r="D2" s="2626"/>
      <c r="E2" s="2627"/>
      <c r="F2" s="818"/>
      <c r="G2" s="1800" t="s">
        <v>1002</v>
      </c>
      <c r="H2" s="2635">
        <f>Grünland!D16</f>
        <v>0</v>
      </c>
      <c r="I2" s="2636"/>
      <c r="J2" s="818"/>
      <c r="K2" s="1801" t="s">
        <v>863</v>
      </c>
      <c r="L2" s="1800" t="s">
        <v>679</v>
      </c>
      <c r="M2" s="1040">
        <f>Grünland!H16</f>
        <v>0</v>
      </c>
      <c r="N2" s="2616" t="s">
        <v>1049</v>
      </c>
      <c r="O2" s="2617"/>
      <c r="P2" s="2653">
        <f>Grünland!J16</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Grünland!G16</f>
        <v>0</v>
      </c>
      <c r="F3" s="818"/>
      <c r="G3" s="1044" t="s">
        <v>1048</v>
      </c>
      <c r="H3" s="2633">
        <f>Grünland!E16</f>
        <v>0</v>
      </c>
      <c r="I3" s="2634"/>
      <c r="J3" s="818"/>
      <c r="K3" s="818"/>
      <c r="L3" s="1050" t="s">
        <v>1050</v>
      </c>
      <c r="M3" s="2618">
        <f>Grünland!F16</f>
        <v>0</v>
      </c>
      <c r="N3" s="2619"/>
      <c r="O3" s="2619"/>
      <c r="P3" s="2619"/>
      <c r="Q3" s="2620"/>
      <c r="R3" s="1859">
        <f>Grünland!AH16</f>
        <v>0</v>
      </c>
      <c r="S3" s="1859">
        <f>Grünland!AI16</f>
        <v>0</v>
      </c>
      <c r="T3" s="1859"/>
      <c r="U3" s="819"/>
      <c r="V3" s="819"/>
      <c r="W3" s="819"/>
      <c r="X3" s="819"/>
      <c r="Y3" s="819"/>
      <c r="Z3" s="819"/>
      <c r="AA3" s="835"/>
      <c r="AB3" s="1852"/>
      <c r="AC3" s="1852"/>
      <c r="AE3" s="1860">
        <f>Grünland!AP16</f>
        <v>0</v>
      </c>
      <c r="AF3" s="1861">
        <f>Grünland!AQ16</f>
        <v>0</v>
      </c>
      <c r="AG3" s="1862">
        <f>(Grünland!AR16+Grünland!AS16)</f>
        <v>0</v>
      </c>
      <c r="AH3" s="1863">
        <f>Grünland!AT16</f>
        <v>0</v>
      </c>
      <c r="AI3" s="1860">
        <f>Grünland!AU16</f>
        <v>0</v>
      </c>
      <c r="AJ3" s="1860">
        <f>Grünland!AV16</f>
        <v>0</v>
      </c>
      <c r="AK3" s="1860">
        <f>Grünland!AW16</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Grünland!R16</f>
        <v>0</v>
      </c>
      <c r="F6" s="997">
        <f>Grünland!S16</f>
        <v>0</v>
      </c>
      <c r="G6" s="996">
        <f>Grünland!T16</f>
        <v>0</v>
      </c>
      <c r="H6" s="997">
        <f>Grünland!U16</f>
        <v>0</v>
      </c>
      <c r="I6" s="996">
        <f>Grünland!V16</f>
        <v>0</v>
      </c>
      <c r="J6" s="997">
        <f>Grünland!W16</f>
        <v>0</v>
      </c>
      <c r="K6" s="996">
        <f>Grünland!X16</f>
        <v>0</v>
      </c>
      <c r="L6" s="997">
        <f>Grünland!Y16</f>
        <v>0</v>
      </c>
      <c r="M6" s="996">
        <f>Grünland!Z16</f>
        <v>0</v>
      </c>
      <c r="N6" s="997">
        <f>Grünland!AA16</f>
        <v>0</v>
      </c>
      <c r="O6" s="996">
        <f>Grünland!AB16</f>
        <v>0</v>
      </c>
      <c r="P6" s="997">
        <f>Grünland!AC16</f>
        <v>0</v>
      </c>
      <c r="Q6" s="818"/>
      <c r="R6" s="827">
        <f>Grünland!L16</f>
        <v>0</v>
      </c>
      <c r="S6" s="1111">
        <f>Grünland!M16</f>
        <v>0</v>
      </c>
      <c r="T6" s="819"/>
      <c r="U6" s="2637">
        <f>Grünland!AL16</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reduzieren",C13="unverändert"),Grünland!$H$16,S_12!AB13)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Grünland!AH$16</f>
        <v>0</v>
      </c>
      <c r="CO13" s="1882">
        <f>Grünland!AI$16</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reduzieren",C14="unverändert"),Grünland!$H$16,S_12!AB14)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Grünland!AH$16</f>
        <v>0</v>
      </c>
      <c r="CO14" s="1882">
        <f>Grünland!AI$16</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reduzieren",C15="unverändert"),Grünland!$H$16,S_12!AB15)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Grünland!AH$16</f>
        <v>0</v>
      </c>
      <c r="CO15" s="1882">
        <f>Grünland!AI$16</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Summen_GL!F$120</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Summen_GL!G$120</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Summen_GL!H$120</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Summen_GL!I$120</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Summen_GL!J$120</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Summen_GL!K$120</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Summen_GL!L$120</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Summen_GL!M$120</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Summen_GL!N$120</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Summen_GL!O$120</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Summen_GL!P$120</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Summen_GL!Q$120</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21.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21.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21.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21.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21.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LYWfxSPvu/Ei+y9KmZuTufSPT0ELT0hQby3Z27nIv9s2gGGtyafFZvV3yvptaRvGmHNiRqTIL9AV48oFuxpwFw==" saltValue="Te8vp02pmJX67y2CA2Vueg=="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783" priority="55" stopIfTrue="1">
      <formula>#REF!="nein"</formula>
    </cfRule>
  </conditionalFormatting>
  <conditionalFormatting sqref="B39">
    <cfRule type="expression" dxfId="782" priority="54">
      <formula>#REF!="nein"</formula>
    </cfRule>
  </conditionalFormatting>
  <conditionalFormatting sqref="B41">
    <cfRule type="expression" dxfId="781" priority="53">
      <formula>$B$13=" "</formula>
    </cfRule>
  </conditionalFormatting>
  <conditionalFormatting sqref="A12:S12 A13:R15">
    <cfRule type="expression" dxfId="780" priority="50">
      <formula>IF($G$8="NEIN",1,0)</formula>
    </cfRule>
  </conditionalFormatting>
  <conditionalFormatting sqref="I8:K8">
    <cfRule type="expression" dxfId="779" priority="49">
      <formula>IF($G$8="NEIN",1,0)</formula>
    </cfRule>
  </conditionalFormatting>
  <conditionalFormatting sqref="B15">
    <cfRule type="expression" dxfId="778" priority="56">
      <formula>($B$13+B14)&lt;$H$2</formula>
    </cfRule>
  </conditionalFormatting>
  <conditionalFormatting sqref="C10">
    <cfRule type="expression" dxfId="777" priority="48">
      <formula>IF($G$8="JA",1,0)</formula>
    </cfRule>
  </conditionalFormatting>
  <conditionalFormatting sqref="A14 A15:R15">
    <cfRule type="expression" dxfId="776" priority="44">
      <formula>IF($K$8="",1,0)</formula>
    </cfRule>
    <cfRule type="expression" dxfId="775" priority="47">
      <formula>IF($K$8="NEIN",1,0)</formula>
    </cfRule>
  </conditionalFormatting>
  <conditionalFormatting sqref="B14:R14">
    <cfRule type="expression" dxfId="774" priority="43">
      <formula>IF($K$8="",1,0)</formula>
    </cfRule>
    <cfRule type="expression" dxfId="773" priority="46">
      <formula>IF($K$8="NEIN",1,0)</formula>
    </cfRule>
  </conditionalFormatting>
  <conditionalFormatting sqref="A10:S12 A13:R15">
    <cfRule type="expression" dxfId="772" priority="45">
      <formula>IF($G$8="",1,0)</formula>
    </cfRule>
  </conditionalFormatting>
  <conditionalFormatting sqref="B13:R13">
    <cfRule type="expression" dxfId="771" priority="42">
      <formula>IF($K$8="JA",1,0)</formula>
    </cfRule>
  </conditionalFormatting>
  <conditionalFormatting sqref="B14">
    <cfRule type="expression" dxfId="770" priority="40">
      <formula>IF($K$8="",1,0)</formula>
    </cfRule>
    <cfRule type="expression" dxfId="769" priority="41">
      <formula>IF($K$8="NEIN",1,0)</formula>
    </cfRule>
  </conditionalFormatting>
  <conditionalFormatting sqref="S14">
    <cfRule type="expression" dxfId="768" priority="34" stopIfTrue="1">
      <formula>#REF!="nein"</formula>
    </cfRule>
  </conditionalFormatting>
  <conditionalFormatting sqref="S15">
    <cfRule type="expression" dxfId="767" priority="33" stopIfTrue="1">
      <formula>#REF!="nein"</formula>
    </cfRule>
  </conditionalFormatting>
  <conditionalFormatting sqref="S13:S15">
    <cfRule type="expression" dxfId="766" priority="32">
      <formula>IF($G$8="NEIN",1,0)</formula>
    </cfRule>
  </conditionalFormatting>
  <conditionalFormatting sqref="S15">
    <cfRule type="expression" dxfId="765" priority="28">
      <formula>IF($K$8="",1,0)</formula>
    </cfRule>
    <cfRule type="expression" dxfId="764" priority="31">
      <formula>IF($K$8="NEIN",1,0)</formula>
    </cfRule>
  </conditionalFormatting>
  <conditionalFormatting sqref="S14">
    <cfRule type="expression" dxfId="763" priority="27">
      <formula>IF($K$8="",1,0)</formula>
    </cfRule>
    <cfRule type="expression" dxfId="762" priority="30">
      <formula>IF($K$8="NEIN",1,0)</formula>
    </cfRule>
  </conditionalFormatting>
  <conditionalFormatting sqref="S13:S15">
    <cfRule type="expression" dxfId="761" priority="29">
      <formula>IF($G$8="",1,0)</formula>
    </cfRule>
  </conditionalFormatting>
  <conditionalFormatting sqref="S13">
    <cfRule type="expression" dxfId="760" priority="26">
      <formula>IF($K$8="JA",1,0)</formula>
    </cfRule>
  </conditionalFormatting>
  <conditionalFormatting sqref="S14">
    <cfRule type="expression" dxfId="759" priority="24">
      <formula>IF($K$8="JA",1,0)</formula>
    </cfRule>
  </conditionalFormatting>
  <conditionalFormatting sqref="S15">
    <cfRule type="expression" dxfId="758" priority="22">
      <formula>IF($K$8="JA",1,0)</formula>
    </cfRule>
  </conditionalFormatting>
  <conditionalFormatting sqref="U13:W13">
    <cfRule type="expression" dxfId="757" priority="18">
      <formula>IF($G$8="NEIN",1,0)</formula>
    </cfRule>
    <cfRule type="expression" dxfId="756" priority="19">
      <formula>IF($G$8="",1,0)</formula>
    </cfRule>
    <cfRule type="expression" dxfId="755" priority="20">
      <formula>IF($K$8="JA",1,0)</formula>
    </cfRule>
  </conditionalFormatting>
  <conditionalFormatting sqref="U11:W13">
    <cfRule type="expression" dxfId="754" priority="17">
      <formula>IF($G$8="",1,0)</formula>
    </cfRule>
  </conditionalFormatting>
  <conditionalFormatting sqref="U11:W13">
    <cfRule type="expression" dxfId="753" priority="16">
      <formula>IF($G$8="NEIN",1,0)</formula>
    </cfRule>
  </conditionalFormatting>
  <conditionalFormatting sqref="U14:V15">
    <cfRule type="expression" dxfId="752" priority="7">
      <formula>IF($G$8="NEIN",1,0)</formula>
    </cfRule>
    <cfRule type="expression" dxfId="751" priority="8">
      <formula>IF($K$8="NEIN",1,0)</formula>
    </cfRule>
    <cfRule type="expression" dxfId="750" priority="9">
      <formula>IF($G$8="",1,0)</formula>
    </cfRule>
    <cfRule type="expression" dxfId="749" priority="10">
      <formula>IF($K$8="",1,0)</formula>
    </cfRule>
  </conditionalFormatting>
  <conditionalFormatting sqref="U14:V15">
    <cfRule type="expression" dxfId="748" priority="6">
      <formula>IF($G$8="",1,0)</formula>
    </cfRule>
  </conditionalFormatting>
  <conditionalFormatting sqref="W14:W15">
    <cfRule type="expression" dxfId="747" priority="2">
      <formula>IF($G$8="NEIN",1,0)</formula>
    </cfRule>
    <cfRule type="expression" dxfId="746" priority="3">
      <formula>IF($K$8="NEIN",1,0)</formula>
    </cfRule>
    <cfRule type="expression" dxfId="745" priority="4">
      <formula>IF($G$8="",1,0)</formula>
    </cfRule>
    <cfRule type="expression" dxfId="744" priority="5">
      <formula>IF($K$8="",1,0)</formula>
    </cfRule>
  </conditionalFormatting>
  <conditionalFormatting sqref="W14:W15">
    <cfRule type="expression" dxfId="743"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11!F13" display="◄"/>
    <hyperlink ref="R1:S1" location="S_13!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C46430C6-973E-41DF-8B0D-3D05328DD72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65065D40-073C-4C03-A4D0-34AB79A5C6CC}">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9848B36D-532E-4140-B061-0940F829E3D1}">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4BBAB5F6-EE14-4EEB-9E22-05E5FDAC129D}">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W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5703125" style="10" hidden="1" customWidth="1"/>
    <col min="22" max="22" width="11.7109375"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7" width="12.7109375" style="10" hidden="1" customWidth="1"/>
    <col min="258" max="16384" width="12.7109375" style="10"/>
  </cols>
  <sheetData>
    <row r="1" spans="1:256" s="760" customFormat="1" ht="25.5" customHeight="1" thickBot="1">
      <c r="A1" s="1805" t="s">
        <v>1373</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Grünland!C17</f>
        <v>-</v>
      </c>
      <c r="D2" s="2626"/>
      <c r="E2" s="2627"/>
      <c r="F2" s="818"/>
      <c r="G2" s="1800" t="s">
        <v>1002</v>
      </c>
      <c r="H2" s="2635">
        <f>Grünland!D17</f>
        <v>0</v>
      </c>
      <c r="I2" s="2636"/>
      <c r="J2" s="818"/>
      <c r="K2" s="1801" t="s">
        <v>863</v>
      </c>
      <c r="L2" s="1800" t="s">
        <v>679</v>
      </c>
      <c r="M2" s="1040">
        <f>Grünland!H17</f>
        <v>0</v>
      </c>
      <c r="N2" s="2616" t="s">
        <v>1049</v>
      </c>
      <c r="O2" s="2617"/>
      <c r="P2" s="2653">
        <f>Grünland!J17</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Grünland!G17</f>
        <v>0</v>
      </c>
      <c r="F3" s="818"/>
      <c r="G3" s="1044" t="s">
        <v>1048</v>
      </c>
      <c r="H3" s="2633">
        <f>Grünland!E17</f>
        <v>0</v>
      </c>
      <c r="I3" s="2634"/>
      <c r="J3" s="818"/>
      <c r="K3" s="818"/>
      <c r="L3" s="1050" t="s">
        <v>1050</v>
      </c>
      <c r="M3" s="2618">
        <f>Grünland!F17</f>
        <v>0</v>
      </c>
      <c r="N3" s="2619"/>
      <c r="O3" s="2619"/>
      <c r="P3" s="2619"/>
      <c r="Q3" s="2620"/>
      <c r="R3" s="1859">
        <f>Grünland!AH17</f>
        <v>0</v>
      </c>
      <c r="S3" s="1859">
        <f>Grünland!AI17</f>
        <v>0</v>
      </c>
      <c r="T3" s="1859"/>
      <c r="U3" s="819"/>
      <c r="V3" s="819"/>
      <c r="W3" s="819"/>
      <c r="X3" s="819"/>
      <c r="Y3" s="819"/>
      <c r="Z3" s="819"/>
      <c r="AA3" s="835"/>
      <c r="AB3" s="1852"/>
      <c r="AC3" s="1852"/>
      <c r="AE3" s="1860">
        <f>Grünland!AP17</f>
        <v>0</v>
      </c>
      <c r="AF3" s="1861">
        <f>Grünland!AQ17</f>
        <v>0</v>
      </c>
      <c r="AG3" s="1862">
        <f>(Grünland!AR17+Grünland!AS17)</f>
        <v>0</v>
      </c>
      <c r="AH3" s="1863">
        <f>Grünland!AT17</f>
        <v>0</v>
      </c>
      <c r="AI3" s="1860">
        <f>Grünland!AU17</f>
        <v>0</v>
      </c>
      <c r="AJ3" s="1860">
        <f>Grünland!AV17</f>
        <v>0</v>
      </c>
      <c r="AK3" s="1860">
        <f>Grünland!AW17</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Grünland!R17</f>
        <v>0</v>
      </c>
      <c r="F6" s="997">
        <f>Grünland!S17</f>
        <v>0</v>
      </c>
      <c r="G6" s="996">
        <f>Grünland!T17</f>
        <v>0</v>
      </c>
      <c r="H6" s="997">
        <f>Grünland!U17</f>
        <v>0</v>
      </c>
      <c r="I6" s="996">
        <f>Grünland!V17</f>
        <v>0</v>
      </c>
      <c r="J6" s="997">
        <f>Grünland!W17</f>
        <v>0</v>
      </c>
      <c r="K6" s="996">
        <f>Grünland!X17</f>
        <v>0</v>
      </c>
      <c r="L6" s="997">
        <f>Grünland!Y17</f>
        <v>0</v>
      </c>
      <c r="M6" s="996">
        <f>Grünland!Z17</f>
        <v>0</v>
      </c>
      <c r="N6" s="997">
        <f>Grünland!AA17</f>
        <v>0</v>
      </c>
      <c r="O6" s="996">
        <f>Grünland!AB17</f>
        <v>0</v>
      </c>
      <c r="P6" s="997">
        <f>Grünland!AC17</f>
        <v>0</v>
      </c>
      <c r="Q6" s="818"/>
      <c r="R6" s="827">
        <f>Grünland!L17</f>
        <v>0</v>
      </c>
      <c r="S6" s="1111">
        <f>Grünland!M17</f>
        <v>0</v>
      </c>
      <c r="T6" s="819"/>
      <c r="U6" s="2637">
        <f>Grünland!AL17</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reduzieren",C13="unverändert"),Grünland!$H$17,S_13!AB13)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Grünland!AH$17</f>
        <v>0</v>
      </c>
      <c r="CO13" s="1882">
        <f>Grünland!AI$17</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reduzieren",C14="unverändert"),Grünland!$H$17,S_13!AB14)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Grünland!AH$17</f>
        <v>0</v>
      </c>
      <c r="CO14" s="1882">
        <f>Grünland!AI$17</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reduzieren",C15="unverändert"),Grünland!$H$17,S_13!AB15)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Grünland!AH$17</f>
        <v>0</v>
      </c>
      <c r="CO15" s="1882">
        <f>Grünland!AI$17</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Summen_GL!F$121</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Summen_GL!G$121</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Summen_GL!H$121</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Summen_GL!I$121</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Summen_GL!J$121</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Summen_GL!K$121</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Summen_GL!L$121</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Summen_GL!M$121</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Summen_GL!N$121</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Summen_GL!O$121</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Summen_GL!P$121</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Summen_GL!Q$121</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21.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21.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21.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21.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21.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HprfXFlyod4O/6uLV8UR4ptiHZ4ASSnRkvn6ay1bXoCn+OF2YztXdFA7L7uD0JWOsXeoisNPF1xU/MH1XUMpyg==" saltValue="Z5maGGMixZTSrU0AQNDbS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742" priority="55" stopIfTrue="1">
      <formula>#REF!="nein"</formula>
    </cfRule>
  </conditionalFormatting>
  <conditionalFormatting sqref="B39">
    <cfRule type="expression" dxfId="741" priority="54">
      <formula>#REF!="nein"</formula>
    </cfRule>
  </conditionalFormatting>
  <conditionalFormatting sqref="B41">
    <cfRule type="expression" dxfId="740" priority="53">
      <formula>$B$13=" "</formula>
    </cfRule>
  </conditionalFormatting>
  <conditionalFormatting sqref="A12:S12 A13:R15">
    <cfRule type="expression" dxfId="739" priority="50">
      <formula>IF($G$8="NEIN",1,0)</formula>
    </cfRule>
  </conditionalFormatting>
  <conditionalFormatting sqref="I8:K8">
    <cfRule type="expression" dxfId="738" priority="49">
      <formula>IF($G$8="NEIN",1,0)</formula>
    </cfRule>
  </conditionalFormatting>
  <conditionalFormatting sqref="B15">
    <cfRule type="expression" dxfId="737" priority="56">
      <formula>($B$13+B14)&lt;$H$2</formula>
    </cfRule>
  </conditionalFormatting>
  <conditionalFormatting sqref="C10">
    <cfRule type="expression" dxfId="736" priority="48">
      <formula>IF($G$8="JA",1,0)</formula>
    </cfRule>
  </conditionalFormatting>
  <conditionalFormatting sqref="A14 A15:R15">
    <cfRule type="expression" dxfId="735" priority="44">
      <formula>IF($K$8="",1,0)</formula>
    </cfRule>
    <cfRule type="expression" dxfId="734" priority="47">
      <formula>IF($K$8="NEIN",1,0)</formula>
    </cfRule>
  </conditionalFormatting>
  <conditionalFormatting sqref="B14:R14">
    <cfRule type="expression" dxfId="733" priority="43">
      <formula>IF($K$8="",1,0)</formula>
    </cfRule>
    <cfRule type="expression" dxfId="732" priority="46">
      <formula>IF($K$8="NEIN",1,0)</formula>
    </cfRule>
  </conditionalFormatting>
  <conditionalFormatting sqref="A10:S12 A13:R15">
    <cfRule type="expression" dxfId="731" priority="45">
      <formula>IF($G$8="",1,0)</formula>
    </cfRule>
  </conditionalFormatting>
  <conditionalFormatting sqref="B13:R13">
    <cfRule type="expression" dxfId="730" priority="42">
      <formula>IF($K$8="JA",1,0)</formula>
    </cfRule>
  </conditionalFormatting>
  <conditionalFormatting sqref="B14">
    <cfRule type="expression" dxfId="729" priority="40">
      <formula>IF($K$8="",1,0)</formula>
    </cfRule>
    <cfRule type="expression" dxfId="728" priority="41">
      <formula>IF($K$8="NEIN",1,0)</formula>
    </cfRule>
  </conditionalFormatting>
  <conditionalFormatting sqref="S14">
    <cfRule type="expression" dxfId="727" priority="34" stopIfTrue="1">
      <formula>#REF!="nein"</formula>
    </cfRule>
  </conditionalFormatting>
  <conditionalFormatting sqref="S15">
    <cfRule type="expression" dxfId="726" priority="33" stopIfTrue="1">
      <formula>#REF!="nein"</formula>
    </cfRule>
  </conditionalFormatting>
  <conditionalFormatting sqref="S13:S15">
    <cfRule type="expression" dxfId="725" priority="32">
      <formula>IF($G$8="NEIN",1,0)</formula>
    </cfRule>
  </conditionalFormatting>
  <conditionalFormatting sqref="S15">
    <cfRule type="expression" dxfId="724" priority="28">
      <formula>IF($K$8="",1,0)</formula>
    </cfRule>
    <cfRule type="expression" dxfId="723" priority="31">
      <formula>IF($K$8="NEIN",1,0)</formula>
    </cfRule>
  </conditionalFormatting>
  <conditionalFormatting sqref="S14">
    <cfRule type="expression" dxfId="722" priority="27">
      <formula>IF($K$8="",1,0)</formula>
    </cfRule>
    <cfRule type="expression" dxfId="721" priority="30">
      <formula>IF($K$8="NEIN",1,0)</formula>
    </cfRule>
  </conditionalFormatting>
  <conditionalFormatting sqref="S13:S15">
    <cfRule type="expression" dxfId="720" priority="29">
      <formula>IF($G$8="",1,0)</formula>
    </cfRule>
  </conditionalFormatting>
  <conditionalFormatting sqref="S13">
    <cfRule type="expression" dxfId="719" priority="26">
      <formula>IF($K$8="JA",1,0)</formula>
    </cfRule>
  </conditionalFormatting>
  <conditionalFormatting sqref="S14">
    <cfRule type="expression" dxfId="718" priority="24">
      <formula>IF($K$8="JA",1,0)</formula>
    </cfRule>
  </conditionalFormatting>
  <conditionalFormatting sqref="S15">
    <cfRule type="expression" dxfId="717" priority="22">
      <formula>IF($K$8="JA",1,0)</formula>
    </cfRule>
  </conditionalFormatting>
  <conditionalFormatting sqref="U13:W13">
    <cfRule type="expression" dxfId="716" priority="18">
      <formula>IF($G$8="NEIN",1,0)</formula>
    </cfRule>
    <cfRule type="expression" dxfId="715" priority="19">
      <formula>IF($G$8="",1,0)</formula>
    </cfRule>
    <cfRule type="expression" dxfId="714" priority="20">
      <formula>IF($K$8="JA",1,0)</formula>
    </cfRule>
  </conditionalFormatting>
  <conditionalFormatting sqref="U11:W13">
    <cfRule type="expression" dxfId="713" priority="17">
      <formula>IF($G$8="",1,0)</formula>
    </cfRule>
  </conditionalFormatting>
  <conditionalFormatting sqref="U11:W13">
    <cfRule type="expression" dxfId="712" priority="16">
      <formula>IF($G$8="NEIN",1,0)</formula>
    </cfRule>
  </conditionalFormatting>
  <conditionalFormatting sqref="U14:V15">
    <cfRule type="expression" dxfId="711" priority="7">
      <formula>IF($G$8="NEIN",1,0)</formula>
    </cfRule>
    <cfRule type="expression" dxfId="710" priority="8">
      <formula>IF($K$8="NEIN",1,0)</formula>
    </cfRule>
    <cfRule type="expression" dxfId="709" priority="9">
      <formula>IF($G$8="",1,0)</formula>
    </cfRule>
    <cfRule type="expression" dxfId="708" priority="10">
      <formula>IF($K$8="",1,0)</formula>
    </cfRule>
  </conditionalFormatting>
  <conditionalFormatting sqref="U14:V15">
    <cfRule type="expression" dxfId="707" priority="6">
      <formula>IF($G$8="",1,0)</formula>
    </cfRule>
  </conditionalFormatting>
  <conditionalFormatting sqref="W14:W15">
    <cfRule type="expression" dxfId="706" priority="2">
      <formula>IF($G$8="NEIN",1,0)</formula>
    </cfRule>
    <cfRule type="expression" dxfId="705" priority="3">
      <formula>IF($K$8="NEIN",1,0)</formula>
    </cfRule>
    <cfRule type="expression" dxfId="704" priority="4">
      <formula>IF($G$8="",1,0)</formula>
    </cfRule>
    <cfRule type="expression" dxfId="703" priority="5">
      <formula>IF($K$8="",1,0)</formula>
    </cfRule>
  </conditionalFormatting>
  <conditionalFormatting sqref="W14:W15">
    <cfRule type="expression" dxfId="702"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12!F13" display="◄"/>
    <hyperlink ref="R1:S1" location="S_14!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805F41B8-A2AF-4A02-9EF6-E4207524DB54}">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F7B757A6-BEEE-46D2-B5C0-1E313196EF1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45F989CD-F690-4AA0-9C27-9B0E08D3411D}">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DA37041D-AFBF-4E4F-852C-BBBF8DC699AB}">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W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7109375" style="10" customWidth="1"/>
    <col min="18" max="18" width="8.85546875" style="10" customWidth="1"/>
    <col min="19" max="19" width="7.85546875" style="10" customWidth="1"/>
    <col min="20" max="20" width="3.85546875" style="10" customWidth="1"/>
    <col min="21" max="21" width="6.5703125" style="10" hidden="1" customWidth="1"/>
    <col min="22" max="22" width="11.85546875"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7" width="12.7109375" style="10" hidden="1" customWidth="1"/>
    <col min="258" max="16384" width="12.7109375" style="10"/>
  </cols>
  <sheetData>
    <row r="1" spans="1:256" s="760" customFormat="1" ht="26.25" customHeight="1" thickBot="1">
      <c r="A1" s="1805" t="s">
        <v>1374</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1854"/>
      <c r="BL1" s="1854"/>
      <c r="BM1" s="1854"/>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Grünland!C18</f>
        <v>-</v>
      </c>
      <c r="D2" s="2666"/>
      <c r="E2" s="2664"/>
      <c r="F2" s="818"/>
      <c r="G2" s="1800" t="s">
        <v>1002</v>
      </c>
      <c r="H2" s="2635">
        <f>Grünland!D18</f>
        <v>0</v>
      </c>
      <c r="I2" s="2636"/>
      <c r="J2" s="818"/>
      <c r="K2" s="1801" t="s">
        <v>863</v>
      </c>
      <c r="L2" s="1800" t="s">
        <v>679</v>
      </c>
      <c r="M2" s="1040">
        <f>Grünland!H18</f>
        <v>0</v>
      </c>
      <c r="N2" s="2616" t="s">
        <v>1049</v>
      </c>
      <c r="O2" s="2617"/>
      <c r="P2" s="2653">
        <f>Grünland!J18</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1854"/>
      <c r="BL2" s="1854"/>
      <c r="BM2" s="1854"/>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Grünland!G18</f>
        <v>0</v>
      </c>
      <c r="F3" s="818"/>
      <c r="G3" s="1044" t="s">
        <v>1048</v>
      </c>
      <c r="H3" s="2633">
        <f>Grünland!E18</f>
        <v>0</v>
      </c>
      <c r="I3" s="2634"/>
      <c r="J3" s="818"/>
      <c r="K3" s="818"/>
      <c r="L3" s="1050" t="s">
        <v>1050</v>
      </c>
      <c r="M3" s="2618">
        <f>Grünland!F18</f>
        <v>0</v>
      </c>
      <c r="N3" s="2619"/>
      <c r="O3" s="2619"/>
      <c r="P3" s="2619"/>
      <c r="Q3" s="2620"/>
      <c r="R3" s="1859">
        <f>Grünland!AH18</f>
        <v>0</v>
      </c>
      <c r="S3" s="1859">
        <f>Grünland!AI18</f>
        <v>0</v>
      </c>
      <c r="T3" s="1859"/>
      <c r="U3" s="819"/>
      <c r="V3" s="819"/>
      <c r="W3" s="819"/>
      <c r="X3" s="819"/>
      <c r="Y3" s="819"/>
      <c r="Z3" s="819"/>
      <c r="AA3" s="835"/>
      <c r="AB3" s="1852"/>
      <c r="AC3" s="1852"/>
      <c r="AE3" s="1860">
        <f>Grünland!AP18</f>
        <v>0</v>
      </c>
      <c r="AF3" s="1861">
        <f>Grünland!AQ18</f>
        <v>0</v>
      </c>
      <c r="AG3" s="1862">
        <f>(Grünland!AR18+Grünland!AS18)</f>
        <v>0</v>
      </c>
      <c r="AH3" s="1863">
        <f>Grünland!AT18</f>
        <v>0</v>
      </c>
      <c r="AI3" s="1860">
        <f>Grünland!AU18</f>
        <v>0</v>
      </c>
      <c r="AJ3" s="1860">
        <f>Grünland!AV18</f>
        <v>0</v>
      </c>
      <c r="AK3" s="1860">
        <f>Grünland!AW18</f>
        <v>0</v>
      </c>
      <c r="AL3" s="1860">
        <v>0</v>
      </c>
      <c r="AM3" s="1860">
        <v>0</v>
      </c>
      <c r="BK3" s="1854"/>
      <c r="BL3" s="1854"/>
      <c r="BM3" s="1854"/>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1854"/>
      <c r="BL4" s="1854"/>
      <c r="BM4" s="1854"/>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BK5" s="1854"/>
      <c r="BL5" s="1854"/>
      <c r="BM5" s="1854"/>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Grünland!R18</f>
        <v>0</v>
      </c>
      <c r="F6" s="997">
        <f>Grünland!S18</f>
        <v>0</v>
      </c>
      <c r="G6" s="996">
        <f>Grünland!T18</f>
        <v>0</v>
      </c>
      <c r="H6" s="997">
        <f>Grünland!U18</f>
        <v>0</v>
      </c>
      <c r="I6" s="996">
        <f>Grünland!V18</f>
        <v>0</v>
      </c>
      <c r="J6" s="997">
        <f>Grünland!W18</f>
        <v>0</v>
      </c>
      <c r="K6" s="996">
        <f>Grünland!X18</f>
        <v>0</v>
      </c>
      <c r="L6" s="997">
        <f>Grünland!Y18</f>
        <v>0</v>
      </c>
      <c r="M6" s="996">
        <f>Grünland!Z18</f>
        <v>0</v>
      </c>
      <c r="N6" s="997">
        <f>Grünland!AA18</f>
        <v>0</v>
      </c>
      <c r="O6" s="996">
        <f>Grünland!AB18</f>
        <v>0</v>
      </c>
      <c r="P6" s="997">
        <f>Grünland!AC18</f>
        <v>0</v>
      </c>
      <c r="Q6" s="818"/>
      <c r="R6" s="827">
        <f>Grünland!L18</f>
        <v>0</v>
      </c>
      <c r="S6" s="1111">
        <f>Grünland!M18</f>
        <v>0</v>
      </c>
      <c r="T6" s="819"/>
      <c r="U6" s="2637">
        <f>Grünland!AL18</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1854"/>
      <c r="BL6" s="1854"/>
      <c r="BM6" s="1854"/>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1854"/>
      <c r="BL7" s="1854"/>
      <c r="BM7" s="1854"/>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1854"/>
      <c r="BL8" s="1854"/>
      <c r="BM8" s="1854"/>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1854"/>
      <c r="BL9" s="1854"/>
      <c r="BM9" s="1854"/>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1854"/>
      <c r="BL10" s="1854"/>
      <c r="BM10" s="1854"/>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1854"/>
      <c r="BL11" s="1854"/>
      <c r="BM11" s="1854"/>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1889"/>
      <c r="BL12" s="1889"/>
      <c r="BM12" s="188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reduzieren",C13="unverändert"),Grünland!$H$18,S_14!AB13)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1889"/>
      <c r="BL13" s="1889"/>
      <c r="BM13" s="188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Grünland!AH$18</f>
        <v>0</v>
      </c>
      <c r="CO13" s="1882">
        <f>Grünland!AI$18</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reduzieren",C14="unverändert"),Grünland!$H$18,S_14!AB14)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1889"/>
      <c r="BL14" s="1889"/>
      <c r="BM14" s="188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Grünland!AH$18</f>
        <v>0</v>
      </c>
      <c r="CO14" s="1882">
        <f>Grünland!AI$18</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reduzieren",C15="unverändert"),Grünland!$H$18,S_14!AB15)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1889"/>
      <c r="BL15" s="1889"/>
      <c r="BM15" s="188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Grünland!AH$18</f>
        <v>0</v>
      </c>
      <c r="CO15" s="1882">
        <f>Grünland!AI$18</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1889"/>
      <c r="BL16" s="1889"/>
      <c r="BM16" s="188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1889"/>
      <c r="BL17" s="1889"/>
      <c r="BM17" s="1889"/>
      <c r="BN17" s="1889"/>
      <c r="BO17" s="1889"/>
      <c r="BP17" s="1889"/>
      <c r="BQ17" s="1889"/>
      <c r="BR17" s="1889"/>
      <c r="BS17" s="1889"/>
      <c r="BT17" s="1889"/>
      <c r="BU17" s="1889"/>
      <c r="BV17" s="1889"/>
      <c r="BW17" s="1889"/>
      <c r="BX17" s="1889"/>
      <c r="BY17" s="1889"/>
      <c r="BZ17" s="1889"/>
      <c r="CA17" s="1889"/>
      <c r="CB17" s="1889"/>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1889"/>
      <c r="BL18" s="1889"/>
      <c r="BM18" s="188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1889"/>
      <c r="BL19" s="1889"/>
      <c r="BM19" s="1889"/>
      <c r="BN19" s="1889"/>
      <c r="BO19" s="1889"/>
      <c r="BP19" s="1889"/>
      <c r="BQ19" s="1889"/>
      <c r="BR19" s="1889"/>
      <c r="BS19" s="1889"/>
      <c r="BT19" s="1889"/>
      <c r="BU19" s="1889"/>
      <c r="BV19" s="1889"/>
      <c r="BW19" s="1889"/>
      <c r="BX19" s="1889"/>
      <c r="BY19" s="1889"/>
      <c r="BZ19" s="1889"/>
      <c r="CA19" s="1889"/>
      <c r="CB19" s="1889"/>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Summen_GL!F$122</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1889"/>
      <c r="BL20" s="1889"/>
      <c r="BM20" s="188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Summen_GL!G$122</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1889"/>
      <c r="BL21" s="1889"/>
      <c r="BM21" s="188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Summen_GL!H$122</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1889"/>
      <c r="BL22" s="1889"/>
      <c r="BM22" s="188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Summen_GL!I$122</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1889"/>
      <c r="BL23" s="1889"/>
      <c r="BM23" s="188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Summen_GL!J$122</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1889"/>
      <c r="BL24" s="1889"/>
      <c r="BM24" s="188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Summen_GL!K$122</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1889"/>
      <c r="BL25" s="1889"/>
      <c r="BM25" s="188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Summen_GL!L$122</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1889"/>
      <c r="BL26" s="1889"/>
      <c r="BM26" s="188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Summen_GL!M$122</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1889"/>
      <c r="BL27" s="1889"/>
      <c r="BM27" s="188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Summen_GL!N$122</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1889"/>
      <c r="BL28" s="1889"/>
      <c r="BM28" s="188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Summen_GL!O$122</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1889"/>
      <c r="BL29" s="1889"/>
      <c r="BM29" s="188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Summen_GL!P$122</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1889"/>
      <c r="BL30" s="1889"/>
      <c r="BM30" s="188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Summen_GL!Q$122</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1889"/>
      <c r="BL31" s="1889"/>
      <c r="BM31" s="188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1889"/>
      <c r="BL32" s="1889"/>
      <c r="BM32" s="188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1889"/>
      <c r="BL33" s="1889"/>
      <c r="BM33" s="1889"/>
      <c r="BN33" s="1889"/>
      <c r="BO33" s="1889"/>
      <c r="BP33" s="1889"/>
      <c r="BQ33" s="1889"/>
      <c r="BR33" s="1889"/>
      <c r="BS33" s="1889"/>
      <c r="BT33" s="1889"/>
      <c r="BU33" s="1889"/>
      <c r="BV33" s="1889"/>
      <c r="BW33" s="1889"/>
      <c r="BX33" s="1889"/>
      <c r="BY33" s="1889"/>
      <c r="BZ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1889"/>
      <c r="BL34" s="1889"/>
      <c r="BM34" s="1889"/>
      <c r="BN34" s="1889"/>
      <c r="BO34" s="1889"/>
      <c r="BP34" s="1889"/>
      <c r="BQ34" s="1889"/>
      <c r="BR34" s="1889"/>
      <c r="BS34" s="1889"/>
      <c r="BT34" s="1889"/>
      <c r="BU34" s="1889"/>
      <c r="BV34" s="1889"/>
      <c r="BW34" s="1889"/>
      <c r="BX34" s="1889"/>
      <c r="BY34" s="1889"/>
      <c r="BZ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eD+Ry5to5ogHAwoPEA8jUSE4UGzk0IWXKsw1nakp6cuQkKRgyiwDVSTeLQ9by9/DAldemasvE/HzoPfFw+aDVA==" saltValue="exgoxInNSv82YaCgxAFjH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39">
    <cfRule type="expression" dxfId="701" priority="51">
      <formula>#REF!="nein"</formula>
    </cfRule>
  </conditionalFormatting>
  <conditionalFormatting sqref="B41">
    <cfRule type="expression" dxfId="700" priority="50">
      <formula>$B$13=" "</formula>
    </cfRule>
  </conditionalFormatting>
  <conditionalFormatting sqref="B14 P14:P15">
    <cfRule type="expression" dxfId="699" priority="48" stopIfTrue="1">
      <formula>#REF!="nein"</formula>
    </cfRule>
  </conditionalFormatting>
  <conditionalFormatting sqref="A12:S12 A13:R15">
    <cfRule type="expression" dxfId="698" priority="45">
      <formula>IF($G$8="NEIN",1,0)</formula>
    </cfRule>
  </conditionalFormatting>
  <conditionalFormatting sqref="I8:K8">
    <cfRule type="expression" dxfId="697" priority="44">
      <formula>IF($G$8="NEIN",1,0)</formula>
    </cfRule>
  </conditionalFormatting>
  <conditionalFormatting sqref="B15">
    <cfRule type="expression" dxfId="696" priority="49">
      <formula>($B$13+B14)&lt;$H$2</formula>
    </cfRule>
  </conditionalFormatting>
  <conditionalFormatting sqref="C10">
    <cfRule type="expression" dxfId="695" priority="43">
      <formula>IF($G$8="JA",1,0)</formula>
    </cfRule>
  </conditionalFormatting>
  <conditionalFormatting sqref="A14 A15:R15">
    <cfRule type="expression" dxfId="694" priority="39">
      <formula>IF($K$8="",1,0)</formula>
    </cfRule>
    <cfRule type="expression" dxfId="693" priority="42">
      <formula>IF($K$8="NEIN",1,0)</formula>
    </cfRule>
  </conditionalFormatting>
  <conditionalFormatting sqref="B14:R14">
    <cfRule type="expression" dxfId="692" priority="38">
      <formula>IF($K$8="",1,0)</formula>
    </cfRule>
    <cfRule type="expression" dxfId="691" priority="41">
      <formula>IF($K$8="NEIN",1,0)</formula>
    </cfRule>
  </conditionalFormatting>
  <conditionalFormatting sqref="A10:S12 A13:R15">
    <cfRule type="expression" dxfId="690" priority="40">
      <formula>IF($G$8="",1,0)</formula>
    </cfRule>
  </conditionalFormatting>
  <conditionalFormatting sqref="B13:R13">
    <cfRule type="expression" dxfId="689" priority="37">
      <formula>IF($K$8="JA",1,0)</formula>
    </cfRule>
  </conditionalFormatting>
  <conditionalFormatting sqref="B14">
    <cfRule type="expression" dxfId="688" priority="35">
      <formula>IF($K$8="",1,0)</formula>
    </cfRule>
    <cfRule type="expression" dxfId="687" priority="36">
      <formula>IF($K$8="NEIN",1,0)</formula>
    </cfRule>
  </conditionalFormatting>
  <conditionalFormatting sqref="S14">
    <cfRule type="expression" dxfId="686" priority="34" stopIfTrue="1">
      <formula>#REF!="nein"</formula>
    </cfRule>
  </conditionalFormatting>
  <conditionalFormatting sqref="S15">
    <cfRule type="expression" dxfId="685" priority="33" stopIfTrue="1">
      <formula>#REF!="nein"</formula>
    </cfRule>
  </conditionalFormatting>
  <conditionalFormatting sqref="S13:S15">
    <cfRule type="expression" dxfId="684" priority="32">
      <formula>IF($G$8="NEIN",1,0)</formula>
    </cfRule>
  </conditionalFormatting>
  <conditionalFormatting sqref="S15">
    <cfRule type="expression" dxfId="683" priority="28">
      <formula>IF($K$8="",1,0)</formula>
    </cfRule>
    <cfRule type="expression" dxfId="682" priority="31">
      <formula>IF($K$8="NEIN",1,0)</formula>
    </cfRule>
  </conditionalFormatting>
  <conditionalFormatting sqref="S14">
    <cfRule type="expression" dxfId="681" priority="27">
      <formula>IF($K$8="",1,0)</formula>
    </cfRule>
    <cfRule type="expression" dxfId="680" priority="30">
      <formula>IF($K$8="NEIN",1,0)</formula>
    </cfRule>
  </conditionalFormatting>
  <conditionalFormatting sqref="S13:S15">
    <cfRule type="expression" dxfId="679" priority="29">
      <formula>IF($G$8="",1,0)</formula>
    </cfRule>
  </conditionalFormatting>
  <conditionalFormatting sqref="S13">
    <cfRule type="expression" dxfId="678" priority="26">
      <formula>IF($K$8="JA",1,0)</formula>
    </cfRule>
  </conditionalFormatting>
  <conditionalFormatting sqref="S14">
    <cfRule type="expression" dxfId="677" priority="24">
      <formula>IF($K$8="JA",1,0)</formula>
    </cfRule>
  </conditionalFormatting>
  <conditionalFormatting sqref="S15">
    <cfRule type="expression" dxfId="676" priority="22">
      <formula>IF($K$8="JA",1,0)</formula>
    </cfRule>
  </conditionalFormatting>
  <conditionalFormatting sqref="U13:W13">
    <cfRule type="expression" dxfId="675" priority="18">
      <formula>IF($G$8="NEIN",1,0)</formula>
    </cfRule>
    <cfRule type="expression" dxfId="674" priority="19">
      <formula>IF($G$8="",1,0)</formula>
    </cfRule>
    <cfRule type="expression" dxfId="673" priority="20">
      <formula>IF($K$8="JA",1,0)</formula>
    </cfRule>
  </conditionalFormatting>
  <conditionalFormatting sqref="U11:W13">
    <cfRule type="expression" dxfId="672" priority="17">
      <formula>IF($G$8="",1,0)</formula>
    </cfRule>
  </conditionalFormatting>
  <conditionalFormatting sqref="U11:W13">
    <cfRule type="expression" dxfId="671" priority="16">
      <formula>IF($G$8="NEIN",1,0)</formula>
    </cfRule>
  </conditionalFormatting>
  <conditionalFormatting sqref="U14:V15">
    <cfRule type="expression" dxfId="670" priority="7">
      <formula>IF($G$8="NEIN",1,0)</formula>
    </cfRule>
    <cfRule type="expression" dxfId="669" priority="8">
      <formula>IF($K$8="NEIN",1,0)</formula>
    </cfRule>
    <cfRule type="expression" dxfId="668" priority="9">
      <formula>IF($G$8="",1,0)</formula>
    </cfRule>
    <cfRule type="expression" dxfId="667" priority="10">
      <formula>IF($K$8="",1,0)</formula>
    </cfRule>
  </conditionalFormatting>
  <conditionalFormatting sqref="U14:V15">
    <cfRule type="expression" dxfId="666" priority="6">
      <formula>IF($G$8="",1,0)</formula>
    </cfRule>
  </conditionalFormatting>
  <conditionalFormatting sqref="W14:W15">
    <cfRule type="expression" dxfId="665" priority="2">
      <formula>IF($G$8="NEIN",1,0)</formula>
    </cfRule>
    <cfRule type="expression" dxfId="664" priority="3">
      <formula>IF($K$8="NEIN",1,0)</formula>
    </cfRule>
    <cfRule type="expression" dxfId="663" priority="4">
      <formula>IF($G$8="",1,0)</formula>
    </cfRule>
    <cfRule type="expression" dxfId="662" priority="5">
      <formula>IF($K$8="",1,0)</formula>
    </cfRule>
  </conditionalFormatting>
  <conditionalFormatting sqref="W14:W15">
    <cfRule type="expression" dxfId="661" priority="1">
      <formula>IF($G$8="",1,0)</formula>
    </cfRule>
  </conditionalFormatting>
  <dataValidations count="5">
    <dataValidation type="list" allowBlank="1" showInputMessage="1" showErrorMessage="1" sqref="M39 I41 I39 E41 E39 G41 I37 G37 E37 G39 M37 K37 K41 K39 M41 K13:K15 M13:M15 O13:O15 E13:E15 G13:G15 I13:I15">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S_13!F13" display="◄"/>
    <hyperlink ref="R1:S1" location="S_15!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9BE12A87-F5DF-4F4D-B21C-B23B6B050B4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28A56CBF-E414-4FF5-ACAD-1B21F63C6BE1}">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0E9CDDE7-1AE2-4A31-A76C-8EB496A9750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BF1D73AC-5F42-4AEB-BDE3-BEDF91B517D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C000"/>
    <pageSetUpPr fitToPage="1"/>
  </sheetPr>
  <dimension ref="A1:AG45"/>
  <sheetViews>
    <sheetView zoomScaleNormal="100" workbookViewId="0">
      <selection activeCell="B10" sqref="B10:H10"/>
    </sheetView>
  </sheetViews>
  <sheetFormatPr baseColWidth="10" defaultColWidth="12.140625" defaultRowHeight="12.75"/>
  <cols>
    <col min="1" max="1" width="3.7109375" style="10" customWidth="1"/>
    <col min="2" max="2" width="21.7109375" style="10" customWidth="1"/>
    <col min="3" max="7" width="9.140625" style="10" customWidth="1"/>
    <col min="8" max="8" width="7.140625" style="10" customWidth="1"/>
    <col min="9" max="9" width="8.85546875" style="10" customWidth="1"/>
    <col min="10" max="10" width="8.42578125" style="10" customWidth="1"/>
    <col min="11" max="14" width="6.42578125" style="10" customWidth="1"/>
    <col min="15" max="15" width="4" style="10" customWidth="1"/>
    <col min="16" max="20" width="8.42578125" style="10" customWidth="1"/>
    <col min="21" max="22" width="7.42578125" style="10" customWidth="1"/>
    <col min="23" max="25" width="7.28515625" style="10" customWidth="1"/>
    <col min="26" max="26" width="3.42578125" style="10" customWidth="1"/>
    <col min="27" max="27" width="4.7109375" style="10" customWidth="1"/>
    <col min="28" max="28" width="18.5703125" style="10" customWidth="1"/>
    <col min="29" max="29" width="122" style="10" customWidth="1"/>
    <col min="30" max="30" width="9" style="10" customWidth="1"/>
    <col min="31" max="31" width="7.7109375" style="10" customWidth="1"/>
    <col min="32" max="16384" width="12.140625" style="10"/>
  </cols>
  <sheetData>
    <row r="1" spans="1:33" ht="28.5" customHeight="1">
      <c r="A1" s="876"/>
      <c r="B1" s="1803" t="s">
        <v>77</v>
      </c>
      <c r="C1" s="1803"/>
      <c r="D1" s="1803"/>
      <c r="E1" s="1803"/>
      <c r="F1" s="1803"/>
      <c r="G1" s="1803"/>
      <c r="H1" s="1803"/>
      <c r="I1" s="1803"/>
      <c r="J1" s="1803"/>
      <c r="K1" s="1803"/>
      <c r="L1" s="1803"/>
      <c r="M1" s="1803"/>
      <c r="N1" s="2350" t="s">
        <v>0</v>
      </c>
      <c r="O1" s="2351"/>
      <c r="P1" s="2351"/>
      <c r="Q1" s="2352"/>
      <c r="R1" s="2350" t="s">
        <v>1</v>
      </c>
      <c r="S1" s="2351"/>
      <c r="T1" s="2352"/>
      <c r="U1" s="1804"/>
      <c r="V1" s="1804"/>
      <c r="W1" s="1804"/>
      <c r="X1" s="1804"/>
      <c r="Y1" s="1804"/>
      <c r="Z1" s="876"/>
      <c r="AA1" s="876"/>
      <c r="AB1" s="876"/>
      <c r="AC1" s="876"/>
    </row>
    <row r="2" spans="1:33" ht="6" customHeight="1">
      <c r="A2" s="876"/>
      <c r="B2" s="2193"/>
      <c r="C2" s="2193"/>
      <c r="D2" s="725"/>
      <c r="E2" s="725"/>
      <c r="F2" s="725"/>
      <c r="G2" s="725"/>
      <c r="H2" s="725"/>
      <c r="I2" s="2194"/>
      <c r="J2" s="1131"/>
      <c r="K2" s="725"/>
      <c r="L2" s="2195"/>
      <c r="M2" s="725"/>
      <c r="N2" s="725"/>
      <c r="O2" s="725"/>
      <c r="P2" s="725"/>
      <c r="Q2" s="725"/>
      <c r="R2" s="725"/>
      <c r="S2" s="725"/>
      <c r="T2" s="725"/>
      <c r="U2" s="1132"/>
      <c r="V2" s="1132"/>
      <c r="W2" s="1132"/>
      <c r="X2" s="1132"/>
      <c r="Y2" s="1132"/>
      <c r="Z2" s="876"/>
      <c r="AA2" s="876"/>
      <c r="AB2" s="876"/>
      <c r="AC2" s="876"/>
    </row>
    <row r="3" spans="1:33" ht="27.75" customHeight="1">
      <c r="A3" s="876"/>
      <c r="B3" s="2353" t="s">
        <v>78</v>
      </c>
      <c r="C3" s="2354"/>
      <c r="D3" s="2354"/>
      <c r="E3" s="2354"/>
      <c r="F3" s="2354"/>
      <c r="G3" s="2354"/>
      <c r="H3" s="2355"/>
      <c r="I3" s="2356" t="s">
        <v>79</v>
      </c>
      <c r="J3" s="2357" t="s">
        <v>80</v>
      </c>
      <c r="K3" s="2196" t="s">
        <v>81</v>
      </c>
      <c r="L3" s="2196" t="s">
        <v>82</v>
      </c>
      <c r="M3" s="2196" t="s">
        <v>81</v>
      </c>
      <c r="N3" s="2196" t="s">
        <v>82</v>
      </c>
      <c r="O3" s="725"/>
      <c r="P3" s="2343" t="s">
        <v>107</v>
      </c>
      <c r="Q3" s="2343"/>
      <c r="R3" s="2343"/>
      <c r="S3" s="2335" t="s">
        <v>108</v>
      </c>
      <c r="T3" s="2335"/>
      <c r="U3" s="2335"/>
      <c r="V3" s="2197" t="s">
        <v>109</v>
      </c>
      <c r="W3" s="2335" t="s">
        <v>110</v>
      </c>
      <c r="X3" s="2335"/>
      <c r="Y3" s="2335"/>
      <c r="Z3" s="876"/>
      <c r="AA3" s="876"/>
      <c r="AB3" s="876"/>
      <c r="AC3" s="876"/>
    </row>
    <row r="4" spans="1:33" ht="17.25" customHeight="1" thickBot="1">
      <c r="A4" s="876"/>
      <c r="B4" s="269" t="s">
        <v>85</v>
      </c>
      <c r="C4" s="270"/>
      <c r="D4" s="270"/>
      <c r="E4" s="270"/>
      <c r="F4" s="270"/>
      <c r="G4" s="271"/>
      <c r="H4" s="2198" t="s">
        <v>71</v>
      </c>
      <c r="I4" s="2356"/>
      <c r="J4" s="2356"/>
      <c r="K4" s="2365" t="s">
        <v>86</v>
      </c>
      <c r="L4" s="2365"/>
      <c r="M4" s="2365" t="s">
        <v>87</v>
      </c>
      <c r="N4" s="2365"/>
      <c r="O4" s="725"/>
      <c r="P4" s="2343"/>
      <c r="Q4" s="2343"/>
      <c r="R4" s="2343"/>
      <c r="S4" s="2197" t="s">
        <v>112</v>
      </c>
      <c r="T4" s="1148" t="s">
        <v>113</v>
      </c>
      <c r="U4" s="2197" t="s">
        <v>114</v>
      </c>
      <c r="V4" s="2199" t="s">
        <v>115</v>
      </c>
      <c r="W4" s="2200" t="s">
        <v>112</v>
      </c>
      <c r="X4" s="1150" t="s">
        <v>113</v>
      </c>
      <c r="Y4" s="2200" t="s">
        <v>114</v>
      </c>
      <c r="Z4" s="876"/>
      <c r="AA4" s="876"/>
      <c r="AB4" s="876"/>
      <c r="AC4" s="876"/>
    </row>
    <row r="5" spans="1:33" ht="15" customHeight="1">
      <c r="A5" s="876"/>
      <c r="B5" s="2366"/>
      <c r="C5" s="2367"/>
      <c r="D5" s="2367"/>
      <c r="E5" s="2367"/>
      <c r="F5" s="2367"/>
      <c r="G5" s="2367"/>
      <c r="H5" s="2346"/>
      <c r="I5" s="1126"/>
      <c r="J5" s="1127">
        <f>Tabelle1!AR5</f>
        <v>0</v>
      </c>
      <c r="K5" s="1128"/>
      <c r="L5" s="1129"/>
      <c r="M5" s="1128"/>
      <c r="N5" s="1129"/>
      <c r="O5" s="725"/>
      <c r="P5" s="1151" t="s">
        <v>116</v>
      </c>
      <c r="Q5" s="1135"/>
      <c r="R5" s="1136"/>
      <c r="S5" s="1137"/>
      <c r="T5" s="1138"/>
      <c r="U5" s="1138"/>
      <c r="V5" s="1139"/>
      <c r="W5" s="2204">
        <f t="shared" ref="W5:Y9" si="0">$V5*S5</f>
        <v>0</v>
      </c>
      <c r="X5" s="2204">
        <f t="shared" si="0"/>
        <v>0</v>
      </c>
      <c r="Y5" s="2205">
        <f t="shared" si="0"/>
        <v>0</v>
      </c>
      <c r="Z5" s="876"/>
      <c r="AA5" s="2361" t="s">
        <v>1218</v>
      </c>
      <c r="AB5" s="2358" t="s">
        <v>1212</v>
      </c>
      <c r="AC5" s="876"/>
    </row>
    <row r="6" spans="1:33" ht="15" customHeight="1">
      <c r="A6" s="876"/>
      <c r="B6" s="2364"/>
      <c r="C6" s="2364"/>
      <c r="D6" s="2364"/>
      <c r="E6" s="2364"/>
      <c r="F6" s="2364"/>
      <c r="G6" s="2364"/>
      <c r="H6" s="2364"/>
      <c r="I6" s="1126"/>
      <c r="J6" s="1127">
        <f>Tabelle1!AR6</f>
        <v>0</v>
      </c>
      <c r="K6" s="1128"/>
      <c r="L6" s="1129"/>
      <c r="M6" s="1128"/>
      <c r="N6" s="1129"/>
      <c r="O6" s="725"/>
      <c r="P6" s="1152" t="s">
        <v>118</v>
      </c>
      <c r="Q6" s="272"/>
      <c r="R6" s="273"/>
      <c r="S6" s="274"/>
      <c r="T6" s="274"/>
      <c r="U6" s="274"/>
      <c r="V6" s="275"/>
      <c r="W6" s="2206">
        <f t="shared" si="0"/>
        <v>0</v>
      </c>
      <c r="X6" s="2206">
        <f t="shared" si="0"/>
        <v>0</v>
      </c>
      <c r="Y6" s="2207">
        <f t="shared" si="0"/>
        <v>0</v>
      </c>
      <c r="Z6" s="876"/>
      <c r="AA6" s="2362"/>
      <c r="AB6" s="2359"/>
      <c r="AC6" s="876"/>
    </row>
    <row r="7" spans="1:33" ht="15" customHeight="1">
      <c r="A7" s="876"/>
      <c r="B7" s="2364"/>
      <c r="C7" s="2364"/>
      <c r="D7" s="2364"/>
      <c r="E7" s="2364"/>
      <c r="F7" s="2364"/>
      <c r="G7" s="2364"/>
      <c r="H7" s="2364"/>
      <c r="I7" s="1126"/>
      <c r="J7" s="1127">
        <f>Tabelle1!AR7</f>
        <v>0</v>
      </c>
      <c r="K7" s="1128"/>
      <c r="L7" s="1129"/>
      <c r="M7" s="1128"/>
      <c r="N7" s="1129"/>
      <c r="O7" s="725"/>
      <c r="P7" s="1152" t="s">
        <v>119</v>
      </c>
      <c r="Q7" s="272"/>
      <c r="R7" s="273"/>
      <c r="S7" s="274"/>
      <c r="T7" s="274"/>
      <c r="U7" s="274"/>
      <c r="V7" s="275"/>
      <c r="W7" s="2206">
        <f t="shared" si="0"/>
        <v>0</v>
      </c>
      <c r="X7" s="2206">
        <f t="shared" si="0"/>
        <v>0</v>
      </c>
      <c r="Y7" s="2207">
        <f t="shared" si="0"/>
        <v>0</v>
      </c>
      <c r="Z7" s="876"/>
      <c r="AA7" s="2362"/>
      <c r="AB7" s="2359"/>
      <c r="AC7" s="876"/>
    </row>
    <row r="8" spans="1:33" ht="15" customHeight="1">
      <c r="A8" s="876"/>
      <c r="B8" s="2364"/>
      <c r="C8" s="2364"/>
      <c r="D8" s="2364"/>
      <c r="E8" s="2364"/>
      <c r="F8" s="2364"/>
      <c r="G8" s="2364"/>
      <c r="H8" s="2364"/>
      <c r="I8" s="1126"/>
      <c r="J8" s="1127">
        <f>Tabelle1!AR8</f>
        <v>0</v>
      </c>
      <c r="K8" s="1128"/>
      <c r="L8" s="1129"/>
      <c r="M8" s="1128"/>
      <c r="N8" s="1129"/>
      <c r="O8" s="725"/>
      <c r="P8" s="1152" t="s">
        <v>90</v>
      </c>
      <c r="Q8" s="272"/>
      <c r="R8" s="273"/>
      <c r="S8" s="274"/>
      <c r="T8" s="274"/>
      <c r="U8" s="274"/>
      <c r="V8" s="275"/>
      <c r="W8" s="2206">
        <f t="shared" si="0"/>
        <v>0</v>
      </c>
      <c r="X8" s="2206">
        <f t="shared" si="0"/>
        <v>0</v>
      </c>
      <c r="Y8" s="2207">
        <f t="shared" si="0"/>
        <v>0</v>
      </c>
      <c r="Z8" s="876"/>
      <c r="AA8" s="2362"/>
      <c r="AB8" s="2359"/>
      <c r="AC8" s="876"/>
    </row>
    <row r="9" spans="1:33" ht="15" customHeight="1" thickBot="1">
      <c r="A9" s="876"/>
      <c r="B9" s="2364"/>
      <c r="C9" s="2364"/>
      <c r="D9" s="2364"/>
      <c r="E9" s="2364"/>
      <c r="F9" s="2364"/>
      <c r="G9" s="2364"/>
      <c r="H9" s="2364"/>
      <c r="I9" s="1126"/>
      <c r="J9" s="1127">
        <f>Tabelle1!AR9</f>
        <v>0</v>
      </c>
      <c r="K9" s="1128"/>
      <c r="L9" s="1129"/>
      <c r="M9" s="1128"/>
      <c r="N9" s="1129"/>
      <c r="O9" s="725"/>
      <c r="P9" s="1153" t="s">
        <v>91</v>
      </c>
      <c r="Q9" s="1154"/>
      <c r="R9" s="1155"/>
      <c r="S9" s="1156"/>
      <c r="T9" s="1156"/>
      <c r="U9" s="1156"/>
      <c r="V9" s="1157"/>
      <c r="W9" s="2208">
        <f t="shared" si="0"/>
        <v>0</v>
      </c>
      <c r="X9" s="2208">
        <f t="shared" si="0"/>
        <v>0</v>
      </c>
      <c r="Y9" s="2209">
        <f t="shared" si="0"/>
        <v>0</v>
      </c>
      <c r="Z9" s="876"/>
      <c r="AA9" s="2363"/>
      <c r="AB9" s="2360"/>
      <c r="AC9" s="876"/>
    </row>
    <row r="10" spans="1:33" ht="15" customHeight="1">
      <c r="A10" s="876"/>
      <c r="B10" s="2364"/>
      <c r="C10" s="2364"/>
      <c r="D10" s="2364"/>
      <c r="E10" s="2364"/>
      <c r="F10" s="2364"/>
      <c r="G10" s="2364"/>
      <c r="H10" s="2364"/>
      <c r="I10" s="1126"/>
      <c r="J10" s="1127">
        <f>Tabelle1!AR10</f>
        <v>0</v>
      </c>
      <c r="K10" s="1128"/>
      <c r="L10" s="1129"/>
      <c r="M10" s="1128"/>
      <c r="N10" s="1129"/>
      <c r="O10" s="725"/>
      <c r="P10" s="1133"/>
      <c r="Q10" s="1133"/>
      <c r="R10" s="1133"/>
      <c r="S10" s="1134"/>
      <c r="T10" s="1134"/>
      <c r="U10" s="1134"/>
      <c r="V10" s="1134"/>
      <c r="W10" s="1134"/>
      <c r="X10" s="1134"/>
      <c r="Y10" s="1134"/>
      <c r="Z10" s="876"/>
      <c r="AA10" s="876"/>
      <c r="AB10" s="876"/>
      <c r="AC10" s="876"/>
    </row>
    <row r="11" spans="1:33" ht="15" customHeight="1">
      <c r="A11" s="876"/>
      <c r="B11" s="2364"/>
      <c r="C11" s="2364"/>
      <c r="D11" s="2364"/>
      <c r="E11" s="2364"/>
      <c r="F11" s="2364"/>
      <c r="G11" s="2364"/>
      <c r="H11" s="2364"/>
      <c r="I11" s="1126"/>
      <c r="J11" s="1127">
        <f>Tabelle1!AR11</f>
        <v>0</v>
      </c>
      <c r="K11" s="1128"/>
      <c r="L11" s="1129"/>
      <c r="M11" s="1128"/>
      <c r="N11" s="1129"/>
      <c r="O11" s="725"/>
      <c r="P11" s="2340" t="s">
        <v>121</v>
      </c>
      <c r="Q11" s="2340"/>
      <c r="R11" s="1805"/>
      <c r="S11" s="1805"/>
      <c r="T11" s="1805"/>
      <c r="U11" s="2340" t="s">
        <v>122</v>
      </c>
      <c r="V11" s="2340"/>
      <c r="W11" s="1806"/>
      <c r="X11" s="2210"/>
      <c r="Y11" s="2210"/>
      <c r="Z11" s="876"/>
      <c r="AA11" s="876"/>
      <c r="AB11" s="876"/>
      <c r="AC11" s="876"/>
    </row>
    <row r="12" spans="1:33" ht="15" customHeight="1">
      <c r="A12" s="876"/>
      <c r="B12" s="2364"/>
      <c r="C12" s="2364"/>
      <c r="D12" s="2364"/>
      <c r="E12" s="2364"/>
      <c r="F12" s="2364"/>
      <c r="G12" s="2364"/>
      <c r="H12" s="2364"/>
      <c r="I12" s="1126"/>
      <c r="J12" s="1127">
        <f>Tabelle1!AR12</f>
        <v>0</v>
      </c>
      <c r="K12" s="1128"/>
      <c r="L12" s="1129"/>
      <c r="M12" s="1128"/>
      <c r="N12" s="1129"/>
      <c r="O12" s="725"/>
      <c r="P12" s="2341"/>
      <c r="Q12" s="2341"/>
      <c r="R12" s="1805"/>
      <c r="S12" s="1805"/>
      <c r="T12" s="1805"/>
      <c r="U12" s="2341"/>
      <c r="V12" s="2341"/>
      <c r="W12" s="1806"/>
      <c r="X12" s="2210"/>
      <c r="Y12" s="2210"/>
      <c r="Z12" s="876"/>
      <c r="AA12" s="876"/>
      <c r="AB12" s="876"/>
      <c r="AC12" s="876"/>
      <c r="AG12" s="2044"/>
    </row>
    <row r="13" spans="1:33" ht="15" customHeight="1">
      <c r="A13" s="876"/>
      <c r="B13" s="2364"/>
      <c r="C13" s="2364"/>
      <c r="D13" s="2364"/>
      <c r="E13" s="2364"/>
      <c r="F13" s="2364"/>
      <c r="G13" s="2364"/>
      <c r="H13" s="2364"/>
      <c r="I13" s="1126"/>
      <c r="J13" s="1834">
        <f>Tabelle1!AR13</f>
        <v>0</v>
      </c>
      <c r="K13" s="1128"/>
      <c r="L13" s="1129"/>
      <c r="M13" s="1128"/>
      <c r="N13" s="1129"/>
      <c r="O13" s="725"/>
      <c r="P13" s="2336" t="s">
        <v>123</v>
      </c>
      <c r="Q13" s="2336"/>
      <c r="R13" s="2336"/>
      <c r="S13" s="277">
        <f>Tabelle1!BB20</f>
        <v>0</v>
      </c>
      <c r="T13" s="278"/>
      <c r="U13" s="279">
        <f>IF(Betrieb!E$18=0,0,S13/(Betrieb!E$18))</f>
        <v>0</v>
      </c>
      <c r="V13" s="2337" t="str">
        <f>Tabelle1!DD22</f>
        <v/>
      </c>
      <c r="W13" s="2337"/>
      <c r="X13" s="2337"/>
      <c r="Y13" s="2337"/>
      <c r="Z13" s="876"/>
      <c r="AA13" s="876"/>
      <c r="AB13" s="876"/>
      <c r="AC13" s="876"/>
    </row>
    <row r="14" spans="1:33" ht="15" customHeight="1">
      <c r="A14" s="876"/>
      <c r="B14" s="2364"/>
      <c r="C14" s="2364"/>
      <c r="D14" s="2364"/>
      <c r="E14" s="2364"/>
      <c r="F14" s="2364"/>
      <c r="G14" s="2364"/>
      <c r="H14" s="2364"/>
      <c r="I14" s="1126"/>
      <c r="J14" s="1127">
        <f>Tabelle1!AR14</f>
        <v>0</v>
      </c>
      <c r="K14" s="1128"/>
      <c r="L14" s="1129"/>
      <c r="M14" s="1128"/>
      <c r="N14" s="1129"/>
      <c r="O14" s="725"/>
      <c r="P14" s="2336" t="s">
        <v>125</v>
      </c>
      <c r="Q14" s="2336"/>
      <c r="R14" s="2336"/>
      <c r="S14" s="280">
        <f>Tabelle1!AX56</f>
        <v>0</v>
      </c>
      <c r="T14" s="281" t="s">
        <v>126</v>
      </c>
      <c r="U14" s="277">
        <f>IF(Betrieb!E$18=0,0,S14/Betrieb!E$18)</f>
        <v>0</v>
      </c>
      <c r="V14" s="2337" t="str">
        <f>IF(U14=0,"LN-Angaben fehlen!",IF(Tiere!U14&lt;=170,"170 kg aus WD ok!","Zuviel Wirtschaftsdünger!"))</f>
        <v>LN-Angaben fehlen!</v>
      </c>
      <c r="W14" s="2337"/>
      <c r="X14" s="2337"/>
      <c r="Y14" s="2337"/>
      <c r="Z14" s="876"/>
      <c r="AA14" s="876"/>
      <c r="AB14" s="876"/>
      <c r="AC14" s="876"/>
    </row>
    <row r="15" spans="1:33" ht="15" customHeight="1">
      <c r="A15" s="876"/>
      <c r="B15" s="2344"/>
      <c r="C15" s="2345"/>
      <c r="D15" s="2345"/>
      <c r="E15" s="2345"/>
      <c r="F15" s="2345"/>
      <c r="G15" s="2345"/>
      <c r="H15" s="2346"/>
      <c r="I15" s="1126"/>
      <c r="J15" s="1127">
        <f>Tabelle1!AR15</f>
        <v>0</v>
      </c>
      <c r="K15" s="1128"/>
      <c r="L15" s="1129"/>
      <c r="M15" s="1128"/>
      <c r="N15" s="1129"/>
      <c r="O15" s="725"/>
      <c r="P15" s="2336" t="s">
        <v>127</v>
      </c>
      <c r="Q15" s="2336"/>
      <c r="R15" s="2336"/>
      <c r="S15" s="282">
        <f>Tabelle1!AX69</f>
        <v>0</v>
      </c>
      <c r="T15" s="281" t="s">
        <v>126</v>
      </c>
      <c r="U15" s="277">
        <f>IF(Betrieb!E$18=0,0,S15/Betrieb!E$18)</f>
        <v>0</v>
      </c>
      <c r="V15" s="2342" t="e">
        <f>Tabelle1!AN21</f>
        <v>#REF!</v>
      </c>
      <c r="W15" s="2342"/>
      <c r="X15" s="2342"/>
      <c r="Y15" s="2342"/>
      <c r="Z15" s="876"/>
      <c r="AA15" s="876"/>
      <c r="AB15" s="876"/>
      <c r="AC15" s="876"/>
    </row>
    <row r="16" spans="1:33" ht="15" customHeight="1" thickBot="1">
      <c r="A16" s="876"/>
      <c r="B16" s="2344"/>
      <c r="C16" s="2345"/>
      <c r="D16" s="2345"/>
      <c r="E16" s="2345"/>
      <c r="F16" s="2345"/>
      <c r="G16" s="2345"/>
      <c r="H16" s="2346"/>
      <c r="I16" s="1126"/>
      <c r="J16" s="1127">
        <f>Tabelle1!AR16</f>
        <v>0</v>
      </c>
      <c r="K16" s="1128"/>
      <c r="L16" s="1129"/>
      <c r="M16" s="1128"/>
      <c r="N16" s="1129"/>
      <c r="O16" s="725"/>
      <c r="P16" s="2211" t="s">
        <v>1241</v>
      </c>
      <c r="Z16" s="876"/>
      <c r="AA16" s="876"/>
      <c r="AB16" s="876"/>
      <c r="AC16" s="876"/>
    </row>
    <row r="17" spans="1:29" ht="15" hidden="1" customHeight="1">
      <c r="A17" s="876">
        <v>13</v>
      </c>
      <c r="B17" s="2347"/>
      <c r="C17" s="2348"/>
      <c r="D17" s="2348"/>
      <c r="E17" s="2348"/>
      <c r="F17" s="2348"/>
      <c r="G17" s="2348"/>
      <c r="H17" s="2349"/>
      <c r="I17" s="2201"/>
      <c r="J17" s="1127">
        <f>Tabelle1!AR17</f>
        <v>0</v>
      </c>
      <c r="K17" s="2202"/>
      <c r="L17" s="2203"/>
      <c r="M17" s="2202"/>
      <c r="N17" s="2212"/>
      <c r="O17" s="725"/>
      <c r="P17" s="1133"/>
      <c r="Q17" s="1133"/>
      <c r="R17" s="1133"/>
      <c r="S17" s="1134"/>
      <c r="T17" s="1134"/>
      <c r="U17" s="1134"/>
      <c r="V17" s="1134"/>
      <c r="W17" s="1134"/>
      <c r="X17" s="1134"/>
      <c r="Y17" s="1134"/>
      <c r="Z17" s="876"/>
      <c r="AA17" s="876"/>
      <c r="AB17" s="876"/>
      <c r="AC17" s="876"/>
    </row>
    <row r="18" spans="1:29" ht="15" hidden="1" customHeight="1">
      <c r="A18" s="876">
        <v>14</v>
      </c>
      <c r="B18" s="2347"/>
      <c r="C18" s="2348"/>
      <c r="D18" s="2348"/>
      <c r="E18" s="2348"/>
      <c r="F18" s="2348"/>
      <c r="G18" s="2348"/>
      <c r="H18" s="2349"/>
      <c r="I18" s="2201"/>
      <c r="J18" s="1127">
        <f>Tabelle1!AR18</f>
        <v>0</v>
      </c>
      <c r="K18" s="2202"/>
      <c r="L18" s="2203"/>
      <c r="M18" s="2202"/>
      <c r="N18" s="2212"/>
      <c r="O18" s="725"/>
      <c r="P18" s="1133"/>
      <c r="Q18" s="1133"/>
      <c r="R18" s="1133"/>
      <c r="S18" s="1134"/>
      <c r="T18" s="1134"/>
      <c r="U18" s="1134"/>
      <c r="V18" s="1134"/>
      <c r="W18" s="1134"/>
      <c r="X18" s="1134"/>
      <c r="Y18" s="1134"/>
      <c r="Z18" s="876"/>
      <c r="AA18" s="876"/>
      <c r="AB18" s="876"/>
      <c r="AC18" s="876"/>
    </row>
    <row r="19" spans="1:29" ht="15" hidden="1" customHeight="1">
      <c r="A19" s="876">
        <v>15</v>
      </c>
      <c r="B19" s="2347"/>
      <c r="C19" s="2348"/>
      <c r="D19" s="2348"/>
      <c r="E19" s="2348"/>
      <c r="F19" s="2348"/>
      <c r="G19" s="2348"/>
      <c r="H19" s="2349"/>
      <c r="I19" s="2213"/>
      <c r="J19" s="1130">
        <f>Tabelle1!AR19</f>
        <v>0</v>
      </c>
      <c r="K19" s="2214"/>
      <c r="L19" s="2215"/>
      <c r="M19" s="2214"/>
      <c r="N19" s="2216"/>
      <c r="O19" s="725"/>
      <c r="P19" s="1133"/>
      <c r="Q19" s="1133"/>
      <c r="R19" s="1133"/>
      <c r="S19" s="1134"/>
      <c r="T19" s="1134"/>
      <c r="U19" s="1134"/>
      <c r="V19" s="1134"/>
      <c r="W19" s="1134"/>
      <c r="X19" s="1134"/>
      <c r="Y19" s="1134"/>
      <c r="Z19" s="876"/>
      <c r="AA19" s="876"/>
      <c r="AB19" s="876"/>
      <c r="AC19" s="876"/>
    </row>
    <row r="20" spans="1:29" ht="15" customHeight="1" thickBot="1">
      <c r="A20" s="876"/>
      <c r="B20" s="2217"/>
      <c r="C20" s="2217"/>
      <c r="D20" s="2217"/>
      <c r="E20" s="2217"/>
      <c r="F20" s="2217"/>
      <c r="G20" s="2217"/>
      <c r="H20" s="2217"/>
      <c r="I20" s="2218"/>
      <c r="J20" s="2219"/>
      <c r="K20" s="2220"/>
      <c r="L20" s="2220"/>
      <c r="M20" s="2220"/>
      <c r="N20" s="2221" t="s">
        <v>102</v>
      </c>
      <c r="O20" s="725"/>
      <c r="P20" s="1133"/>
      <c r="Q20" s="1133"/>
      <c r="R20" s="1133"/>
      <c r="S20" s="1134"/>
      <c r="T20" s="1134"/>
      <c r="U20" s="1134"/>
      <c r="V20" s="1134"/>
      <c r="W20" s="1134"/>
      <c r="X20" s="1134"/>
      <c r="Y20" s="1134"/>
      <c r="Z20" s="876"/>
      <c r="AA20" s="876"/>
      <c r="AB20" s="876"/>
      <c r="AC20" s="876"/>
    </row>
    <row r="21" spans="1:29" ht="15" customHeight="1">
      <c r="A21" s="876"/>
      <c r="B21" s="2217"/>
      <c r="C21" s="2217"/>
      <c r="D21" s="2217"/>
      <c r="E21" s="2217"/>
      <c r="F21" s="2217"/>
      <c r="G21" s="2217"/>
      <c r="H21" s="2217"/>
      <c r="I21" s="2222"/>
      <c r="J21" s="2223"/>
      <c r="K21" s="2217"/>
      <c r="L21" s="2217"/>
      <c r="M21" s="2217"/>
      <c r="N21" s="2224"/>
      <c r="O21" s="2224"/>
      <c r="P21" s="1133"/>
      <c r="Q21" s="1133"/>
      <c r="R21" s="1133"/>
      <c r="S21" s="1134"/>
      <c r="T21" s="1134"/>
      <c r="U21" s="1134"/>
      <c r="V21" s="1134"/>
      <c r="W21" s="1134"/>
      <c r="X21" s="1134"/>
      <c r="Y21" s="1134"/>
      <c r="Z21" s="876"/>
      <c r="AA21" s="876"/>
      <c r="AB21" s="876"/>
      <c r="AC21" s="876"/>
    </row>
    <row r="22" spans="1:29" ht="15" customHeight="1">
      <c r="A22" s="876"/>
      <c r="B22" s="2338" t="s">
        <v>1187</v>
      </c>
      <c r="C22" s="2339" t="s">
        <v>104</v>
      </c>
      <c r="D22" s="2339"/>
      <c r="E22" s="2339"/>
      <c r="F22" s="2339"/>
      <c r="G22" s="2339"/>
      <c r="H22" s="2339"/>
      <c r="I22" s="2339"/>
      <c r="J22" s="2339"/>
      <c r="K22" s="2339"/>
      <c r="L22" s="2339"/>
      <c r="M22" s="2339"/>
      <c r="N22" s="725"/>
      <c r="O22" s="725"/>
      <c r="P22" s="725"/>
      <c r="Q22" s="725"/>
      <c r="R22" s="725"/>
      <c r="S22" s="725"/>
      <c r="T22" s="725"/>
      <c r="U22" s="725"/>
      <c r="V22" s="725"/>
      <c r="W22" s="725"/>
      <c r="X22" s="725"/>
      <c r="Y22" s="725"/>
      <c r="Z22" s="876"/>
      <c r="AA22" s="876"/>
      <c r="AB22" s="876"/>
      <c r="AC22" s="876"/>
    </row>
    <row r="23" spans="1:29" ht="27" customHeight="1">
      <c r="A23" s="2225"/>
      <c r="B23" s="2338"/>
      <c r="C23" s="2197" t="s">
        <v>105</v>
      </c>
      <c r="D23" s="1149" t="s">
        <v>1234</v>
      </c>
      <c r="E23" s="1444" t="s">
        <v>1235</v>
      </c>
      <c r="F23" s="1149" t="s">
        <v>1236</v>
      </c>
      <c r="G23" s="1445" t="s">
        <v>1237</v>
      </c>
      <c r="H23" s="1149" t="s">
        <v>1238</v>
      </c>
      <c r="I23" s="1149" t="s">
        <v>1188</v>
      </c>
      <c r="J23" s="1147" t="s">
        <v>106</v>
      </c>
      <c r="K23" s="1149" t="s">
        <v>1189</v>
      </c>
      <c r="L23" s="1149" t="s">
        <v>1190</v>
      </c>
      <c r="M23" s="1149" t="s">
        <v>1191</v>
      </c>
      <c r="N23" s="2226"/>
      <c r="O23" s="2226"/>
      <c r="P23" s="725"/>
      <c r="Q23" s="725"/>
      <c r="R23" s="725"/>
      <c r="S23" s="725"/>
      <c r="T23" s="725"/>
      <c r="U23" s="725"/>
      <c r="V23" s="725"/>
      <c r="W23" s="725"/>
      <c r="X23" s="725"/>
      <c r="Y23" s="725"/>
      <c r="Z23" s="876"/>
      <c r="AA23" s="876"/>
      <c r="AB23" s="876"/>
      <c r="AC23" s="876"/>
    </row>
    <row r="24" spans="1:29" ht="15" customHeight="1">
      <c r="A24" s="876"/>
      <c r="B24" s="2227" t="str">
        <f>Tabelle1!C159</f>
        <v>Gülle/Jauche Grube 1</v>
      </c>
      <c r="C24" s="2228">
        <f>Hofdung!H14</f>
        <v>0</v>
      </c>
      <c r="D24" s="2229">
        <f>IF($C24=0,0,Hofdung!I14)</f>
        <v>0</v>
      </c>
      <c r="E24" s="2229">
        <f>IF($C24=0,0,Hofdung!J14)</f>
        <v>0</v>
      </c>
      <c r="F24" s="2229">
        <f>IF($C24=0,0,Hofdung!K14)</f>
        <v>0</v>
      </c>
      <c r="G24" s="2229">
        <f>IF($C24=0,0,Hofdung!L14)</f>
        <v>0</v>
      </c>
      <c r="H24" s="2229">
        <f>IF($C24=0,0,Hofdung!M14)</f>
        <v>0</v>
      </c>
      <c r="I24" s="2230">
        <f>Tabelle1!BI43</f>
        <v>0</v>
      </c>
      <c r="J24" s="2230">
        <f>Tabelle1!BN43</f>
        <v>0</v>
      </c>
      <c r="K24" s="2230">
        <f>Tabelle1!BO43</f>
        <v>0</v>
      </c>
      <c r="L24" s="2230">
        <f>Tabelle1!BJ43</f>
        <v>0</v>
      </c>
      <c r="M24" s="2231">
        <f>Tabelle1!BK43</f>
        <v>0</v>
      </c>
      <c r="N24" s="725"/>
      <c r="O24" s="725"/>
      <c r="P24" s="725"/>
      <c r="Q24" s="725"/>
      <c r="R24" s="725"/>
      <c r="S24" s="725"/>
      <c r="T24" s="725"/>
      <c r="U24" s="725"/>
      <c r="V24" s="725"/>
      <c r="W24" s="725"/>
      <c r="X24" s="725"/>
      <c r="Y24" s="725"/>
      <c r="Z24" s="876"/>
      <c r="AA24" s="876"/>
      <c r="AB24" s="876"/>
      <c r="AC24" s="876"/>
    </row>
    <row r="25" spans="1:29" ht="15" customHeight="1">
      <c r="A25" s="876"/>
      <c r="B25" s="2232" t="str">
        <f>Tabelle1!C160</f>
        <v>Gülle/Jauche Grube 2</v>
      </c>
      <c r="C25" s="2233">
        <f>Hofdung!H15</f>
        <v>0</v>
      </c>
      <c r="D25" s="2234">
        <f>IF($C25=0,0,Hofdung!I15)</f>
        <v>0</v>
      </c>
      <c r="E25" s="2234">
        <f>IF($C25=0,0,Hofdung!J15)</f>
        <v>0</v>
      </c>
      <c r="F25" s="2234">
        <f>IF($C25=0,0,Hofdung!K15)</f>
        <v>0</v>
      </c>
      <c r="G25" s="2234">
        <f>IF($C25=0,0,Hofdung!L15)</f>
        <v>0</v>
      </c>
      <c r="H25" s="2234">
        <f>IF($C25=0,0,Hofdung!M15)</f>
        <v>0</v>
      </c>
      <c r="I25" s="2235">
        <f>Tabelle1!BI44</f>
        <v>0</v>
      </c>
      <c r="J25" s="2235">
        <f>Tabelle1!BN44</f>
        <v>0</v>
      </c>
      <c r="K25" s="2235">
        <f>Tabelle1!BO44</f>
        <v>0</v>
      </c>
      <c r="L25" s="2235">
        <f>Tabelle1!BJ44</f>
        <v>0</v>
      </c>
      <c r="M25" s="2236">
        <f>Tabelle1!BK44</f>
        <v>0</v>
      </c>
      <c r="N25" s="725"/>
      <c r="O25" s="725"/>
      <c r="P25" s="725"/>
      <c r="Q25" s="725"/>
      <c r="R25" s="725"/>
      <c r="S25" s="725"/>
      <c r="T25" s="725"/>
      <c r="U25" s="725"/>
      <c r="V25" s="725"/>
      <c r="W25" s="725"/>
      <c r="X25" s="725"/>
      <c r="Y25" s="725"/>
      <c r="Z25" s="876"/>
      <c r="AA25" s="876"/>
      <c r="AB25" s="876"/>
      <c r="AC25" s="876"/>
    </row>
    <row r="26" spans="1:29" ht="15" customHeight="1">
      <c r="A26" s="876"/>
      <c r="B26" s="2232" t="str">
        <f>Tabelle1!C161</f>
        <v>Gülle/Jauche Grube 3</v>
      </c>
      <c r="C26" s="2233">
        <f>Hofdung!H16</f>
        <v>0</v>
      </c>
      <c r="D26" s="2234">
        <f>IF($C26=0,0,Hofdung!I16)</f>
        <v>0</v>
      </c>
      <c r="E26" s="2234">
        <f>IF($C26=0,0,Hofdung!J16)</f>
        <v>0</v>
      </c>
      <c r="F26" s="2234">
        <f>IF($C26=0,0,Hofdung!K16)</f>
        <v>0</v>
      </c>
      <c r="G26" s="2234">
        <f>IF($C26=0,0,Hofdung!L16)</f>
        <v>0</v>
      </c>
      <c r="H26" s="2234">
        <f>IF($C26=0,0,Hofdung!M16)</f>
        <v>0</v>
      </c>
      <c r="I26" s="2235">
        <f>Tabelle1!BI45</f>
        <v>0</v>
      </c>
      <c r="J26" s="2235">
        <f>Tabelle1!BN45</f>
        <v>0</v>
      </c>
      <c r="K26" s="2235">
        <f>Tabelle1!BO45</f>
        <v>0</v>
      </c>
      <c r="L26" s="2235">
        <f>Tabelle1!BJ45</f>
        <v>0</v>
      </c>
      <c r="M26" s="2236">
        <f>Tabelle1!BK45</f>
        <v>0</v>
      </c>
      <c r="N26" s="725"/>
      <c r="O26" s="725"/>
      <c r="P26" s="725"/>
      <c r="Q26" s="725"/>
      <c r="R26" s="725"/>
      <c r="S26" s="725"/>
      <c r="T26" s="725"/>
      <c r="U26" s="725"/>
      <c r="V26" s="725"/>
      <c r="W26" s="725"/>
      <c r="X26" s="725"/>
      <c r="Y26" s="725"/>
      <c r="Z26" s="876"/>
      <c r="AA26" s="876"/>
      <c r="AB26" s="876"/>
      <c r="AC26" s="876"/>
    </row>
    <row r="27" spans="1:29" ht="15" customHeight="1">
      <c r="A27" s="876"/>
      <c r="B27" s="2232" t="str">
        <f>Tabelle1!C162</f>
        <v>Gülle/Jauche Grube 4</v>
      </c>
      <c r="C27" s="2233">
        <f>Hofdung!H17</f>
        <v>0</v>
      </c>
      <c r="D27" s="2234">
        <f>IF($C27=0,0,Hofdung!I17)</f>
        <v>0</v>
      </c>
      <c r="E27" s="2234">
        <f>IF($C27=0,0,Hofdung!J17)</f>
        <v>0</v>
      </c>
      <c r="F27" s="2234">
        <f>IF($C27=0,0,Hofdung!K17)</f>
        <v>0</v>
      </c>
      <c r="G27" s="2234">
        <f>IF($C27=0,0,Hofdung!L17)</f>
        <v>0</v>
      </c>
      <c r="H27" s="2234">
        <f>IF($C27=0,0,Hofdung!M17)</f>
        <v>0</v>
      </c>
      <c r="I27" s="2235">
        <f>Tabelle1!BI46</f>
        <v>0</v>
      </c>
      <c r="J27" s="2235">
        <f>Tabelle1!BN46</f>
        <v>0</v>
      </c>
      <c r="K27" s="2235">
        <f>Tabelle1!BO46</f>
        <v>0</v>
      </c>
      <c r="L27" s="2235">
        <f>Tabelle1!BJ46</f>
        <v>0</v>
      </c>
      <c r="M27" s="2236">
        <f>Tabelle1!BK46</f>
        <v>0</v>
      </c>
      <c r="N27" s="725"/>
      <c r="O27" s="725"/>
      <c r="P27" s="725"/>
      <c r="Q27" s="725"/>
      <c r="R27" s="725"/>
      <c r="S27" s="725"/>
      <c r="T27" s="725"/>
      <c r="U27" s="725"/>
      <c r="V27" s="725"/>
      <c r="W27" s="725"/>
      <c r="X27" s="725"/>
      <c r="Y27" s="725"/>
      <c r="Z27" s="876"/>
      <c r="AA27" s="876"/>
      <c r="AB27" s="876"/>
      <c r="AC27" s="876"/>
    </row>
    <row r="28" spans="1:29" ht="15" customHeight="1">
      <c r="A28" s="876"/>
      <c r="B28" s="2232" t="str">
        <f>Tabelle1!C163</f>
        <v>Mistlager</v>
      </c>
      <c r="C28" s="2233">
        <f>Hofdung!H18</f>
        <v>0</v>
      </c>
      <c r="D28" s="2234">
        <f>IF($C28=0,0,Hofdung!I18)</f>
        <v>0</v>
      </c>
      <c r="E28" s="2234">
        <f>IF($C28=0,0,Hofdung!J18)</f>
        <v>0</v>
      </c>
      <c r="F28" s="2234">
        <f>IF($C28=0,0,Hofdung!K18)</f>
        <v>0</v>
      </c>
      <c r="G28" s="2234">
        <f>IF($C28=0,0,Hofdung!L18)</f>
        <v>0</v>
      </c>
      <c r="H28" s="2234">
        <f>IF($C28=0,0,Hofdung!M18)</f>
        <v>0</v>
      </c>
      <c r="I28" s="2235">
        <f>Tabelle1!BI47</f>
        <v>0</v>
      </c>
      <c r="J28" s="2235">
        <f>Tabelle1!BN47</f>
        <v>0</v>
      </c>
      <c r="K28" s="2235">
        <f>Tabelle1!BO47</f>
        <v>0</v>
      </c>
      <c r="L28" s="2235">
        <f>Tabelle1!BJ47</f>
        <v>0</v>
      </c>
      <c r="M28" s="2236">
        <f>Tabelle1!BK47</f>
        <v>0</v>
      </c>
      <c r="N28" s="725"/>
      <c r="O28" s="725"/>
      <c r="P28" s="725"/>
      <c r="Q28" s="725"/>
      <c r="R28" s="725"/>
      <c r="S28" s="725"/>
      <c r="T28" s="725"/>
      <c r="U28" s="725"/>
      <c r="V28" s="725"/>
      <c r="W28" s="725"/>
      <c r="X28" s="725"/>
      <c r="Y28" s="725"/>
      <c r="Z28" s="876"/>
      <c r="AA28" s="876"/>
      <c r="AB28" s="876"/>
      <c r="AC28" s="876"/>
    </row>
    <row r="29" spans="1:29" ht="15" customHeight="1">
      <c r="A29" s="876"/>
      <c r="B29" s="2237" t="str">
        <f>Tabelle1!C164</f>
        <v>extra Mistlager</v>
      </c>
      <c r="C29" s="2238">
        <f>Hofdung!H19</f>
        <v>0</v>
      </c>
      <c r="D29" s="2239">
        <f>IF($C29=0,0,Hofdung!I19)</f>
        <v>0</v>
      </c>
      <c r="E29" s="2239">
        <f>IF($C29=0,0,Hofdung!J19)</f>
        <v>0</v>
      </c>
      <c r="F29" s="2239">
        <f>IF($C29=0,0,Hofdung!K19)</f>
        <v>0</v>
      </c>
      <c r="G29" s="2239">
        <f>IF($C29=0,0,Hofdung!L19)</f>
        <v>0</v>
      </c>
      <c r="H29" s="2239">
        <f>IF($C29=0,0,Hofdung!M19)</f>
        <v>0</v>
      </c>
      <c r="I29" s="2235">
        <f>Tabelle1!BI48</f>
        <v>0</v>
      </c>
      <c r="J29" s="2235">
        <f>Tabelle1!BN48</f>
        <v>0</v>
      </c>
      <c r="K29" s="2235">
        <f>Tabelle1!BO48</f>
        <v>0</v>
      </c>
      <c r="L29" s="2235">
        <f>Tabelle1!BJ48</f>
        <v>0</v>
      </c>
      <c r="M29" s="2236">
        <f>Tabelle1!BK48</f>
        <v>0</v>
      </c>
      <c r="N29" s="725"/>
      <c r="O29" s="725"/>
      <c r="P29" s="725"/>
      <c r="Q29" s="725"/>
      <c r="R29" s="725"/>
      <c r="S29" s="725"/>
      <c r="T29" s="725"/>
      <c r="U29" s="725"/>
      <c r="V29" s="725"/>
      <c r="W29" s="725"/>
      <c r="X29" s="725"/>
      <c r="Y29" s="725"/>
      <c r="Z29" s="876"/>
      <c r="AA29" s="876"/>
      <c r="AB29" s="876"/>
      <c r="AC29" s="876"/>
    </row>
    <row r="30" spans="1:29" ht="15" customHeight="1">
      <c r="A30" s="876"/>
      <c r="B30" s="1158" t="s">
        <v>120</v>
      </c>
      <c r="C30" s="1159"/>
      <c r="D30" s="1159"/>
      <c r="E30" s="1159"/>
      <c r="F30" s="1159"/>
      <c r="G30" s="1159"/>
      <c r="H30" s="1160"/>
      <c r="I30" s="2240">
        <f>Tabelle1!CG20</f>
        <v>0</v>
      </c>
      <c r="J30" s="2241">
        <f>Tabelle1!CG21</f>
        <v>0</v>
      </c>
      <c r="K30" s="2241">
        <f>Tabelle1!CG22</f>
        <v>0</v>
      </c>
      <c r="L30" s="2241">
        <f>Tabelle1!CS22</f>
        <v>0</v>
      </c>
      <c r="M30" s="2242">
        <f>Tabelle1!CX22</f>
        <v>0</v>
      </c>
      <c r="N30" s="725"/>
      <c r="O30" s="725"/>
      <c r="P30" s="725"/>
      <c r="Q30" s="725"/>
      <c r="R30" s="725"/>
      <c r="S30" s="725"/>
      <c r="T30" s="725"/>
      <c r="U30" s="725"/>
      <c r="V30" s="725"/>
      <c r="W30" s="725"/>
      <c r="X30" s="725"/>
      <c r="Y30" s="725"/>
      <c r="Z30" s="876"/>
      <c r="AA30" s="876"/>
      <c r="AB30" s="876"/>
      <c r="AC30" s="876"/>
    </row>
    <row r="31" spans="1:29" ht="15" customHeight="1">
      <c r="A31" s="876"/>
      <c r="B31" s="725"/>
      <c r="C31" s="725"/>
      <c r="D31" s="725"/>
      <c r="E31" s="725"/>
      <c r="F31" s="725"/>
      <c r="G31" s="725"/>
      <c r="H31" s="725"/>
      <c r="I31" s="725"/>
      <c r="J31" s="725"/>
      <c r="K31" s="725"/>
      <c r="L31" s="725"/>
      <c r="M31" s="725"/>
      <c r="N31" s="725"/>
      <c r="O31" s="725"/>
      <c r="P31" s="725"/>
      <c r="Q31" s="725"/>
      <c r="R31" s="725"/>
      <c r="S31" s="725"/>
      <c r="T31" s="725"/>
      <c r="U31" s="725"/>
      <c r="V31" s="725"/>
      <c r="W31" s="725"/>
      <c r="X31" s="725"/>
      <c r="Y31" s="725"/>
      <c r="Z31" s="876"/>
      <c r="AA31" s="876"/>
      <c r="AB31" s="876"/>
      <c r="AC31" s="876"/>
    </row>
    <row r="32" spans="1:29" ht="15" customHeight="1">
      <c r="A32" s="876"/>
      <c r="B32" s="876"/>
      <c r="C32" s="876"/>
      <c r="D32" s="876"/>
      <c r="E32" s="876"/>
      <c r="F32" s="876"/>
      <c r="G32" s="876"/>
      <c r="H32" s="876"/>
      <c r="I32" s="876"/>
      <c r="J32" s="876"/>
      <c r="K32" s="876"/>
      <c r="L32" s="876"/>
      <c r="M32" s="1146"/>
      <c r="N32" s="1140"/>
      <c r="O32" s="1140"/>
      <c r="P32" s="1140"/>
      <c r="Q32" s="1140"/>
      <c r="R32" s="2243"/>
      <c r="S32" s="2244"/>
      <c r="T32" s="2245"/>
      <c r="U32" s="2245"/>
      <c r="V32" s="2245"/>
      <c r="W32" s="2245"/>
      <c r="X32" s="2245"/>
      <c r="Y32" s="2245"/>
      <c r="Z32" s="876"/>
      <c r="AA32" s="876"/>
      <c r="AB32" s="876"/>
      <c r="AC32" s="876"/>
    </row>
    <row r="33" spans="1:29" ht="15" customHeight="1">
      <c r="A33" s="876"/>
      <c r="B33" s="876"/>
      <c r="C33" s="876"/>
      <c r="D33" s="876"/>
      <c r="E33" s="876"/>
      <c r="F33" s="876"/>
      <c r="G33" s="876"/>
      <c r="H33" s="876"/>
      <c r="I33" s="876"/>
      <c r="J33" s="876"/>
      <c r="K33" s="876"/>
      <c r="L33" s="876"/>
      <c r="M33" s="1141"/>
      <c r="N33" s="1141"/>
      <c r="O33" s="1141"/>
      <c r="P33" s="1141"/>
      <c r="Q33" s="2246"/>
      <c r="R33" s="2193"/>
      <c r="S33" s="2247"/>
      <c r="T33" s="2247"/>
      <c r="U33" s="2248"/>
      <c r="V33" s="2193"/>
      <c r="W33" s="2249"/>
      <c r="X33" s="2249"/>
      <c r="Y33" s="2249"/>
      <c r="Z33" s="876"/>
      <c r="AA33" s="876"/>
      <c r="AB33" s="876"/>
      <c r="AC33" s="876"/>
    </row>
    <row r="34" spans="1:29" ht="15" customHeight="1">
      <c r="A34" s="876"/>
      <c r="B34" s="876"/>
      <c r="C34" s="876"/>
      <c r="D34" s="876"/>
      <c r="E34" s="876"/>
      <c r="F34" s="876"/>
      <c r="G34" s="876"/>
      <c r="H34" s="876"/>
      <c r="I34" s="876"/>
      <c r="J34" s="876"/>
      <c r="K34" s="876"/>
      <c r="L34" s="876"/>
      <c r="M34" s="1141"/>
      <c r="N34" s="1141"/>
      <c r="O34" s="1141"/>
      <c r="P34" s="1141"/>
      <c r="Q34" s="2246"/>
      <c r="R34" s="2193"/>
      <c r="S34" s="2247"/>
      <c r="T34" s="2247"/>
      <c r="U34" s="2248"/>
      <c r="V34" s="2193"/>
      <c r="W34" s="2249"/>
      <c r="X34" s="2249"/>
      <c r="Y34" s="2249"/>
      <c r="Z34" s="876"/>
      <c r="AA34" s="876"/>
      <c r="AB34" s="876"/>
      <c r="AC34" s="876"/>
    </row>
    <row r="35" spans="1:29" ht="15" customHeight="1">
      <c r="A35" s="876"/>
      <c r="B35" s="876"/>
      <c r="C35" s="876"/>
      <c r="D35" s="876"/>
      <c r="E35" s="876"/>
      <c r="F35" s="876"/>
      <c r="G35" s="876"/>
      <c r="H35" s="876"/>
      <c r="I35" s="876"/>
      <c r="J35" s="876"/>
      <c r="K35" s="876"/>
      <c r="L35" s="876"/>
      <c r="M35" s="1142"/>
      <c r="N35" s="1142"/>
      <c r="O35" s="1142"/>
      <c r="P35" s="1144"/>
      <c r="Q35" s="2250"/>
      <c r="R35" s="1145"/>
      <c r="S35" s="2251"/>
      <c r="T35" s="2251"/>
      <c r="U35" s="2248"/>
      <c r="V35" s="2193"/>
      <c r="W35" s="2249"/>
      <c r="X35" s="2249"/>
      <c r="Y35" s="2249"/>
      <c r="Z35" s="876"/>
      <c r="AA35" s="876"/>
      <c r="AB35" s="876"/>
      <c r="AC35" s="876"/>
    </row>
    <row r="36" spans="1:29" ht="15" customHeight="1">
      <c r="A36" s="876"/>
      <c r="B36" s="876"/>
      <c r="C36" s="876"/>
      <c r="D36" s="876"/>
      <c r="E36" s="876"/>
      <c r="F36" s="876"/>
      <c r="G36" s="876"/>
      <c r="H36" s="876"/>
      <c r="I36" s="876"/>
      <c r="J36" s="876"/>
      <c r="K36" s="876"/>
      <c r="L36" s="876"/>
      <c r="M36" s="876"/>
      <c r="N36" s="876"/>
      <c r="O36" s="876"/>
      <c r="P36" s="876"/>
      <c r="Q36" s="876"/>
      <c r="R36" s="876"/>
      <c r="S36" s="876"/>
      <c r="T36" s="876"/>
      <c r="U36" s="876"/>
      <c r="V36" s="876"/>
      <c r="W36" s="876"/>
      <c r="X36" s="876"/>
      <c r="Y36" s="876"/>
      <c r="Z36" s="876"/>
      <c r="AA36" s="876"/>
      <c r="AB36" s="876"/>
      <c r="AC36" s="876"/>
    </row>
    <row r="37" spans="1:29">
      <c r="A37" s="876"/>
      <c r="B37" s="876"/>
      <c r="C37" s="876"/>
      <c r="D37" s="876"/>
      <c r="E37" s="876"/>
      <c r="F37" s="876"/>
      <c r="G37" s="876"/>
      <c r="H37" s="876"/>
      <c r="I37" s="876"/>
      <c r="J37" s="876"/>
      <c r="K37" s="876"/>
      <c r="L37" s="876"/>
      <c r="M37" s="876"/>
      <c r="N37" s="876"/>
      <c r="O37" s="876"/>
      <c r="P37" s="876"/>
      <c r="Q37" s="876"/>
      <c r="R37" s="876"/>
      <c r="S37" s="876"/>
      <c r="T37" s="876"/>
      <c r="U37" s="876"/>
      <c r="V37" s="876"/>
      <c r="W37" s="876"/>
      <c r="X37" s="876"/>
      <c r="Y37" s="876"/>
      <c r="Z37" s="876"/>
      <c r="AA37" s="876"/>
      <c r="AB37" s="876"/>
      <c r="AC37" s="876"/>
    </row>
    <row r="38" spans="1:29">
      <c r="A38" s="876"/>
      <c r="B38" s="876"/>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876"/>
      <c r="AC38" s="876"/>
    </row>
    <row r="39" spans="1:29">
      <c r="A39" s="876"/>
      <c r="B39" s="876"/>
      <c r="C39" s="876"/>
      <c r="D39" s="876"/>
      <c r="E39" s="876"/>
      <c r="F39" s="876"/>
      <c r="G39" s="876"/>
      <c r="H39" s="876"/>
      <c r="I39" s="876"/>
      <c r="J39" s="876"/>
      <c r="K39" s="876"/>
      <c r="L39" s="876"/>
      <c r="M39" s="876"/>
      <c r="N39" s="876"/>
      <c r="O39" s="876"/>
      <c r="P39" s="876"/>
      <c r="Q39" s="876"/>
      <c r="R39" s="876"/>
      <c r="S39" s="876"/>
      <c r="T39" s="876"/>
      <c r="U39" s="876"/>
      <c r="V39" s="876"/>
      <c r="W39" s="876"/>
      <c r="X39" s="876"/>
      <c r="Y39" s="876"/>
      <c r="Z39" s="876"/>
      <c r="AA39" s="876"/>
      <c r="AB39" s="876"/>
      <c r="AC39" s="876"/>
    </row>
    <row r="40" spans="1:29">
      <c r="A40" s="876"/>
      <c r="B40" s="876"/>
      <c r="C40" s="876"/>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c r="AB40" s="876"/>
      <c r="AC40" s="876"/>
    </row>
    <row r="41" spans="1:29">
      <c r="A41" s="876"/>
      <c r="B41" s="876"/>
      <c r="C41" s="876"/>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c r="AB41" s="876"/>
      <c r="AC41" s="876"/>
    </row>
    <row r="42" spans="1:29">
      <c r="A42" s="876"/>
      <c r="B42" s="876"/>
      <c r="C42" s="876"/>
      <c r="D42" s="876"/>
      <c r="E42" s="876"/>
      <c r="F42" s="876"/>
      <c r="G42" s="876"/>
      <c r="H42" s="876"/>
      <c r="I42" s="876"/>
      <c r="J42" s="876"/>
      <c r="K42" s="876"/>
      <c r="L42" s="876"/>
      <c r="M42" s="876"/>
      <c r="N42" s="876"/>
      <c r="O42" s="876"/>
      <c r="P42" s="876"/>
      <c r="Q42" s="876"/>
      <c r="R42" s="876"/>
      <c r="S42" s="876"/>
      <c r="T42" s="876"/>
      <c r="U42" s="876"/>
      <c r="V42" s="876"/>
      <c r="W42" s="876"/>
      <c r="X42" s="876"/>
      <c r="Y42" s="876"/>
      <c r="Z42" s="876"/>
      <c r="AA42" s="876"/>
      <c r="AB42" s="876"/>
      <c r="AC42" s="876"/>
    </row>
    <row r="43" spans="1:29">
      <c r="A43" s="876"/>
      <c r="B43" s="876"/>
      <c r="C43" s="876"/>
      <c r="D43" s="876"/>
      <c r="E43" s="876"/>
      <c r="F43" s="876"/>
      <c r="G43" s="876"/>
      <c r="H43" s="876"/>
      <c r="I43" s="876"/>
      <c r="J43" s="876"/>
      <c r="K43" s="876"/>
      <c r="L43" s="876"/>
      <c r="M43" s="876"/>
      <c r="N43" s="876"/>
      <c r="O43" s="876"/>
      <c r="P43" s="876"/>
      <c r="Q43" s="876"/>
      <c r="R43" s="876"/>
      <c r="S43" s="876"/>
      <c r="T43" s="876"/>
      <c r="U43" s="876"/>
      <c r="V43" s="876"/>
      <c r="W43" s="876"/>
      <c r="X43" s="876"/>
      <c r="Y43" s="876"/>
      <c r="Z43" s="876"/>
      <c r="AA43" s="876"/>
      <c r="AB43" s="876"/>
      <c r="AC43" s="876"/>
    </row>
    <row r="44" spans="1:29">
      <c r="A44" s="876"/>
      <c r="B44" s="876"/>
      <c r="C44" s="876"/>
      <c r="D44" s="876"/>
      <c r="E44" s="876"/>
      <c r="F44" s="876"/>
      <c r="G44" s="876"/>
      <c r="H44" s="876"/>
      <c r="I44" s="876"/>
      <c r="J44" s="876"/>
      <c r="K44" s="876"/>
      <c r="L44" s="876"/>
      <c r="M44" s="876"/>
      <c r="N44" s="876"/>
      <c r="O44" s="876"/>
      <c r="P44" s="876"/>
      <c r="Q44" s="876"/>
      <c r="R44" s="876"/>
      <c r="S44" s="876"/>
      <c r="T44" s="876"/>
      <c r="U44" s="876"/>
      <c r="V44" s="876"/>
      <c r="W44" s="876"/>
      <c r="X44" s="876"/>
      <c r="Y44" s="876"/>
      <c r="Z44" s="876"/>
      <c r="AA44" s="876"/>
      <c r="AB44" s="876"/>
      <c r="AC44" s="876"/>
    </row>
    <row r="45" spans="1:29">
      <c r="A45" s="876"/>
      <c r="B45" s="876"/>
      <c r="C45" s="876"/>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row>
  </sheetData>
  <sheetProtection algorithmName="SHA-512" hashValue="13V2+bw+dDvexOSbhvtOZt2/F21mo7AZnvAntLjDqE++Mmz2SRQS/J2HETqrnTFEGglO+6AVcjqpzbY/Zl9BNg==" saltValue="Tzo3U1wNSiL16CZU5lTUGA==" spinCount="100000" sheet="1" formatCells="0" formatColumns="0" formatRows="0"/>
  <mergeCells count="37">
    <mergeCell ref="AB5:AB9"/>
    <mergeCell ref="AA5:AA9"/>
    <mergeCell ref="B14:H14"/>
    <mergeCell ref="M4:N4"/>
    <mergeCell ref="B5:H5"/>
    <mergeCell ref="B6:H6"/>
    <mergeCell ref="K4:L4"/>
    <mergeCell ref="B12:H12"/>
    <mergeCell ref="B13:H13"/>
    <mergeCell ref="B7:H7"/>
    <mergeCell ref="B8:H8"/>
    <mergeCell ref="B9:H9"/>
    <mergeCell ref="B10:H10"/>
    <mergeCell ref="B11:H11"/>
    <mergeCell ref="B19:H19"/>
    <mergeCell ref="N1:Q1"/>
    <mergeCell ref="R1:T1"/>
    <mergeCell ref="B3:H3"/>
    <mergeCell ref="I3:I4"/>
    <mergeCell ref="J3:J4"/>
    <mergeCell ref="S3:U3"/>
    <mergeCell ref="W3:Y3"/>
    <mergeCell ref="P14:R14"/>
    <mergeCell ref="V14:Y14"/>
    <mergeCell ref="B22:B23"/>
    <mergeCell ref="C22:M22"/>
    <mergeCell ref="P11:Q12"/>
    <mergeCell ref="U11:V12"/>
    <mergeCell ref="P15:R15"/>
    <mergeCell ref="V15:Y15"/>
    <mergeCell ref="P13:R13"/>
    <mergeCell ref="V13:Y13"/>
    <mergeCell ref="P3:R4"/>
    <mergeCell ref="B15:H15"/>
    <mergeCell ref="B16:H16"/>
    <mergeCell ref="B17:H17"/>
    <mergeCell ref="B18:H18"/>
  </mergeCells>
  <conditionalFormatting sqref="S13">
    <cfRule type="cellIs" dxfId="1255" priority="4" stopIfTrue="1" operator="greaterThan">
      <formula>0</formula>
    </cfRule>
  </conditionalFormatting>
  <conditionalFormatting sqref="S14">
    <cfRule type="cellIs" dxfId="1254" priority="5" stopIfTrue="1" operator="greaterThan">
      <formula>0</formula>
    </cfRule>
  </conditionalFormatting>
  <conditionalFormatting sqref="S15">
    <cfRule type="cellIs" dxfId="1253" priority="6" stopIfTrue="1" operator="greaterThan">
      <formula>0</formula>
    </cfRule>
  </conditionalFormatting>
  <conditionalFormatting sqref="U13">
    <cfRule type="cellIs" dxfId="1252" priority="7" stopIfTrue="1" operator="greaterThan">
      <formula>0</formula>
    </cfRule>
  </conditionalFormatting>
  <conditionalFormatting sqref="U14">
    <cfRule type="cellIs" dxfId="1251" priority="8" stopIfTrue="1" operator="greaterThan">
      <formula>0</formula>
    </cfRule>
  </conditionalFormatting>
  <conditionalFormatting sqref="U15">
    <cfRule type="cellIs" dxfId="1250" priority="9" stopIfTrue="1" operator="greaterThan">
      <formula>0</formula>
    </cfRule>
  </conditionalFormatting>
  <conditionalFormatting sqref="V14">
    <cfRule type="cellIs" dxfId="1249" priority="10" stopIfTrue="1" operator="equal">
      <formula>"Zuviel Wirtschaftsdünger!"</formula>
    </cfRule>
  </conditionalFormatting>
  <conditionalFormatting sqref="W33">
    <cfRule type="cellIs" dxfId="1248" priority="11" stopIfTrue="1" operator="equal">
      <formula>"Bestimmungen eingehalten"</formula>
    </cfRule>
    <cfRule type="cellIs" dxfId="1247" priority="12" stopIfTrue="1" operator="equal">
      <formula>"Achtung, für Gülle und Jauche zu gering!"</formula>
    </cfRule>
  </conditionalFormatting>
  <conditionalFormatting sqref="W35">
    <cfRule type="cellIs" dxfId="1246" priority="13" stopIfTrue="1" operator="equal">
      <formula>"Bestimmungen eingehalten"</formula>
    </cfRule>
    <cfRule type="cellIs" dxfId="1245" priority="14" stopIfTrue="1" operator="equal">
      <formula>"Achtung, Lagerraum für Mist zu gering!"</formula>
    </cfRule>
  </conditionalFormatting>
  <conditionalFormatting sqref="V15">
    <cfRule type="cellIs" dxfId="1244" priority="3" stopIfTrue="1" operator="equal">
      <formula>"Wasserrechtsgesetz nicht eingehalten!"</formula>
    </cfRule>
  </conditionalFormatting>
  <dataValidations count="1">
    <dataValidation type="list" operator="equal" allowBlank="1" showErrorMessage="1" sqref="B5:H19">
      <formula1>Tierliste_neu</formula1>
    </dataValidation>
  </dataValidations>
  <hyperlinks>
    <hyperlink ref="R1:T1" location="Hofdung!A1" display="  ►"/>
    <hyperlink ref="AB5:AB7" location="Tabelle3!B35" display="Anmerkung zur Berechnung des Durchschnitts-Tierbestandes"/>
    <hyperlink ref="AB5:AB9" location="Info1!B2" display="Anmerkung zur Berechnung des Durchschnitts-Tierbestandes"/>
    <hyperlink ref="N1:Q1" location="Betrieb!A1" display="◄"/>
  </hyperlinks>
  <pageMargins left="0.51181102362204722" right="0.35433070866141736" top="0.55000000000000004" bottom="0.31496062992125984" header="0.23622047244094491" footer="0.23622047244094491"/>
  <pageSetup paperSize="9" scale="71" orientation="landscape" blackAndWhite="1" r:id="rId1"/>
  <headerFooter>
    <oddHeader>&amp;R&amp;G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5703125" style="10" hidden="1" customWidth="1"/>
    <col min="22" max="22" width="12" style="10" hidden="1" customWidth="1"/>
    <col min="23" max="23" width="17.285156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5.5" customHeight="1" thickBot="1">
      <c r="A1" s="1805" t="s">
        <v>1375</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8.75" customHeight="1">
      <c r="A2" s="818"/>
      <c r="B2" s="1043"/>
      <c r="C2" s="2654" t="str">
        <f>Grünland!C19</f>
        <v>-</v>
      </c>
      <c r="D2" s="2663"/>
      <c r="E2" s="2664"/>
      <c r="F2" s="818"/>
      <c r="G2" s="1800" t="s">
        <v>1002</v>
      </c>
      <c r="H2" s="2635">
        <f>Grünland!D19</f>
        <v>0</v>
      </c>
      <c r="I2" s="2636"/>
      <c r="J2" s="818"/>
      <c r="K2" s="1801" t="s">
        <v>863</v>
      </c>
      <c r="L2" s="1800" t="s">
        <v>679</v>
      </c>
      <c r="M2" s="1040">
        <f>Grünland!H19</f>
        <v>0</v>
      </c>
      <c r="N2" s="2616" t="s">
        <v>1049</v>
      </c>
      <c r="O2" s="2617"/>
      <c r="P2" s="2653">
        <f>Grünland!J19</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8.75" customHeight="1" thickBot="1">
      <c r="A3" s="818"/>
      <c r="B3" s="818"/>
      <c r="C3" s="2628" t="s">
        <v>862</v>
      </c>
      <c r="D3" s="2628"/>
      <c r="E3" s="1051">
        <f>Grünland!G19</f>
        <v>0</v>
      </c>
      <c r="F3" s="818"/>
      <c r="G3" s="1044" t="s">
        <v>1048</v>
      </c>
      <c r="H3" s="2633">
        <f>Grünland!E19</f>
        <v>0</v>
      </c>
      <c r="I3" s="2634"/>
      <c r="J3" s="818"/>
      <c r="K3" s="818"/>
      <c r="L3" s="1050" t="s">
        <v>1050</v>
      </c>
      <c r="M3" s="2618">
        <f>Grünland!F19</f>
        <v>0</v>
      </c>
      <c r="N3" s="2619"/>
      <c r="O3" s="2619"/>
      <c r="P3" s="2619"/>
      <c r="Q3" s="2620"/>
      <c r="R3" s="1859">
        <f>Grünland!AH19</f>
        <v>0</v>
      </c>
      <c r="S3" s="1859">
        <f>Grünland!AI19</f>
        <v>0</v>
      </c>
      <c r="T3" s="1859"/>
      <c r="U3" s="819"/>
      <c r="V3" s="819"/>
      <c r="W3" s="819"/>
      <c r="X3" s="819"/>
      <c r="Y3" s="819"/>
      <c r="Z3" s="819"/>
      <c r="AA3" s="835"/>
      <c r="AB3" s="1852"/>
      <c r="AC3" s="1852"/>
      <c r="AE3" s="1860">
        <f>Grünland!AP19</f>
        <v>0</v>
      </c>
      <c r="AF3" s="1861">
        <f>Grünland!AQ19</f>
        <v>0</v>
      </c>
      <c r="AG3" s="1862">
        <f>(Grünland!AR19+Grünland!AS19)</f>
        <v>0</v>
      </c>
      <c r="AH3" s="1863">
        <f>Grünland!AT19</f>
        <v>0</v>
      </c>
      <c r="AI3" s="1860">
        <f>Grünland!AU19</f>
        <v>0</v>
      </c>
      <c r="AJ3" s="1860">
        <f>Grünland!AV19</f>
        <v>0</v>
      </c>
      <c r="AK3" s="1860">
        <f>Grünland!AW19</f>
        <v>0</v>
      </c>
      <c r="AL3" s="1860">
        <v>0</v>
      </c>
      <c r="AM3" s="1860">
        <v>0</v>
      </c>
    </row>
    <row r="4" spans="1:256" s="760" customFormat="1" ht="18.7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8.7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8.75" customHeight="1">
      <c r="A6" s="818"/>
      <c r="B6" s="818"/>
      <c r="C6" s="2623"/>
      <c r="D6" s="2624"/>
      <c r="E6" s="996">
        <f>Grünland!R19</f>
        <v>0</v>
      </c>
      <c r="F6" s="997">
        <f>Grünland!S19</f>
        <v>0</v>
      </c>
      <c r="G6" s="996">
        <f>Grünland!T19</f>
        <v>0</v>
      </c>
      <c r="H6" s="997">
        <f>Grünland!U19</f>
        <v>0</v>
      </c>
      <c r="I6" s="996">
        <f>Grünland!V19</f>
        <v>0</v>
      </c>
      <c r="J6" s="997">
        <f>Grünland!W19</f>
        <v>0</v>
      </c>
      <c r="K6" s="996">
        <f>Grünland!X19</f>
        <v>0</v>
      </c>
      <c r="L6" s="997">
        <f>Grünland!Y19</f>
        <v>0</v>
      </c>
      <c r="M6" s="996">
        <f>Grünland!Z19</f>
        <v>0</v>
      </c>
      <c r="N6" s="997">
        <f>Grünland!AA19</f>
        <v>0</v>
      </c>
      <c r="O6" s="996">
        <f>Grünland!AB19</f>
        <v>0</v>
      </c>
      <c r="P6" s="997">
        <f>Grünland!AC19</f>
        <v>0</v>
      </c>
      <c r="Q6" s="818"/>
      <c r="R6" s="827">
        <f>Grünland!L19</f>
        <v>0</v>
      </c>
      <c r="S6" s="1111">
        <f>Grünland!M19</f>
        <v>0</v>
      </c>
      <c r="T6" s="819"/>
      <c r="U6" s="2637">
        <f>Grünland!AL19</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8.7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8.7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8.7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8.7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8.7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reduzieren",C13="unverändert"),Grünland!$H$19,S_15!AB13)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Grünland!AH$19</f>
        <v>0</v>
      </c>
      <c r="CO13" s="1882">
        <f>Grünland!AI$19</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reduzieren",C14="unverändert"),Grünland!$H$19,S_15!AB14)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Grünland!AH$19</f>
        <v>0</v>
      </c>
      <c r="CO14" s="1882">
        <f>Grünland!AI$19</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reduzieren",C15="unverändert"),Grünland!$H$19,S_15!AB15)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Grünland!AH$19</f>
        <v>0</v>
      </c>
      <c r="CO15" s="1882">
        <f>Grünland!AI$19</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Summen_GL!F$123</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Summen_GL!G$123</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Summen_GL!H$123</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Summen_GL!I$123</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Summen_GL!J$123</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Summen_GL!K$123</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Summen_GL!L$123</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Summen_GL!M$123</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Summen_GL!N$123</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Summen_GL!O$123</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Summen_GL!P$123</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Summen_GL!Q$123</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OB24+/KFSj1jK2ahZ7pm0uunHYEqkQXHm96nkOO1hJVTHM6VVBER2h7VU7X4W0NxJOjKMVLJ7Q9drxC/9bxkEw==" saltValue="P4FWLxtCrkJnkXqh2/WTfw=="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660" priority="50" stopIfTrue="1">
      <formula>#REF!="nein"</formula>
    </cfRule>
  </conditionalFormatting>
  <conditionalFormatting sqref="B39">
    <cfRule type="expression" dxfId="659" priority="49">
      <formula>#REF!="nein"</formula>
    </cfRule>
  </conditionalFormatting>
  <conditionalFormatting sqref="B41">
    <cfRule type="expression" dxfId="658" priority="48">
      <formula>$B$13=" "</formula>
    </cfRule>
  </conditionalFormatting>
  <conditionalFormatting sqref="A12:S12 A13:R15">
    <cfRule type="expression" dxfId="657" priority="45">
      <formula>IF($G$8="NEIN",1,0)</formula>
    </cfRule>
  </conditionalFormatting>
  <conditionalFormatting sqref="I8:K8">
    <cfRule type="expression" dxfId="656" priority="44">
      <formula>IF($G$8="NEIN",1,0)</formula>
    </cfRule>
  </conditionalFormatting>
  <conditionalFormatting sqref="B15">
    <cfRule type="expression" dxfId="655" priority="51">
      <formula>($B$13+B14)&lt;$H$2</formula>
    </cfRule>
  </conditionalFormatting>
  <conditionalFormatting sqref="C10">
    <cfRule type="expression" dxfId="654" priority="43">
      <formula>IF($G$8="JA",1,0)</formula>
    </cfRule>
  </conditionalFormatting>
  <conditionalFormatting sqref="A14 A15:R15">
    <cfRule type="expression" dxfId="653" priority="39">
      <formula>IF($K$8="",1,0)</formula>
    </cfRule>
    <cfRule type="expression" dxfId="652" priority="42">
      <formula>IF($K$8="NEIN",1,0)</formula>
    </cfRule>
  </conditionalFormatting>
  <conditionalFormatting sqref="B14:R14">
    <cfRule type="expression" dxfId="651" priority="38">
      <formula>IF($K$8="",1,0)</formula>
    </cfRule>
    <cfRule type="expression" dxfId="650" priority="41">
      <formula>IF($K$8="NEIN",1,0)</formula>
    </cfRule>
  </conditionalFormatting>
  <conditionalFormatting sqref="A10:S12 A13:R15">
    <cfRule type="expression" dxfId="649" priority="40">
      <formula>IF($G$8="",1,0)</formula>
    </cfRule>
  </conditionalFormatting>
  <conditionalFormatting sqref="B13:R13">
    <cfRule type="expression" dxfId="648" priority="37">
      <formula>IF($K$8="JA",1,0)</formula>
    </cfRule>
  </conditionalFormatting>
  <conditionalFormatting sqref="B14">
    <cfRule type="expression" dxfId="647" priority="35">
      <formula>IF($K$8="",1,0)</formula>
    </cfRule>
    <cfRule type="expression" dxfId="646" priority="36">
      <formula>IF($K$8="NEIN",1,0)</formula>
    </cfRule>
  </conditionalFormatting>
  <conditionalFormatting sqref="S14">
    <cfRule type="expression" dxfId="645" priority="34" stopIfTrue="1">
      <formula>#REF!="nein"</formula>
    </cfRule>
  </conditionalFormatting>
  <conditionalFormatting sqref="S15">
    <cfRule type="expression" dxfId="644" priority="33" stopIfTrue="1">
      <formula>#REF!="nein"</formula>
    </cfRule>
  </conditionalFormatting>
  <conditionalFormatting sqref="S13:S15">
    <cfRule type="expression" dxfId="643" priority="32">
      <formula>IF($G$8="NEIN",1,0)</formula>
    </cfRule>
  </conditionalFormatting>
  <conditionalFormatting sqref="S15">
    <cfRule type="expression" dxfId="642" priority="28">
      <formula>IF($K$8="",1,0)</formula>
    </cfRule>
    <cfRule type="expression" dxfId="641" priority="31">
      <formula>IF($K$8="NEIN",1,0)</formula>
    </cfRule>
  </conditionalFormatting>
  <conditionalFormatting sqref="S14">
    <cfRule type="expression" dxfId="640" priority="27">
      <formula>IF($K$8="",1,0)</formula>
    </cfRule>
    <cfRule type="expression" dxfId="639" priority="30">
      <formula>IF($K$8="NEIN",1,0)</formula>
    </cfRule>
  </conditionalFormatting>
  <conditionalFormatting sqref="S13:S15">
    <cfRule type="expression" dxfId="638" priority="29">
      <formula>IF($G$8="",1,0)</formula>
    </cfRule>
  </conditionalFormatting>
  <conditionalFormatting sqref="S13">
    <cfRule type="expression" dxfId="637" priority="26">
      <formula>IF($K$8="JA",1,0)</formula>
    </cfRule>
  </conditionalFormatting>
  <conditionalFormatting sqref="S14">
    <cfRule type="expression" dxfId="636" priority="24">
      <formula>IF($K$8="JA",1,0)</formula>
    </cfRule>
  </conditionalFormatting>
  <conditionalFormatting sqref="S15">
    <cfRule type="expression" dxfId="635" priority="22">
      <formula>IF($K$8="JA",1,0)</formula>
    </cfRule>
  </conditionalFormatting>
  <conditionalFormatting sqref="U13:W13">
    <cfRule type="expression" dxfId="634" priority="18">
      <formula>IF($G$8="NEIN",1,0)</formula>
    </cfRule>
    <cfRule type="expression" dxfId="633" priority="19">
      <formula>IF($G$8="",1,0)</formula>
    </cfRule>
    <cfRule type="expression" dxfId="632" priority="20">
      <formula>IF($K$8="JA",1,0)</formula>
    </cfRule>
  </conditionalFormatting>
  <conditionalFormatting sqref="U11:W13">
    <cfRule type="expression" dxfId="631" priority="17">
      <formula>IF($G$8="",1,0)</formula>
    </cfRule>
  </conditionalFormatting>
  <conditionalFormatting sqref="U11:W13">
    <cfRule type="expression" dxfId="630" priority="16">
      <formula>IF($G$8="NEIN",1,0)</formula>
    </cfRule>
  </conditionalFormatting>
  <conditionalFormatting sqref="U14:V15">
    <cfRule type="expression" dxfId="629" priority="7">
      <formula>IF($G$8="NEIN",1,0)</formula>
    </cfRule>
    <cfRule type="expression" dxfId="628" priority="8">
      <formula>IF($K$8="NEIN",1,0)</formula>
    </cfRule>
    <cfRule type="expression" dxfId="627" priority="9">
      <formula>IF($G$8="",1,0)</formula>
    </cfRule>
    <cfRule type="expression" dxfId="626" priority="10">
      <formula>IF($K$8="",1,0)</formula>
    </cfRule>
  </conditionalFormatting>
  <conditionalFormatting sqref="U14:V15">
    <cfRule type="expression" dxfId="625" priority="6">
      <formula>IF($G$8="",1,0)</formula>
    </cfRule>
  </conditionalFormatting>
  <conditionalFormatting sqref="W14:W15">
    <cfRule type="expression" dxfId="624" priority="2">
      <formula>IF($G$8="NEIN",1,0)</formula>
    </cfRule>
    <cfRule type="expression" dxfId="623" priority="3">
      <formula>IF($K$8="NEIN",1,0)</formula>
    </cfRule>
    <cfRule type="expression" dxfId="622" priority="4">
      <formula>IF($G$8="",1,0)</formula>
    </cfRule>
    <cfRule type="expression" dxfId="621" priority="5">
      <formula>IF($K$8="",1,0)</formula>
    </cfRule>
  </conditionalFormatting>
  <conditionalFormatting sqref="W14:W15">
    <cfRule type="expression" dxfId="620" priority="1">
      <formula>IF($G$8="",1,0)</formula>
    </cfRule>
  </conditionalFormatting>
  <dataValidations count="5">
    <dataValidation type="list" allowBlank="1" showInputMessage="1" showErrorMessage="1" sqref="K13:K15 M13:M15 O13:O15 E13:E15 G13:G15 I13:I15 I37 G37 E37 G39 M37 K37 K41 K39 M41 M39 I41 I39 E41 E39 G41">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S_14!F13" display="◄"/>
    <hyperlink ref="R1:S1" location="S_16!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C57CEBC0-9336-46D9-B1C1-A9A7F140C14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0182350D-2273-4877-B2F6-107A5CABFCEA}">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DDB5D7A7-F05C-400B-9F33-88C35D86696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D7568C40-0FA5-44A6-8343-34C66BE5E003}">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5703125" style="10" hidden="1" customWidth="1"/>
    <col min="22" max="22" width="12" style="10" hidden="1" customWidth="1"/>
    <col min="23" max="23" width="17.5703125" style="10" hidden="1" customWidth="1"/>
    <col min="24" max="24" width="13.5703125" style="10" customWidth="1"/>
    <col min="25" max="26" width="17.570312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1376</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t="str">
        <f>Grünland!C20</f>
        <v>-</v>
      </c>
      <c r="D2" s="2663"/>
      <c r="E2" s="2664"/>
      <c r="F2" s="818"/>
      <c r="G2" s="1800" t="s">
        <v>1002</v>
      </c>
      <c r="H2" s="2635">
        <f>Grünland!D20</f>
        <v>0</v>
      </c>
      <c r="I2" s="2636"/>
      <c r="J2" s="818"/>
      <c r="K2" s="1801" t="s">
        <v>863</v>
      </c>
      <c r="L2" s="1800" t="s">
        <v>679</v>
      </c>
      <c r="M2" s="1040">
        <f>Grünland!H20</f>
        <v>0</v>
      </c>
      <c r="N2" s="2616" t="s">
        <v>1049</v>
      </c>
      <c r="O2" s="2617"/>
      <c r="P2" s="2653">
        <f>Grünland!J20</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Grünland!G20</f>
        <v>0</v>
      </c>
      <c r="F3" s="818"/>
      <c r="G3" s="1044" t="s">
        <v>1048</v>
      </c>
      <c r="H3" s="2633">
        <f>Grünland!E20</f>
        <v>0</v>
      </c>
      <c r="I3" s="2634"/>
      <c r="J3" s="818"/>
      <c r="K3" s="818"/>
      <c r="L3" s="1050" t="s">
        <v>1050</v>
      </c>
      <c r="M3" s="2618">
        <f>Grünland!F20</f>
        <v>0</v>
      </c>
      <c r="N3" s="2619"/>
      <c r="O3" s="2619"/>
      <c r="P3" s="2619"/>
      <c r="Q3" s="2620"/>
      <c r="R3" s="1859">
        <f>Grünland!AH20</f>
        <v>0</v>
      </c>
      <c r="S3" s="1859">
        <f>Grünland!AI20</f>
        <v>0</v>
      </c>
      <c r="T3" s="1859"/>
      <c r="U3" s="819"/>
      <c r="V3" s="819"/>
      <c r="W3" s="819"/>
      <c r="X3" s="819"/>
      <c r="Y3" s="819"/>
      <c r="Z3" s="819"/>
      <c r="AA3" s="835"/>
      <c r="AB3" s="1852"/>
      <c r="AC3" s="1852"/>
      <c r="AE3" s="1860">
        <f>Grünland!AP20</f>
        <v>0</v>
      </c>
      <c r="AF3" s="1861">
        <f>Grünland!AQ20</f>
        <v>0</v>
      </c>
      <c r="AG3" s="1862">
        <f>(Grünland!AR20+Grünland!AS20)</f>
        <v>0</v>
      </c>
      <c r="AH3" s="1863">
        <f>Grünland!AT20</f>
        <v>0</v>
      </c>
      <c r="AI3" s="1860">
        <f>Grünland!AU20</f>
        <v>0</v>
      </c>
      <c r="AJ3" s="1860">
        <f>Grünland!AV20</f>
        <v>0</v>
      </c>
      <c r="AK3" s="1860">
        <f>Grünland!AW20</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Grünland!R20</f>
        <v>0</v>
      </c>
      <c r="F6" s="997">
        <f>Grünland!S20</f>
        <v>0</v>
      </c>
      <c r="G6" s="996">
        <f>Grünland!T20</f>
        <v>0</v>
      </c>
      <c r="H6" s="997">
        <f>Grünland!U20</f>
        <v>0</v>
      </c>
      <c r="I6" s="996">
        <f>Grünland!V20</f>
        <v>0</v>
      </c>
      <c r="J6" s="997">
        <f>Grünland!W20</f>
        <v>0</v>
      </c>
      <c r="K6" s="996">
        <f>Grünland!X20</f>
        <v>0</v>
      </c>
      <c r="L6" s="997">
        <f>Grünland!Y20</f>
        <v>0</v>
      </c>
      <c r="M6" s="996">
        <f>Grünland!Z20</f>
        <v>0</v>
      </c>
      <c r="N6" s="997">
        <f>Grünland!AA20</f>
        <v>0</v>
      </c>
      <c r="O6" s="996">
        <f>Grünland!AB20</f>
        <v>0</v>
      </c>
      <c r="P6" s="997">
        <f>Grünland!AC20</f>
        <v>0</v>
      </c>
      <c r="Q6" s="818"/>
      <c r="R6" s="827">
        <f>Grünland!L20</f>
        <v>0</v>
      </c>
      <c r="S6" s="1111">
        <f>Grünland!M20</f>
        <v>0</v>
      </c>
      <c r="T6" s="819"/>
      <c r="U6" s="2637">
        <f>Grünland!AL20</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reduzieren",C13="unverändert"),Grünland!$H$20,S_16!AB13)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Grünland!AH$20</f>
        <v>0</v>
      </c>
      <c r="CO13" s="1882">
        <f>Grünland!AI$20</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reduzieren",C14="unverändert"),Grünland!$H$20,S_16!AB14)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Grünland!AH$20</f>
        <v>0</v>
      </c>
      <c r="CO14" s="1882">
        <f>Grünland!AI$20</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reduzieren",C15="unverändert"),Grünland!$H$20,S_16!AB15)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Grünland!AH$20</f>
        <v>0</v>
      </c>
      <c r="CO15" s="1882">
        <f>Grünland!AI$20</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Summen_GL!F$124</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Summen_GL!G$124</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Summen_GL!H$124</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Summen_GL!I$124</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Summen_GL!J$124</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Summen_GL!K$124</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Summen_GL!L$124</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Summen_GL!M$124</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Summen_GL!N$124</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Summen_GL!O$124</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Summen_GL!P$124</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Summen_GL!Q$124</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Y8BEZ7TWwNbZOWJvjOrLpW+Z1xfQR4L/3vrcoyn/peE3z1PKxok7RfWFV2YVlFvKoA8tbblgMqKX3ayjdTrDsA==" saltValue="M94EmGDHzikB/pNXf/BnFw=="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619" priority="50" stopIfTrue="1">
      <formula>#REF!="nein"</formula>
    </cfRule>
  </conditionalFormatting>
  <conditionalFormatting sqref="B39">
    <cfRule type="expression" dxfId="618" priority="49">
      <formula>#REF!="nein"</formula>
    </cfRule>
  </conditionalFormatting>
  <conditionalFormatting sqref="B41">
    <cfRule type="expression" dxfId="617" priority="48">
      <formula>$B$13=" "</formula>
    </cfRule>
  </conditionalFormatting>
  <conditionalFormatting sqref="A12:S12 A13:R15">
    <cfRule type="expression" dxfId="616" priority="45">
      <formula>IF($G$8="NEIN",1,0)</formula>
    </cfRule>
  </conditionalFormatting>
  <conditionalFormatting sqref="I8:K8">
    <cfRule type="expression" dxfId="615" priority="44">
      <formula>IF($G$8="NEIN",1,0)</formula>
    </cfRule>
  </conditionalFormatting>
  <conditionalFormatting sqref="B15">
    <cfRule type="expression" dxfId="614" priority="51">
      <formula>($B$13+B14)&lt;$H$2</formula>
    </cfRule>
  </conditionalFormatting>
  <conditionalFormatting sqref="C10">
    <cfRule type="expression" dxfId="613" priority="43">
      <formula>IF($G$8="JA",1,0)</formula>
    </cfRule>
  </conditionalFormatting>
  <conditionalFormatting sqref="A14 A15:R15">
    <cfRule type="expression" dxfId="612" priority="39">
      <formula>IF($K$8="",1,0)</formula>
    </cfRule>
    <cfRule type="expression" dxfId="611" priority="42">
      <formula>IF($K$8="NEIN",1,0)</formula>
    </cfRule>
  </conditionalFormatting>
  <conditionalFormatting sqref="B14:R14">
    <cfRule type="expression" dxfId="610" priority="38">
      <formula>IF($K$8="",1,0)</formula>
    </cfRule>
    <cfRule type="expression" dxfId="609" priority="41">
      <formula>IF($K$8="NEIN",1,0)</formula>
    </cfRule>
  </conditionalFormatting>
  <conditionalFormatting sqref="A10:S12 A13:R15">
    <cfRule type="expression" dxfId="608" priority="40">
      <formula>IF($G$8="",1,0)</formula>
    </cfRule>
  </conditionalFormatting>
  <conditionalFormatting sqref="B13:R13">
    <cfRule type="expression" dxfId="607" priority="37">
      <formula>IF($K$8="JA",1,0)</formula>
    </cfRule>
  </conditionalFormatting>
  <conditionalFormatting sqref="B14">
    <cfRule type="expression" dxfId="606" priority="35">
      <formula>IF($K$8="",1,0)</formula>
    </cfRule>
    <cfRule type="expression" dxfId="605" priority="36">
      <formula>IF($K$8="NEIN",1,0)</formula>
    </cfRule>
  </conditionalFormatting>
  <conditionalFormatting sqref="S14">
    <cfRule type="expression" dxfId="604" priority="34" stopIfTrue="1">
      <formula>#REF!="nein"</formula>
    </cfRule>
  </conditionalFormatting>
  <conditionalFormatting sqref="S15">
    <cfRule type="expression" dxfId="603" priority="33" stopIfTrue="1">
      <formula>#REF!="nein"</formula>
    </cfRule>
  </conditionalFormatting>
  <conditionalFormatting sqref="S13:S15">
    <cfRule type="expression" dxfId="602" priority="32">
      <formula>IF($G$8="NEIN",1,0)</formula>
    </cfRule>
  </conditionalFormatting>
  <conditionalFormatting sqref="S15">
    <cfRule type="expression" dxfId="601" priority="28">
      <formula>IF($K$8="",1,0)</formula>
    </cfRule>
    <cfRule type="expression" dxfId="600" priority="31">
      <formula>IF($K$8="NEIN",1,0)</formula>
    </cfRule>
  </conditionalFormatting>
  <conditionalFormatting sqref="S14">
    <cfRule type="expression" dxfId="599" priority="27">
      <formula>IF($K$8="",1,0)</formula>
    </cfRule>
    <cfRule type="expression" dxfId="598" priority="30">
      <formula>IF($K$8="NEIN",1,0)</formula>
    </cfRule>
  </conditionalFormatting>
  <conditionalFormatting sqref="S13:S15">
    <cfRule type="expression" dxfId="597" priority="29">
      <formula>IF($G$8="",1,0)</formula>
    </cfRule>
  </conditionalFormatting>
  <conditionalFormatting sqref="S13">
    <cfRule type="expression" dxfId="596" priority="26">
      <formula>IF($K$8="JA",1,0)</formula>
    </cfRule>
  </conditionalFormatting>
  <conditionalFormatting sqref="S14">
    <cfRule type="expression" dxfId="595" priority="24">
      <formula>IF($K$8="JA",1,0)</formula>
    </cfRule>
  </conditionalFormatting>
  <conditionalFormatting sqref="S15">
    <cfRule type="expression" dxfId="594" priority="22">
      <formula>IF($K$8="JA",1,0)</formula>
    </cfRule>
  </conditionalFormatting>
  <conditionalFormatting sqref="U13:W13">
    <cfRule type="expression" dxfId="593" priority="18">
      <formula>IF($G$8="NEIN",1,0)</formula>
    </cfRule>
    <cfRule type="expression" dxfId="592" priority="19">
      <formula>IF($G$8="",1,0)</formula>
    </cfRule>
    <cfRule type="expression" dxfId="591" priority="20">
      <formula>IF($K$8="JA",1,0)</formula>
    </cfRule>
  </conditionalFormatting>
  <conditionalFormatting sqref="U11:W13">
    <cfRule type="expression" dxfId="590" priority="17">
      <formula>IF($G$8="",1,0)</formula>
    </cfRule>
  </conditionalFormatting>
  <conditionalFormatting sqref="U11:W13">
    <cfRule type="expression" dxfId="589" priority="16">
      <formula>IF($G$8="NEIN",1,0)</formula>
    </cfRule>
  </conditionalFormatting>
  <conditionalFormatting sqref="U14:V15">
    <cfRule type="expression" dxfId="588" priority="7">
      <formula>IF($G$8="NEIN",1,0)</formula>
    </cfRule>
    <cfRule type="expression" dxfId="587" priority="8">
      <formula>IF($K$8="NEIN",1,0)</formula>
    </cfRule>
    <cfRule type="expression" dxfId="586" priority="9">
      <formula>IF($G$8="",1,0)</formula>
    </cfRule>
    <cfRule type="expression" dxfId="585" priority="10">
      <formula>IF($K$8="",1,0)</formula>
    </cfRule>
  </conditionalFormatting>
  <conditionalFormatting sqref="U14:V15">
    <cfRule type="expression" dxfId="584" priority="6">
      <formula>IF($G$8="",1,0)</formula>
    </cfRule>
  </conditionalFormatting>
  <conditionalFormatting sqref="W14:W15">
    <cfRule type="expression" dxfId="583" priority="2">
      <formula>IF($G$8="NEIN",1,0)</formula>
    </cfRule>
    <cfRule type="expression" dxfId="582" priority="3">
      <formula>IF($K$8="NEIN",1,0)</formula>
    </cfRule>
    <cfRule type="expression" dxfId="581" priority="4">
      <formula>IF($G$8="",1,0)</formula>
    </cfRule>
    <cfRule type="expression" dxfId="580" priority="5">
      <formula>IF($K$8="",1,0)</formula>
    </cfRule>
  </conditionalFormatting>
  <conditionalFormatting sqref="W14:W15">
    <cfRule type="expression" dxfId="579" priority="1">
      <formula>IF($G$8="",1,0)</formula>
    </cfRule>
  </conditionalFormatting>
  <dataValidations count="5">
    <dataValidation type="list" allowBlank="1" showInputMessage="1" showErrorMessage="1" sqref="K13:K15 M13:M15 O13:O15 E13:E15 G13:G15 I13:I15 I37 G37 E37 G39 M37 K37 K41 K39 M41 M39 I41 I39 E41 E39 G41">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S_15!F13" display="◄"/>
    <hyperlink ref="R1:S1" location="S_17!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0CC06B58-DCF4-43E9-B605-BA692C36C3C6}">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5E002246-BA4B-4561-815A-39EA0147E6C0}">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C40610F7-A77A-496D-977A-6866B1E1C72D}">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C25FC8FC-26C6-40E7-87A0-583AB49A6B6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4"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1377</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t="str">
        <f>Grünland!C21</f>
        <v>-</v>
      </c>
      <c r="D2" s="2663"/>
      <c r="E2" s="2664"/>
      <c r="F2" s="818"/>
      <c r="G2" s="1800" t="s">
        <v>1002</v>
      </c>
      <c r="H2" s="2635">
        <f>Grünland!D21</f>
        <v>0</v>
      </c>
      <c r="I2" s="2636"/>
      <c r="J2" s="818"/>
      <c r="K2" s="1801" t="s">
        <v>863</v>
      </c>
      <c r="L2" s="1800" t="s">
        <v>679</v>
      </c>
      <c r="M2" s="1040">
        <f>Grünland!H21</f>
        <v>0</v>
      </c>
      <c r="N2" s="2616" t="s">
        <v>1049</v>
      </c>
      <c r="O2" s="2617"/>
      <c r="P2" s="2653">
        <f>Grünland!J21</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Grünland!G21</f>
        <v>0</v>
      </c>
      <c r="F3" s="818"/>
      <c r="G3" s="1044" t="s">
        <v>1048</v>
      </c>
      <c r="H3" s="2633">
        <f>Grünland!E21</f>
        <v>0</v>
      </c>
      <c r="I3" s="2634"/>
      <c r="J3" s="818"/>
      <c r="K3" s="818"/>
      <c r="L3" s="1050" t="s">
        <v>1050</v>
      </c>
      <c r="M3" s="2618">
        <f>Grünland!F21</f>
        <v>0</v>
      </c>
      <c r="N3" s="2619"/>
      <c r="O3" s="2619"/>
      <c r="P3" s="2619"/>
      <c r="Q3" s="2620"/>
      <c r="R3" s="1859">
        <f>Grünland!AH21</f>
        <v>0</v>
      </c>
      <c r="S3" s="1859">
        <f>Grünland!AI21</f>
        <v>0</v>
      </c>
      <c r="T3" s="1859"/>
      <c r="U3" s="819"/>
      <c r="V3" s="819"/>
      <c r="W3" s="819"/>
      <c r="X3" s="819"/>
      <c r="Y3" s="819"/>
      <c r="Z3" s="819"/>
      <c r="AA3" s="835"/>
      <c r="AB3" s="1852"/>
      <c r="AC3" s="1852"/>
      <c r="AE3" s="1860">
        <f>Grünland!AP21</f>
        <v>0</v>
      </c>
      <c r="AF3" s="1861">
        <f>Grünland!AQ21</f>
        <v>0</v>
      </c>
      <c r="AG3" s="1862">
        <f>(Grünland!AR21+Grünland!AS21)</f>
        <v>0</v>
      </c>
      <c r="AH3" s="1863">
        <f>Grünland!AT21</f>
        <v>0</v>
      </c>
      <c r="AI3" s="1860">
        <f>Grünland!AU21</f>
        <v>0</v>
      </c>
      <c r="AJ3" s="1860">
        <f>Grünland!AV21</f>
        <v>0</v>
      </c>
      <c r="AK3" s="1860">
        <f>Grünland!AW21</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Grünland!R21</f>
        <v>0</v>
      </c>
      <c r="F6" s="997">
        <f>Grünland!S21</f>
        <v>0</v>
      </c>
      <c r="G6" s="996">
        <f>Grünland!T21</f>
        <v>0</v>
      </c>
      <c r="H6" s="997">
        <f>Grünland!U21</f>
        <v>0</v>
      </c>
      <c r="I6" s="996">
        <f>Grünland!V21</f>
        <v>0</v>
      </c>
      <c r="J6" s="997">
        <f>Grünland!W21</f>
        <v>0</v>
      </c>
      <c r="K6" s="996">
        <f>Grünland!X21</f>
        <v>0</v>
      </c>
      <c r="L6" s="997">
        <f>Grünland!Y21</f>
        <v>0</v>
      </c>
      <c r="M6" s="996">
        <f>Grünland!Z21</f>
        <v>0</v>
      </c>
      <c r="N6" s="997">
        <f>Grünland!AA21</f>
        <v>0</v>
      </c>
      <c r="O6" s="996">
        <f>Grünland!AB21</f>
        <v>0</v>
      </c>
      <c r="P6" s="997">
        <f>Grünland!AC21</f>
        <v>0</v>
      </c>
      <c r="Q6" s="818"/>
      <c r="R6" s="827">
        <f>Grünland!L21</f>
        <v>0</v>
      </c>
      <c r="S6" s="1111">
        <f>Grünland!M21</f>
        <v>0</v>
      </c>
      <c r="T6" s="819"/>
      <c r="U6" s="2637">
        <f>Grünland!AL21</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reduzieren",C13="unverändert"),Grünland!$H$21,S_17!AB13)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Grünland!AH$21</f>
        <v>0</v>
      </c>
      <c r="CO13" s="1882">
        <f>Grünland!AI$21</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reduzieren",C14="unverändert"),Grünland!$H$21,S_17!AB14)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Grünland!AH$21</f>
        <v>0</v>
      </c>
      <c r="CO14" s="1882">
        <f>Grünland!AI$21</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reduzieren",C15="unverändert"),Grünland!$H$21,S_17!AB15)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Grünland!AH$21</f>
        <v>0</v>
      </c>
      <c r="CO15" s="1882">
        <f>Grünland!AI$21</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Summen_GL!F$125</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Summen_GL!G$125</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Summen_GL!H$125</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Summen_GL!I$125</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Summen_GL!J$125</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Summen_GL!K$125</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Summen_GL!L$125</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Summen_GL!M$125</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Summen_GL!N$125</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Summen_GL!O$125</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Summen_GL!P$125</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Summen_GL!Q$125</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v3qv/Ryzo458Fc9ceoCH17VvJguxo3evQh0EjB9xPx0fMGo/j6xEDEgjfrBMp/jAheyVOJ37zUtySymnhvjS7Q==" saltValue="lhoTYVYwV7XKLQsekqy/wA=="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578" priority="50" stopIfTrue="1">
      <formula>#REF!="nein"</formula>
    </cfRule>
  </conditionalFormatting>
  <conditionalFormatting sqref="B39">
    <cfRule type="expression" dxfId="577" priority="49">
      <formula>#REF!="nein"</formula>
    </cfRule>
  </conditionalFormatting>
  <conditionalFormatting sqref="B41">
    <cfRule type="expression" dxfId="576" priority="48">
      <formula>$B$13=" "</formula>
    </cfRule>
  </conditionalFormatting>
  <conditionalFormatting sqref="A12:S12 A13:R15">
    <cfRule type="expression" dxfId="575" priority="45">
      <formula>IF($G$8="NEIN",1,0)</formula>
    </cfRule>
  </conditionalFormatting>
  <conditionalFormatting sqref="I8:K8">
    <cfRule type="expression" dxfId="574" priority="44">
      <formula>IF($G$8="NEIN",1,0)</formula>
    </cfRule>
  </conditionalFormatting>
  <conditionalFormatting sqref="B15">
    <cfRule type="expression" dxfId="573" priority="51">
      <formula>($B$13+B14)&lt;$H$2</formula>
    </cfRule>
  </conditionalFormatting>
  <conditionalFormatting sqref="C10">
    <cfRule type="expression" dxfId="572" priority="43">
      <formula>IF($G$8="JA",1,0)</formula>
    </cfRule>
  </conditionalFormatting>
  <conditionalFormatting sqref="A14 A15:R15">
    <cfRule type="expression" dxfId="571" priority="39">
      <formula>IF($K$8="",1,0)</formula>
    </cfRule>
    <cfRule type="expression" dxfId="570" priority="42">
      <formula>IF($K$8="NEIN",1,0)</formula>
    </cfRule>
  </conditionalFormatting>
  <conditionalFormatting sqref="B14:R14">
    <cfRule type="expression" dxfId="569" priority="38">
      <formula>IF($K$8="",1,0)</formula>
    </cfRule>
    <cfRule type="expression" dxfId="568" priority="41">
      <formula>IF($K$8="NEIN",1,0)</formula>
    </cfRule>
  </conditionalFormatting>
  <conditionalFormatting sqref="A10:S12 A13:R15">
    <cfRule type="expression" dxfId="567" priority="40">
      <formula>IF($G$8="",1,0)</formula>
    </cfRule>
  </conditionalFormatting>
  <conditionalFormatting sqref="B13:R13">
    <cfRule type="expression" dxfId="566" priority="37">
      <formula>IF($K$8="JA",1,0)</formula>
    </cfRule>
  </conditionalFormatting>
  <conditionalFormatting sqref="B14">
    <cfRule type="expression" dxfId="565" priority="35">
      <formula>IF($K$8="",1,0)</formula>
    </cfRule>
    <cfRule type="expression" dxfId="564" priority="36">
      <formula>IF($K$8="NEIN",1,0)</formula>
    </cfRule>
  </conditionalFormatting>
  <conditionalFormatting sqref="S14">
    <cfRule type="expression" dxfId="563" priority="34" stopIfTrue="1">
      <formula>#REF!="nein"</formula>
    </cfRule>
  </conditionalFormatting>
  <conditionalFormatting sqref="S15">
    <cfRule type="expression" dxfId="562" priority="33" stopIfTrue="1">
      <formula>#REF!="nein"</formula>
    </cfRule>
  </conditionalFormatting>
  <conditionalFormatting sqref="S13:S15">
    <cfRule type="expression" dxfId="561" priority="32">
      <formula>IF($G$8="NEIN",1,0)</formula>
    </cfRule>
  </conditionalFormatting>
  <conditionalFormatting sqref="S15">
    <cfRule type="expression" dxfId="560" priority="28">
      <formula>IF($K$8="",1,0)</formula>
    </cfRule>
    <cfRule type="expression" dxfId="559" priority="31">
      <formula>IF($K$8="NEIN",1,0)</formula>
    </cfRule>
  </conditionalFormatting>
  <conditionalFormatting sqref="S14">
    <cfRule type="expression" dxfId="558" priority="27">
      <formula>IF($K$8="",1,0)</formula>
    </cfRule>
    <cfRule type="expression" dxfId="557" priority="30">
      <formula>IF($K$8="NEIN",1,0)</formula>
    </cfRule>
  </conditionalFormatting>
  <conditionalFormatting sqref="S13:S15">
    <cfRule type="expression" dxfId="556" priority="29">
      <formula>IF($G$8="",1,0)</formula>
    </cfRule>
  </conditionalFormatting>
  <conditionalFormatting sqref="S13">
    <cfRule type="expression" dxfId="555" priority="26">
      <formula>IF($K$8="JA",1,0)</formula>
    </cfRule>
  </conditionalFormatting>
  <conditionalFormatting sqref="S14">
    <cfRule type="expression" dxfId="554" priority="24">
      <formula>IF($K$8="JA",1,0)</formula>
    </cfRule>
  </conditionalFormatting>
  <conditionalFormatting sqref="S15">
    <cfRule type="expression" dxfId="553" priority="22">
      <formula>IF($K$8="JA",1,0)</formula>
    </cfRule>
  </conditionalFormatting>
  <conditionalFormatting sqref="U13:W13">
    <cfRule type="expression" dxfId="552" priority="18">
      <formula>IF($G$8="NEIN",1,0)</formula>
    </cfRule>
    <cfRule type="expression" dxfId="551" priority="19">
      <formula>IF($G$8="",1,0)</formula>
    </cfRule>
    <cfRule type="expression" dxfId="550" priority="20">
      <formula>IF($K$8="JA",1,0)</formula>
    </cfRule>
  </conditionalFormatting>
  <conditionalFormatting sqref="U11:W13">
    <cfRule type="expression" dxfId="549" priority="17">
      <formula>IF($G$8="",1,0)</formula>
    </cfRule>
  </conditionalFormatting>
  <conditionalFormatting sqref="U11:W13">
    <cfRule type="expression" dxfId="548" priority="16">
      <formula>IF($G$8="NEIN",1,0)</formula>
    </cfRule>
  </conditionalFormatting>
  <conditionalFormatting sqref="U14:V15">
    <cfRule type="expression" dxfId="547" priority="7">
      <formula>IF($G$8="NEIN",1,0)</formula>
    </cfRule>
    <cfRule type="expression" dxfId="546" priority="8">
      <formula>IF($K$8="NEIN",1,0)</formula>
    </cfRule>
    <cfRule type="expression" dxfId="545" priority="9">
      <formula>IF($G$8="",1,0)</formula>
    </cfRule>
    <cfRule type="expression" dxfId="544" priority="10">
      <formula>IF($K$8="",1,0)</formula>
    </cfRule>
  </conditionalFormatting>
  <conditionalFormatting sqref="U14:V15">
    <cfRule type="expression" dxfId="543" priority="6">
      <formula>IF($G$8="",1,0)</formula>
    </cfRule>
  </conditionalFormatting>
  <conditionalFormatting sqref="W14:W15">
    <cfRule type="expression" dxfId="542" priority="2">
      <formula>IF($G$8="NEIN",1,0)</formula>
    </cfRule>
    <cfRule type="expression" dxfId="541" priority="3">
      <formula>IF($K$8="NEIN",1,0)</formula>
    </cfRule>
    <cfRule type="expression" dxfId="540" priority="4">
      <formula>IF($G$8="",1,0)</formula>
    </cfRule>
    <cfRule type="expression" dxfId="539" priority="5">
      <formula>IF($K$8="",1,0)</formula>
    </cfRule>
  </conditionalFormatting>
  <conditionalFormatting sqref="W14:W15">
    <cfRule type="expression" dxfId="538" priority="1">
      <formula>IF($G$8="",1,0)</formula>
    </cfRule>
  </conditionalFormatting>
  <dataValidations count="5">
    <dataValidation type="list" allowBlank="1" showInputMessage="1" showErrorMessage="1" sqref="K13:K15 M13:M15 O13:O15 E13:E15 G13:G15 I13:I15 I37 G37 E37 G39 M37 K37 K41 K39 M41 M39 I41 I39 E41 E39 G41">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S_16!F13" display="◄"/>
    <hyperlink ref="R1:S1" location="S_18!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BBC6E316-800F-4044-A463-4738F5C6BB23}">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81EBD14E-7980-4DA6-8BD6-924F48B5830A}">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4401DFCE-2104-45DB-8DCC-BB8D5B88EF13}">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9B8EBF44-A1C0-49D5-9F65-F7945ABC1113}">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4" style="10" customWidth="1"/>
    <col min="21" max="21" width="6.5703125" style="10" hidden="1" customWidth="1"/>
    <col min="22" max="22" width="12" style="10" hidden="1" customWidth="1"/>
    <col min="23" max="23" width="17.42578125" style="10" hidden="1" customWidth="1"/>
    <col min="24" max="24" width="13.5703125" style="10" customWidth="1"/>
    <col min="25" max="26" width="17.855468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1378</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t="str">
        <f>Grünland!C22</f>
        <v>-</v>
      </c>
      <c r="D2" s="2663"/>
      <c r="E2" s="2664"/>
      <c r="F2" s="818"/>
      <c r="G2" s="1800" t="s">
        <v>1002</v>
      </c>
      <c r="H2" s="2635">
        <f>Grünland!D22</f>
        <v>0</v>
      </c>
      <c r="I2" s="2636"/>
      <c r="J2" s="818"/>
      <c r="K2" s="1801" t="s">
        <v>863</v>
      </c>
      <c r="L2" s="1800" t="s">
        <v>679</v>
      </c>
      <c r="M2" s="1040">
        <f>Grünland!H22</f>
        <v>0</v>
      </c>
      <c r="N2" s="2616" t="s">
        <v>1049</v>
      </c>
      <c r="O2" s="2617"/>
      <c r="P2" s="2653">
        <f>Grünland!J22</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Grünland!G22</f>
        <v>0</v>
      </c>
      <c r="F3" s="818"/>
      <c r="G3" s="1044" t="s">
        <v>1048</v>
      </c>
      <c r="H3" s="2633">
        <f>Grünland!E22</f>
        <v>0</v>
      </c>
      <c r="I3" s="2634"/>
      <c r="J3" s="818"/>
      <c r="K3" s="818"/>
      <c r="L3" s="1050" t="s">
        <v>1050</v>
      </c>
      <c r="M3" s="2667">
        <f>Grünland!M22</f>
        <v>0</v>
      </c>
      <c r="N3" s="2619"/>
      <c r="O3" s="2619"/>
      <c r="P3" s="2619"/>
      <c r="Q3" s="2620"/>
      <c r="R3" s="1859">
        <f>Grünland!AH22</f>
        <v>0</v>
      </c>
      <c r="S3" s="1859">
        <f>Grünland!AI22</f>
        <v>0</v>
      </c>
      <c r="T3" s="1859"/>
      <c r="U3" s="819"/>
      <c r="V3" s="819"/>
      <c r="W3" s="819"/>
      <c r="X3" s="819"/>
      <c r="Y3" s="819"/>
      <c r="Z3" s="819"/>
      <c r="AA3" s="835"/>
      <c r="AB3" s="1852"/>
      <c r="AC3" s="1852"/>
      <c r="AE3" s="1860">
        <f>Grünland!AP22</f>
        <v>0</v>
      </c>
      <c r="AF3" s="1861">
        <f>Grünland!AQ22</f>
        <v>0</v>
      </c>
      <c r="AG3" s="1862">
        <f>(Grünland!AR22+Grünland!AS22)</f>
        <v>0</v>
      </c>
      <c r="AH3" s="1863">
        <f>Grünland!AT22</f>
        <v>0</v>
      </c>
      <c r="AI3" s="1860">
        <f>Grünland!AU22</f>
        <v>0</v>
      </c>
      <c r="AJ3" s="1860">
        <f>Grünland!AV22</f>
        <v>0</v>
      </c>
      <c r="AK3" s="1860">
        <f>Grünland!AW22</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Grünland!R22</f>
        <v>0</v>
      </c>
      <c r="F6" s="997">
        <f>Grünland!S22</f>
        <v>0</v>
      </c>
      <c r="G6" s="996">
        <f>Grünland!T22</f>
        <v>0</v>
      </c>
      <c r="H6" s="997">
        <f>Grünland!U22</f>
        <v>0</v>
      </c>
      <c r="I6" s="996">
        <f>Grünland!V22</f>
        <v>0</v>
      </c>
      <c r="J6" s="997">
        <f>Grünland!W22</f>
        <v>0</v>
      </c>
      <c r="K6" s="996">
        <f>Grünland!X22</f>
        <v>0</v>
      </c>
      <c r="L6" s="997">
        <f>Grünland!Y22</f>
        <v>0</v>
      </c>
      <c r="M6" s="996">
        <f>Grünland!Z22</f>
        <v>0</v>
      </c>
      <c r="N6" s="997">
        <f>Grünland!AA22</f>
        <v>0</v>
      </c>
      <c r="O6" s="996">
        <f>Grünland!AB22</f>
        <v>0</v>
      </c>
      <c r="P6" s="997">
        <f>Grünland!AC22</f>
        <v>0</v>
      </c>
      <c r="Q6" s="818"/>
      <c r="R6" s="827">
        <f>Grünland!L22</f>
        <v>0</v>
      </c>
      <c r="S6" s="1111">
        <f>Grünland!M22</f>
        <v>0</v>
      </c>
      <c r="T6" s="819"/>
      <c r="U6" s="2637">
        <f>Grünland!AL22</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reduzieren",C13="unverändert"),Grünland!$H$22,S_18!AB13)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Grünland!AH$22</f>
        <v>0</v>
      </c>
      <c r="CO13" s="1882">
        <f>Grünland!AI$22</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reduzieren",C14="unverändert"),Grünland!$H$22,S_18!AB14)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Grünland!AH$22</f>
        <v>0</v>
      </c>
      <c r="CO14" s="1882">
        <f>Grünland!AI$22</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reduzieren",C15="unverändert"),Grünland!$H$22,S_18!AB15)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Grünland!AH$22</f>
        <v>0</v>
      </c>
      <c r="CO15" s="1882">
        <f>Grünland!AI$22</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Summen_GL!F$126</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Summen_GL!G$126</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Summen_GL!H$126</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Summen_GL!I$126</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Summen_GL!J$126</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Summen_GL!K$126</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Summen_GL!L$126</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Summen_GL!M$126</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Summen_GL!N$126</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Summen_GL!O$126</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Summen_GL!P$126</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Summen_GL!Q$126</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Z7vlO769apsNaRv2gIyzSdFBWLmKVm1si2bhebcF6rd60i5TX89LeuCbyT7AD7RSl5Wyozj4GOwcto/osReQTg==" saltValue="+5a1kFGzolFTFjc17W0TFA=="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537" priority="50" stopIfTrue="1">
      <formula>#REF!="nein"</formula>
    </cfRule>
  </conditionalFormatting>
  <conditionalFormatting sqref="B39">
    <cfRule type="expression" dxfId="536" priority="49">
      <formula>#REF!="nein"</formula>
    </cfRule>
  </conditionalFormatting>
  <conditionalFormatting sqref="B41">
    <cfRule type="expression" dxfId="535" priority="48">
      <formula>$B$13=" "</formula>
    </cfRule>
  </conditionalFormatting>
  <conditionalFormatting sqref="A12:S12 A13:R15">
    <cfRule type="expression" dxfId="534" priority="45">
      <formula>IF($G$8="NEIN",1,0)</formula>
    </cfRule>
  </conditionalFormatting>
  <conditionalFormatting sqref="I8:K8">
    <cfRule type="expression" dxfId="533" priority="44">
      <formula>IF($G$8="NEIN",1,0)</formula>
    </cfRule>
  </conditionalFormatting>
  <conditionalFormatting sqref="B15">
    <cfRule type="expression" dxfId="532" priority="51">
      <formula>($B$13+B14)&lt;$H$2</formula>
    </cfRule>
  </conditionalFormatting>
  <conditionalFormatting sqref="C10">
    <cfRule type="expression" dxfId="531" priority="43">
      <formula>IF($G$8="JA",1,0)</formula>
    </cfRule>
  </conditionalFormatting>
  <conditionalFormatting sqref="A14 A15:R15">
    <cfRule type="expression" dxfId="530" priority="39">
      <formula>IF($K$8="",1,0)</formula>
    </cfRule>
    <cfRule type="expression" dxfId="529" priority="42">
      <formula>IF($K$8="NEIN",1,0)</formula>
    </cfRule>
  </conditionalFormatting>
  <conditionalFormatting sqref="B14:R14">
    <cfRule type="expression" dxfId="528" priority="38">
      <formula>IF($K$8="",1,0)</formula>
    </cfRule>
    <cfRule type="expression" dxfId="527" priority="41">
      <formula>IF($K$8="NEIN",1,0)</formula>
    </cfRule>
  </conditionalFormatting>
  <conditionalFormatting sqref="A10:S12 A13:R15">
    <cfRule type="expression" dxfId="526" priority="40">
      <formula>IF($G$8="",1,0)</formula>
    </cfRule>
  </conditionalFormatting>
  <conditionalFormatting sqref="B13:R13">
    <cfRule type="expression" dxfId="525" priority="37">
      <formula>IF($K$8="JA",1,0)</formula>
    </cfRule>
  </conditionalFormatting>
  <conditionalFormatting sqref="B14">
    <cfRule type="expression" dxfId="524" priority="35">
      <formula>IF($K$8="",1,0)</formula>
    </cfRule>
    <cfRule type="expression" dxfId="523" priority="36">
      <formula>IF($K$8="NEIN",1,0)</formula>
    </cfRule>
  </conditionalFormatting>
  <conditionalFormatting sqref="S14">
    <cfRule type="expression" dxfId="522" priority="34" stopIfTrue="1">
      <formula>#REF!="nein"</formula>
    </cfRule>
  </conditionalFormatting>
  <conditionalFormatting sqref="S15">
    <cfRule type="expression" dxfId="521" priority="33" stopIfTrue="1">
      <formula>#REF!="nein"</formula>
    </cfRule>
  </conditionalFormatting>
  <conditionalFormatting sqref="S13:S15">
    <cfRule type="expression" dxfId="520" priority="32">
      <formula>IF($G$8="NEIN",1,0)</formula>
    </cfRule>
  </conditionalFormatting>
  <conditionalFormatting sqref="S15">
    <cfRule type="expression" dxfId="519" priority="28">
      <formula>IF($K$8="",1,0)</formula>
    </cfRule>
    <cfRule type="expression" dxfId="518" priority="31">
      <formula>IF($K$8="NEIN",1,0)</formula>
    </cfRule>
  </conditionalFormatting>
  <conditionalFormatting sqref="S14">
    <cfRule type="expression" dxfId="517" priority="27">
      <formula>IF($K$8="",1,0)</formula>
    </cfRule>
    <cfRule type="expression" dxfId="516" priority="30">
      <formula>IF($K$8="NEIN",1,0)</formula>
    </cfRule>
  </conditionalFormatting>
  <conditionalFormatting sqref="S13:S15">
    <cfRule type="expression" dxfId="515" priority="29">
      <formula>IF($G$8="",1,0)</formula>
    </cfRule>
  </conditionalFormatting>
  <conditionalFormatting sqref="S13">
    <cfRule type="expression" dxfId="514" priority="26">
      <formula>IF($K$8="JA",1,0)</formula>
    </cfRule>
  </conditionalFormatting>
  <conditionalFormatting sqref="S14">
    <cfRule type="expression" dxfId="513" priority="24">
      <formula>IF($K$8="JA",1,0)</formula>
    </cfRule>
  </conditionalFormatting>
  <conditionalFormatting sqref="S15">
    <cfRule type="expression" dxfId="512" priority="22">
      <formula>IF($K$8="JA",1,0)</formula>
    </cfRule>
  </conditionalFormatting>
  <conditionalFormatting sqref="U13:W13">
    <cfRule type="expression" dxfId="511" priority="18">
      <formula>IF($G$8="NEIN",1,0)</formula>
    </cfRule>
    <cfRule type="expression" dxfId="510" priority="19">
      <formula>IF($G$8="",1,0)</formula>
    </cfRule>
    <cfRule type="expression" dxfId="509" priority="20">
      <formula>IF($K$8="JA",1,0)</formula>
    </cfRule>
  </conditionalFormatting>
  <conditionalFormatting sqref="U11:W13">
    <cfRule type="expression" dxfId="508" priority="17">
      <formula>IF($G$8="",1,0)</formula>
    </cfRule>
  </conditionalFormatting>
  <conditionalFormatting sqref="U11:W13">
    <cfRule type="expression" dxfId="507" priority="16">
      <formula>IF($G$8="NEIN",1,0)</formula>
    </cfRule>
  </conditionalFormatting>
  <conditionalFormatting sqref="U14:V15">
    <cfRule type="expression" dxfId="506" priority="7">
      <formula>IF($G$8="NEIN",1,0)</formula>
    </cfRule>
    <cfRule type="expression" dxfId="505" priority="8">
      <formula>IF($K$8="NEIN",1,0)</formula>
    </cfRule>
    <cfRule type="expression" dxfId="504" priority="9">
      <formula>IF($G$8="",1,0)</formula>
    </cfRule>
    <cfRule type="expression" dxfId="503" priority="10">
      <formula>IF($K$8="",1,0)</formula>
    </cfRule>
  </conditionalFormatting>
  <conditionalFormatting sqref="U14:V15">
    <cfRule type="expression" dxfId="502" priority="6">
      <formula>IF($G$8="",1,0)</formula>
    </cfRule>
  </conditionalFormatting>
  <conditionalFormatting sqref="W14:W15">
    <cfRule type="expression" dxfId="501" priority="2">
      <formula>IF($G$8="NEIN",1,0)</formula>
    </cfRule>
    <cfRule type="expression" dxfId="500" priority="3">
      <formula>IF($K$8="NEIN",1,0)</formula>
    </cfRule>
    <cfRule type="expression" dxfId="499" priority="4">
      <formula>IF($G$8="",1,0)</formula>
    </cfRule>
    <cfRule type="expression" dxfId="498" priority="5">
      <formula>IF($K$8="",1,0)</formula>
    </cfRule>
  </conditionalFormatting>
  <conditionalFormatting sqref="W14:W15">
    <cfRule type="expression" dxfId="497" priority="1">
      <formula>IF($G$8="",1,0)</formula>
    </cfRule>
  </conditionalFormatting>
  <dataValidations count="5">
    <dataValidation type="list" allowBlank="1" showInputMessage="1" showErrorMessage="1" sqref="K13:K15 M13:M15 O13:O15 E13:E15 G13:G15 I13:I15 I37 G37 E37 G39 M37 K37 K41 K39 M41 M39 I41 I39 E41 E39 G41">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S_17!F13" display="◄"/>
    <hyperlink ref="R1:S1" location="S_19!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8745917D-FAC1-45C0-943D-17C91560C075}">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1EE53856-36D5-48E8-A6BF-B5512ED72C6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A10BDC02-FFB4-4ED0-B0D2-50BC2EA85C4D}">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F5153722-674A-44F9-9A1A-2DFEDE57E596}">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4" style="10" customWidth="1"/>
    <col min="21" max="21" width="6.5703125" style="10" hidden="1" customWidth="1"/>
    <col min="22" max="22" width="12" style="10" hidden="1" customWidth="1"/>
    <col min="23" max="23" width="17.5703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1379</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t="str">
        <f>Grünland!C23</f>
        <v>-</v>
      </c>
      <c r="D2" s="2663"/>
      <c r="E2" s="2664"/>
      <c r="F2" s="818"/>
      <c r="G2" s="1800" t="s">
        <v>1002</v>
      </c>
      <c r="H2" s="2635">
        <f>Grünland!D23</f>
        <v>0</v>
      </c>
      <c r="I2" s="2636"/>
      <c r="J2" s="818"/>
      <c r="K2" s="1801" t="s">
        <v>863</v>
      </c>
      <c r="L2" s="1800" t="s">
        <v>679</v>
      </c>
      <c r="M2" s="1040">
        <f>Grünland!H23</f>
        <v>0</v>
      </c>
      <c r="N2" s="2616" t="s">
        <v>1049</v>
      </c>
      <c r="O2" s="2617"/>
      <c r="P2" s="2653">
        <f>Grünland!J23</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Grünland!G23</f>
        <v>0</v>
      </c>
      <c r="F3" s="818"/>
      <c r="G3" s="1044" t="s">
        <v>1048</v>
      </c>
      <c r="H3" s="2633">
        <f>Grünland!E23</f>
        <v>0</v>
      </c>
      <c r="I3" s="2634"/>
      <c r="J3" s="818"/>
      <c r="K3" s="818"/>
      <c r="L3" s="1050" t="s">
        <v>1050</v>
      </c>
      <c r="M3" s="2618">
        <f>Grünland!F23</f>
        <v>0</v>
      </c>
      <c r="N3" s="2619"/>
      <c r="O3" s="2619"/>
      <c r="P3" s="2619"/>
      <c r="Q3" s="2620"/>
      <c r="R3" s="1859">
        <f>Grünland!AH23</f>
        <v>0</v>
      </c>
      <c r="S3" s="1859">
        <f>Grünland!AI23</f>
        <v>0</v>
      </c>
      <c r="T3" s="1859"/>
      <c r="U3" s="819"/>
      <c r="V3" s="819"/>
      <c r="W3" s="819"/>
      <c r="X3" s="819"/>
      <c r="Y3" s="819"/>
      <c r="Z3" s="819"/>
      <c r="AA3" s="835"/>
      <c r="AB3" s="1852"/>
      <c r="AC3" s="1852"/>
      <c r="AE3" s="1860">
        <f>Grünland!AP23</f>
        <v>0</v>
      </c>
      <c r="AF3" s="1861">
        <f>Grünland!AQ23</f>
        <v>0</v>
      </c>
      <c r="AG3" s="1862">
        <f>(Grünland!AR23+Grünland!AS23)</f>
        <v>0</v>
      </c>
      <c r="AH3" s="1863">
        <f>Grünland!AT23</f>
        <v>0</v>
      </c>
      <c r="AI3" s="1860">
        <f>Grünland!AU23</f>
        <v>0</v>
      </c>
      <c r="AJ3" s="1860">
        <f>Grünland!AV23</f>
        <v>0</v>
      </c>
      <c r="AK3" s="1860">
        <f>Grünland!AW23</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Grünland!R23</f>
        <v>0</v>
      </c>
      <c r="F6" s="997">
        <f>Grünland!S23</f>
        <v>0</v>
      </c>
      <c r="G6" s="996">
        <f>Grünland!T23</f>
        <v>0</v>
      </c>
      <c r="H6" s="997">
        <f>Grünland!U23</f>
        <v>0</v>
      </c>
      <c r="I6" s="996">
        <f>Grünland!V23</f>
        <v>0</v>
      </c>
      <c r="J6" s="997">
        <f>Grünland!W23</f>
        <v>0</v>
      </c>
      <c r="K6" s="996">
        <f>Grünland!X23</f>
        <v>0</v>
      </c>
      <c r="L6" s="997">
        <f>Grünland!Y23</f>
        <v>0</v>
      </c>
      <c r="M6" s="996">
        <f>Grünland!Z23</f>
        <v>0</v>
      </c>
      <c r="N6" s="997">
        <f>Grünland!AA23</f>
        <v>0</v>
      </c>
      <c r="O6" s="996">
        <f>Grünland!AB23</f>
        <v>0</v>
      </c>
      <c r="P6" s="997">
        <f>Grünland!AC23</f>
        <v>0</v>
      </c>
      <c r="Q6" s="818"/>
      <c r="R6" s="827">
        <f>Grünland!L23</f>
        <v>0</v>
      </c>
      <c r="S6" s="1111">
        <f>Grünland!M23</f>
        <v>0</v>
      </c>
      <c r="T6" s="819"/>
      <c r="U6" s="2637">
        <f>Grünland!AL23</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reduzieren",C13="unverändert"),Grünland!$H$23,S_19!AB13)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Grünland!AH$23</f>
        <v>0</v>
      </c>
      <c r="CO13" s="1882">
        <f>Grünland!AI$23</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reduzieren",C14="unverändert"),Grünland!$H$23,S_19!AB14)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Grünland!AH$23</f>
        <v>0</v>
      </c>
      <c r="CO14" s="1882">
        <f>Grünland!AI$23</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reduzieren",C15="unverändert"),Grünland!$H$23,S_19!AB15)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Grünland!AH$23</f>
        <v>0</v>
      </c>
      <c r="CO15" s="1882">
        <f>Grünland!AI$23</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Summen_GL!F$127</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Summen_GL!G$127</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Summen_GL!H$127</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Summen_GL!I$127</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Summen_GL!J$127</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Summen_GL!K$127</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Summen_GL!L$127</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Summen_GL!M$127</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Summen_GL!N$127</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Summen_GL!O$127</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Summen_GL!P$127</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Summen_GL!Q$127</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C3Q8bMh0dekieGz3bdeN6+9zc/iVJIs9yBwB19W1eNTEVf8tRn7Tl40ifx731tH6AK/XyOqUUUk4H5UjbE2vxw==" saltValue="Jx9nc9NAr8UaRBbjiXt5F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496" priority="50" stopIfTrue="1">
      <formula>#REF!="nein"</formula>
    </cfRule>
  </conditionalFormatting>
  <conditionalFormatting sqref="B39">
    <cfRule type="expression" dxfId="495" priority="49">
      <formula>#REF!="nein"</formula>
    </cfRule>
  </conditionalFormatting>
  <conditionalFormatting sqref="B41">
    <cfRule type="expression" dxfId="494" priority="48">
      <formula>$B$13=" "</formula>
    </cfRule>
  </conditionalFormatting>
  <conditionalFormatting sqref="A12:S12 A13:R15">
    <cfRule type="expression" dxfId="493" priority="45">
      <formula>IF($G$8="NEIN",1,0)</formula>
    </cfRule>
  </conditionalFormatting>
  <conditionalFormatting sqref="I8:K8">
    <cfRule type="expression" dxfId="492" priority="44">
      <formula>IF($G$8="NEIN",1,0)</formula>
    </cfRule>
  </conditionalFormatting>
  <conditionalFormatting sqref="B15">
    <cfRule type="expression" dxfId="491" priority="51">
      <formula>($B$13+B14)&lt;$H$2</formula>
    </cfRule>
  </conditionalFormatting>
  <conditionalFormatting sqref="C10">
    <cfRule type="expression" dxfId="490" priority="43">
      <formula>IF($G$8="JA",1,0)</formula>
    </cfRule>
  </conditionalFormatting>
  <conditionalFormatting sqref="A14 A15:R15">
    <cfRule type="expression" dxfId="489" priority="39">
      <formula>IF($K$8="",1,0)</formula>
    </cfRule>
    <cfRule type="expression" dxfId="488" priority="42">
      <formula>IF($K$8="NEIN",1,0)</formula>
    </cfRule>
  </conditionalFormatting>
  <conditionalFormatting sqref="B14:R14">
    <cfRule type="expression" dxfId="487" priority="38">
      <formula>IF($K$8="",1,0)</formula>
    </cfRule>
    <cfRule type="expression" dxfId="486" priority="41">
      <formula>IF($K$8="NEIN",1,0)</formula>
    </cfRule>
  </conditionalFormatting>
  <conditionalFormatting sqref="A10:S12 A13:R15">
    <cfRule type="expression" dxfId="485" priority="40">
      <formula>IF($G$8="",1,0)</formula>
    </cfRule>
  </conditionalFormatting>
  <conditionalFormatting sqref="B13:R13">
    <cfRule type="expression" dxfId="484" priority="37">
      <formula>IF($K$8="JA",1,0)</formula>
    </cfRule>
  </conditionalFormatting>
  <conditionalFormatting sqref="B14">
    <cfRule type="expression" dxfId="483" priority="35">
      <formula>IF($K$8="",1,0)</formula>
    </cfRule>
    <cfRule type="expression" dxfId="482" priority="36">
      <formula>IF($K$8="NEIN",1,0)</formula>
    </cfRule>
  </conditionalFormatting>
  <conditionalFormatting sqref="S14">
    <cfRule type="expression" dxfId="481" priority="34" stopIfTrue="1">
      <formula>#REF!="nein"</formula>
    </cfRule>
  </conditionalFormatting>
  <conditionalFormatting sqref="S15">
    <cfRule type="expression" dxfId="480" priority="33" stopIfTrue="1">
      <formula>#REF!="nein"</formula>
    </cfRule>
  </conditionalFormatting>
  <conditionalFormatting sqref="S13:S15">
    <cfRule type="expression" dxfId="479" priority="32">
      <formula>IF($G$8="NEIN",1,0)</formula>
    </cfRule>
  </conditionalFormatting>
  <conditionalFormatting sqref="S15">
    <cfRule type="expression" dxfId="478" priority="28">
      <formula>IF($K$8="",1,0)</formula>
    </cfRule>
    <cfRule type="expression" dxfId="477" priority="31">
      <formula>IF($K$8="NEIN",1,0)</formula>
    </cfRule>
  </conditionalFormatting>
  <conditionalFormatting sqref="S14">
    <cfRule type="expression" dxfId="476" priority="27">
      <formula>IF($K$8="",1,0)</formula>
    </cfRule>
    <cfRule type="expression" dxfId="475" priority="30">
      <formula>IF($K$8="NEIN",1,0)</formula>
    </cfRule>
  </conditionalFormatting>
  <conditionalFormatting sqref="S13:S15">
    <cfRule type="expression" dxfId="474" priority="29">
      <formula>IF($G$8="",1,0)</formula>
    </cfRule>
  </conditionalFormatting>
  <conditionalFormatting sqref="S13">
    <cfRule type="expression" dxfId="473" priority="26">
      <formula>IF($K$8="JA",1,0)</formula>
    </cfRule>
  </conditionalFormatting>
  <conditionalFormatting sqref="S14">
    <cfRule type="expression" dxfId="472" priority="24">
      <formula>IF($K$8="JA",1,0)</formula>
    </cfRule>
  </conditionalFormatting>
  <conditionalFormatting sqref="S15">
    <cfRule type="expression" dxfId="471" priority="22">
      <formula>IF($K$8="JA",1,0)</formula>
    </cfRule>
  </conditionalFormatting>
  <conditionalFormatting sqref="U13:W13">
    <cfRule type="expression" dxfId="470" priority="18">
      <formula>IF($G$8="NEIN",1,0)</formula>
    </cfRule>
    <cfRule type="expression" dxfId="469" priority="19">
      <formula>IF($G$8="",1,0)</formula>
    </cfRule>
    <cfRule type="expression" dxfId="468" priority="20">
      <formula>IF($K$8="JA",1,0)</formula>
    </cfRule>
  </conditionalFormatting>
  <conditionalFormatting sqref="U11:W13">
    <cfRule type="expression" dxfId="467" priority="17">
      <formula>IF($G$8="",1,0)</formula>
    </cfRule>
  </conditionalFormatting>
  <conditionalFormatting sqref="U11:W13">
    <cfRule type="expression" dxfId="466" priority="16">
      <formula>IF($G$8="NEIN",1,0)</formula>
    </cfRule>
  </conditionalFormatting>
  <conditionalFormatting sqref="U14:V15">
    <cfRule type="expression" dxfId="465" priority="7">
      <formula>IF($G$8="NEIN",1,0)</formula>
    </cfRule>
    <cfRule type="expression" dxfId="464" priority="8">
      <formula>IF($K$8="NEIN",1,0)</formula>
    </cfRule>
    <cfRule type="expression" dxfId="463" priority="9">
      <formula>IF($G$8="",1,0)</formula>
    </cfRule>
    <cfRule type="expression" dxfId="462" priority="10">
      <formula>IF($K$8="",1,0)</formula>
    </cfRule>
  </conditionalFormatting>
  <conditionalFormatting sqref="U14:V15">
    <cfRule type="expression" dxfId="461" priority="6">
      <formula>IF($G$8="",1,0)</formula>
    </cfRule>
  </conditionalFormatting>
  <conditionalFormatting sqref="W14:W15">
    <cfRule type="expression" dxfId="460" priority="2">
      <formula>IF($G$8="NEIN",1,0)</formula>
    </cfRule>
    <cfRule type="expression" dxfId="459" priority="3">
      <formula>IF($K$8="NEIN",1,0)</formula>
    </cfRule>
    <cfRule type="expression" dxfId="458" priority="4">
      <formula>IF($G$8="",1,0)</formula>
    </cfRule>
    <cfRule type="expression" dxfId="457" priority="5">
      <formula>IF($K$8="",1,0)</formula>
    </cfRule>
  </conditionalFormatting>
  <conditionalFormatting sqref="W14:W15">
    <cfRule type="expression" dxfId="456" priority="1">
      <formula>IF($G$8="",1,0)</formula>
    </cfRule>
  </conditionalFormatting>
  <dataValidations count="5">
    <dataValidation type="list" allowBlank="1" showInputMessage="1" showErrorMessage="1" sqref="K13:K15 M13:M15 O13:O15 E13:E15 G13:G15 I13:I15 I37 G37 E37 G39 M37 K37 K41 K39 M41 M39 I41 I39 E41 E39 G41">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S_18!F13" display="◄"/>
    <hyperlink ref="R1:S1" location="S_20!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4372AFD3-80D0-498B-8342-00846A814571}">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FD4F52C2-6A10-4112-8B72-0AB64FFB8D02}">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AC15D435-3860-4951-AFFA-B2E1EB15F2E6}">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45D9F26D-F244-480A-AFC2-27C728611BD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4"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1380</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5" t="str">
        <f>Grünland!C24</f>
        <v>-</v>
      </c>
      <c r="D2" s="2658"/>
      <c r="E2" s="2659"/>
      <c r="F2" s="818"/>
      <c r="G2" s="1800" t="s">
        <v>1002</v>
      </c>
      <c r="H2" s="2635">
        <f>Grünland!D24</f>
        <v>0</v>
      </c>
      <c r="I2" s="2636"/>
      <c r="J2" s="818"/>
      <c r="K2" s="1801" t="s">
        <v>863</v>
      </c>
      <c r="L2" s="1800" t="s">
        <v>679</v>
      </c>
      <c r="M2" s="1040">
        <f>Grünland!H24</f>
        <v>0</v>
      </c>
      <c r="N2" s="2616" t="s">
        <v>1049</v>
      </c>
      <c r="O2" s="2617"/>
      <c r="P2" s="2653">
        <f>Grünland!J24</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Grünland!G24</f>
        <v>0</v>
      </c>
      <c r="F3" s="818"/>
      <c r="G3" s="1044" t="s">
        <v>1048</v>
      </c>
      <c r="H3" s="2633">
        <f>Grünland!E24</f>
        <v>0</v>
      </c>
      <c r="I3" s="2634"/>
      <c r="J3" s="818"/>
      <c r="K3" s="818"/>
      <c r="L3" s="1050" t="s">
        <v>1050</v>
      </c>
      <c r="M3" s="2618">
        <f>Grünland!F24</f>
        <v>0</v>
      </c>
      <c r="N3" s="2619"/>
      <c r="O3" s="2619"/>
      <c r="P3" s="2619"/>
      <c r="Q3" s="2620"/>
      <c r="R3" s="1859">
        <f>Grünland!AH24</f>
        <v>0</v>
      </c>
      <c r="S3" s="1859">
        <f>Grünland!AI24</f>
        <v>0</v>
      </c>
      <c r="T3" s="1859"/>
      <c r="U3" s="819"/>
      <c r="V3" s="819"/>
      <c r="W3" s="819"/>
      <c r="X3" s="819"/>
      <c r="Y3" s="819"/>
      <c r="Z3" s="819"/>
      <c r="AA3" s="835"/>
      <c r="AB3" s="1852"/>
      <c r="AC3" s="1852"/>
      <c r="AE3" s="1860">
        <f>Grünland!AP24</f>
        <v>0</v>
      </c>
      <c r="AF3" s="1861">
        <f>Grünland!AQ24</f>
        <v>0</v>
      </c>
      <c r="AG3" s="1862">
        <f>(Grünland!AR24+Grünland!AS24)</f>
        <v>0</v>
      </c>
      <c r="AH3" s="1863">
        <f>Grünland!AT24</f>
        <v>0</v>
      </c>
      <c r="AI3" s="1860">
        <f>Grünland!AU24</f>
        <v>0</v>
      </c>
      <c r="AJ3" s="1860">
        <f>Grünland!AV24</f>
        <v>0</v>
      </c>
      <c r="AK3" s="1860">
        <f>Grünland!AW24</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Grünland!R24</f>
        <v>0</v>
      </c>
      <c r="F6" s="997">
        <f>Grünland!S24</f>
        <v>0</v>
      </c>
      <c r="G6" s="996">
        <f>Grünland!T24</f>
        <v>0</v>
      </c>
      <c r="H6" s="997">
        <f>Grünland!U24</f>
        <v>0</v>
      </c>
      <c r="I6" s="996">
        <f>Grünland!V24</f>
        <v>0</v>
      </c>
      <c r="J6" s="997">
        <f>Grünland!W24</f>
        <v>0</v>
      </c>
      <c r="K6" s="996">
        <f>Grünland!X24</f>
        <v>0</v>
      </c>
      <c r="L6" s="997">
        <f>Grünland!Y24</f>
        <v>0</v>
      </c>
      <c r="M6" s="996">
        <f>Grünland!Z24</f>
        <v>0</v>
      </c>
      <c r="N6" s="997">
        <f>Grünland!AA24</f>
        <v>0</v>
      </c>
      <c r="O6" s="996">
        <f>Grünland!AB24</f>
        <v>0</v>
      </c>
      <c r="P6" s="997">
        <f>Grünland!AC24</f>
        <v>0</v>
      </c>
      <c r="Q6" s="818"/>
      <c r="R6" s="827">
        <f>Grünland!L24</f>
        <v>0</v>
      </c>
      <c r="S6" s="1111">
        <f>Grünland!M24</f>
        <v>0</v>
      </c>
      <c r="T6" s="819"/>
      <c r="U6" s="2637">
        <f>Grünland!AL24</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reduzieren",C13="unverändert"),Grünland!$H$24,S_20!AB13)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Grünland!AH$24</f>
        <v>0</v>
      </c>
      <c r="CO13" s="1882">
        <f>Grünland!AI$24</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reduzieren",C14="unverändert"),Grünland!$H$24,S_20!AB14)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Grünland!AH$24</f>
        <v>0</v>
      </c>
      <c r="CO14" s="1882">
        <f>Grünland!AI$24</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reduzieren",C15="unverändert"),Grünland!$H$24,S_20!AB15)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Grünland!AH$24</f>
        <v>0</v>
      </c>
      <c r="CO15" s="1882">
        <f>Grünland!AI$24</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thickBot="1">
      <c r="A18" s="819"/>
      <c r="B18" s="819"/>
      <c r="C18" s="2651" t="s">
        <v>1052</v>
      </c>
      <c r="D18" s="2652"/>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Summen_GL!F$128</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 t="shared" ref="AH21:AH31" si="167">SUM(AO21:AT21)*$B$13</f>
        <v>0</v>
      </c>
      <c r="AI21" s="1955">
        <f>IF(ISNA(B15),0,SUM(AV21:BA21)*$B$14)</f>
        <v>0</v>
      </c>
      <c r="AJ21" s="1956">
        <f>IF(ISNUMBER($B$15),(SUM(BC21:BH21)*$B$15),0)</f>
        <v>0</v>
      </c>
      <c r="AK21" s="1957">
        <f t="shared" ref="AK21:AK31" si="168">SUM(AH21:AJ21)</f>
        <v>0</v>
      </c>
      <c r="AL21" s="1958">
        <f>Summen_GL!G$128</f>
        <v>0</v>
      </c>
      <c r="AM21" s="1952">
        <f t="shared" ref="AM21:AM31" si="169">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si="167"/>
        <v>0</v>
      </c>
      <c r="AI22" s="1955">
        <f>IF(ISNA(B16),0,SUM(AV22:BA22)*$B$14)</f>
        <v>0</v>
      </c>
      <c r="AJ22" s="1956">
        <f t="shared" ref="AJ22:AJ31" si="170">IF(ISNUMBER($B$15),(SUM(BC22:BH22)*$B$15),0)</f>
        <v>0</v>
      </c>
      <c r="AK22" s="1957">
        <f t="shared" si="168"/>
        <v>0</v>
      </c>
      <c r="AL22" s="1958">
        <f>Summen_GL!H$128</f>
        <v>0</v>
      </c>
      <c r="AM22" s="1952">
        <f t="shared" si="169"/>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7"/>
        <v>0</v>
      </c>
      <c r="AI23" s="1955">
        <f>IF(ISNA(#REF!),0,SUM(AV23:BA23)*$B$14)</f>
        <v>0</v>
      </c>
      <c r="AJ23" s="1956">
        <f t="shared" si="170"/>
        <v>0</v>
      </c>
      <c r="AK23" s="1957">
        <f t="shared" si="168"/>
        <v>0</v>
      </c>
      <c r="AL23" s="1958">
        <f>Summen_GL!I$128</f>
        <v>0</v>
      </c>
      <c r="AM23" s="1952">
        <f t="shared" si="169"/>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7"/>
        <v>0</v>
      </c>
      <c r="AI24" s="1973">
        <f>IF(ISNA(#REF!),0,SUM(AV24:BA24)*$B$14)</f>
        <v>0</v>
      </c>
      <c r="AJ24" s="1956">
        <f t="shared" si="170"/>
        <v>0</v>
      </c>
      <c r="AK24" s="1957">
        <f t="shared" si="168"/>
        <v>0</v>
      </c>
      <c r="AL24" s="1958">
        <f>Summen_GL!J$128</f>
        <v>0</v>
      </c>
      <c r="AM24" s="1952">
        <f t="shared" si="169"/>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7"/>
        <v>0</v>
      </c>
      <c r="AI25" s="1955">
        <f>IF(ISNA(#REF!),0,SUM(AV25:BA25)*$B$14)</f>
        <v>0</v>
      </c>
      <c r="AJ25" s="1956">
        <f t="shared" si="170"/>
        <v>0</v>
      </c>
      <c r="AK25" s="1957">
        <f t="shared" si="168"/>
        <v>0</v>
      </c>
      <c r="AL25" s="1958">
        <f>Summen_GL!K$128</f>
        <v>0</v>
      </c>
      <c r="AM25" s="1952">
        <f t="shared" si="169"/>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7"/>
        <v>0</v>
      </c>
      <c r="AI26" s="1955">
        <f>IF(ISNA(#REF!),0,SUM(AV26:BA26)*$B$14)</f>
        <v>0</v>
      </c>
      <c r="AJ26" s="1956">
        <f t="shared" si="170"/>
        <v>0</v>
      </c>
      <c r="AK26" s="1957">
        <f t="shared" si="168"/>
        <v>0</v>
      </c>
      <c r="AL26" s="1958">
        <f>Summen_GL!L$128</f>
        <v>0</v>
      </c>
      <c r="AM26" s="1952">
        <f t="shared" si="169"/>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7"/>
        <v>0</v>
      </c>
      <c r="AI27" s="1955">
        <f>IF(ISNA(#REF!),0,SUM(AV27:BA27)*$B$14)</f>
        <v>0</v>
      </c>
      <c r="AJ27" s="1956">
        <f t="shared" si="170"/>
        <v>0</v>
      </c>
      <c r="AK27" s="1957">
        <f t="shared" si="168"/>
        <v>0</v>
      </c>
      <c r="AL27" s="1958">
        <f>Summen_GL!M$128</f>
        <v>0</v>
      </c>
      <c r="AM27" s="1952">
        <f t="shared" si="169"/>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7"/>
        <v>0</v>
      </c>
      <c r="AI28" s="1955">
        <f>IF(ISNA(#REF!),0,SUM(AV28:BA28)*$B$14)</f>
        <v>0</v>
      </c>
      <c r="AJ28" s="1956">
        <f t="shared" si="170"/>
        <v>0</v>
      </c>
      <c r="AK28" s="1957">
        <f t="shared" si="168"/>
        <v>0</v>
      </c>
      <c r="AL28" s="1958">
        <f>Summen_GL!N$128</f>
        <v>0</v>
      </c>
      <c r="AM28" s="1952">
        <f t="shared" si="169"/>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7"/>
        <v>0</v>
      </c>
      <c r="AI29" s="1955">
        <f>IF(ISNA(C18),0,SUM(AV29:BA29)*$B$14)</f>
        <v>0</v>
      </c>
      <c r="AJ29" s="1956">
        <f t="shared" si="170"/>
        <v>0</v>
      </c>
      <c r="AK29" s="1957">
        <f t="shared" si="168"/>
        <v>0</v>
      </c>
      <c r="AL29" s="1958">
        <f>Summen_GL!O$128</f>
        <v>0</v>
      </c>
      <c r="AM29" s="1952">
        <f t="shared" si="169"/>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7"/>
        <v>0</v>
      </c>
      <c r="AI30" s="1955">
        <f>IF(ISNA(B19),0,SUM(AV30:BA30)*$B$14)</f>
        <v>0</v>
      </c>
      <c r="AJ30" s="1956">
        <f t="shared" si="170"/>
        <v>0</v>
      </c>
      <c r="AK30" s="1957">
        <f t="shared" si="168"/>
        <v>0</v>
      </c>
      <c r="AL30" s="1958">
        <f>Summen_GL!P$128</f>
        <v>0</v>
      </c>
      <c r="AM30" s="1952">
        <f t="shared" si="169"/>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7"/>
        <v>0</v>
      </c>
      <c r="AI31" s="1955">
        <f>IF(ISNA(B30),0,SUM(AV31:BA31)*$B$14)</f>
        <v>0</v>
      </c>
      <c r="AJ31" s="1956">
        <f t="shared" si="170"/>
        <v>0</v>
      </c>
      <c r="AK31" s="1957">
        <f t="shared" si="168"/>
        <v>0</v>
      </c>
      <c r="AL31" s="1958">
        <f>Summen_GL!Q$128</f>
        <v>0</v>
      </c>
      <c r="AM31" s="1952">
        <f t="shared" si="169"/>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1788"/>
      <c r="P32" s="1788"/>
      <c r="Q32" s="1788"/>
      <c r="R32" s="1788"/>
      <c r="S32" s="1788"/>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DQ7QE2i6sxn3kpKxOli+1fvtkWFpNdqMFmEQm8pQyu5sC6fGfX8nNx61N1n2++llSbnob39fzBJ5sCCCX3x4VQ==" saltValue="n3KihgKUNKb31jvOIQoxnw=="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455" priority="50" stopIfTrue="1">
      <formula>#REF!="nein"</formula>
    </cfRule>
  </conditionalFormatting>
  <conditionalFormatting sqref="B39">
    <cfRule type="expression" dxfId="454" priority="49">
      <formula>#REF!="nein"</formula>
    </cfRule>
  </conditionalFormatting>
  <conditionalFormatting sqref="B41">
    <cfRule type="expression" dxfId="453" priority="48">
      <formula>$B$13=" "</formula>
    </cfRule>
  </conditionalFormatting>
  <conditionalFormatting sqref="A12:S12 A13:R15">
    <cfRule type="expression" dxfId="452" priority="45">
      <formula>IF($G$8="NEIN",1,0)</formula>
    </cfRule>
  </conditionalFormatting>
  <conditionalFormatting sqref="I8:K8">
    <cfRule type="expression" dxfId="451" priority="44">
      <formula>IF($G$8="NEIN",1,0)</formula>
    </cfRule>
  </conditionalFormatting>
  <conditionalFormatting sqref="B15">
    <cfRule type="expression" dxfId="450" priority="51">
      <formula>($B$13+B14)&lt;$H$2</formula>
    </cfRule>
  </conditionalFormatting>
  <conditionalFormatting sqref="C10">
    <cfRule type="expression" dxfId="449" priority="43">
      <formula>IF($G$8="JA",1,0)</formula>
    </cfRule>
  </conditionalFormatting>
  <conditionalFormatting sqref="A14 A15:R15">
    <cfRule type="expression" dxfId="448" priority="39">
      <formula>IF($K$8="",1,0)</formula>
    </cfRule>
    <cfRule type="expression" dxfId="447" priority="42">
      <formula>IF($K$8="NEIN",1,0)</formula>
    </cfRule>
  </conditionalFormatting>
  <conditionalFormatting sqref="B14:R14">
    <cfRule type="expression" dxfId="446" priority="38">
      <formula>IF($K$8="",1,0)</formula>
    </cfRule>
    <cfRule type="expression" dxfId="445" priority="41">
      <formula>IF($K$8="NEIN",1,0)</formula>
    </cfRule>
  </conditionalFormatting>
  <conditionalFormatting sqref="A10:S12 A13:R15">
    <cfRule type="expression" dxfId="444" priority="40">
      <formula>IF($G$8="",1,0)</formula>
    </cfRule>
  </conditionalFormatting>
  <conditionalFormatting sqref="B13:R13">
    <cfRule type="expression" dxfId="443" priority="37">
      <formula>IF($K$8="JA",1,0)</formula>
    </cfRule>
  </conditionalFormatting>
  <conditionalFormatting sqref="B14">
    <cfRule type="expression" dxfId="442" priority="35">
      <formula>IF($K$8="",1,0)</formula>
    </cfRule>
    <cfRule type="expression" dxfId="441" priority="36">
      <formula>IF($K$8="NEIN",1,0)</formula>
    </cfRule>
  </conditionalFormatting>
  <conditionalFormatting sqref="S14">
    <cfRule type="expression" dxfId="440" priority="34" stopIfTrue="1">
      <formula>#REF!="nein"</formula>
    </cfRule>
  </conditionalFormatting>
  <conditionalFormatting sqref="S15">
    <cfRule type="expression" dxfId="439" priority="33" stopIfTrue="1">
      <formula>#REF!="nein"</formula>
    </cfRule>
  </conditionalFormatting>
  <conditionalFormatting sqref="S13:S15">
    <cfRule type="expression" dxfId="438" priority="32">
      <formula>IF($G$8="NEIN",1,0)</formula>
    </cfRule>
  </conditionalFormatting>
  <conditionalFormatting sqref="S15">
    <cfRule type="expression" dxfId="437" priority="28">
      <formula>IF($K$8="",1,0)</formula>
    </cfRule>
    <cfRule type="expression" dxfId="436" priority="31">
      <formula>IF($K$8="NEIN",1,0)</formula>
    </cfRule>
  </conditionalFormatting>
  <conditionalFormatting sqref="S14">
    <cfRule type="expression" dxfId="435" priority="27">
      <formula>IF($K$8="",1,0)</formula>
    </cfRule>
    <cfRule type="expression" dxfId="434" priority="30">
      <formula>IF($K$8="NEIN",1,0)</formula>
    </cfRule>
  </conditionalFormatting>
  <conditionalFormatting sqref="S13:S15">
    <cfRule type="expression" dxfId="433" priority="29">
      <formula>IF($G$8="",1,0)</formula>
    </cfRule>
  </conditionalFormatting>
  <conditionalFormatting sqref="S13">
    <cfRule type="expression" dxfId="432" priority="26">
      <formula>IF($K$8="JA",1,0)</formula>
    </cfRule>
  </conditionalFormatting>
  <conditionalFormatting sqref="S14">
    <cfRule type="expression" dxfId="431" priority="24">
      <formula>IF($K$8="JA",1,0)</formula>
    </cfRule>
  </conditionalFormatting>
  <conditionalFormatting sqref="S15">
    <cfRule type="expression" dxfId="430" priority="22">
      <formula>IF($K$8="JA",1,0)</formula>
    </cfRule>
  </conditionalFormatting>
  <conditionalFormatting sqref="U13:W13">
    <cfRule type="expression" dxfId="429" priority="18">
      <formula>IF($G$8="NEIN",1,0)</formula>
    </cfRule>
    <cfRule type="expression" dxfId="428" priority="19">
      <formula>IF($G$8="",1,0)</formula>
    </cfRule>
    <cfRule type="expression" dxfId="427" priority="20">
      <formula>IF($K$8="JA",1,0)</formula>
    </cfRule>
  </conditionalFormatting>
  <conditionalFormatting sqref="U11:W13">
    <cfRule type="expression" dxfId="426" priority="17">
      <formula>IF($G$8="",1,0)</formula>
    </cfRule>
  </conditionalFormatting>
  <conditionalFormatting sqref="U11:W13">
    <cfRule type="expression" dxfId="425" priority="16">
      <formula>IF($G$8="NEIN",1,0)</formula>
    </cfRule>
  </conditionalFormatting>
  <conditionalFormatting sqref="U14:V15">
    <cfRule type="expression" dxfId="424" priority="7">
      <formula>IF($G$8="NEIN",1,0)</formula>
    </cfRule>
    <cfRule type="expression" dxfId="423" priority="8">
      <formula>IF($K$8="NEIN",1,0)</formula>
    </cfRule>
    <cfRule type="expression" dxfId="422" priority="9">
      <formula>IF($G$8="",1,0)</formula>
    </cfRule>
    <cfRule type="expression" dxfId="421" priority="10">
      <formula>IF($K$8="",1,0)</formula>
    </cfRule>
  </conditionalFormatting>
  <conditionalFormatting sqref="U14:V15">
    <cfRule type="expression" dxfId="420" priority="6">
      <formula>IF($G$8="",1,0)</formula>
    </cfRule>
  </conditionalFormatting>
  <conditionalFormatting sqref="W14:W15">
    <cfRule type="expression" dxfId="419" priority="2">
      <formula>IF($G$8="NEIN",1,0)</formula>
    </cfRule>
    <cfRule type="expression" dxfId="418" priority="3">
      <formula>IF($K$8="NEIN",1,0)</formula>
    </cfRule>
    <cfRule type="expression" dxfId="417" priority="4">
      <formula>IF($G$8="",1,0)</formula>
    </cfRule>
    <cfRule type="expression" dxfId="416" priority="5">
      <formula>IF($K$8="",1,0)</formula>
    </cfRule>
  </conditionalFormatting>
  <conditionalFormatting sqref="W14:W15">
    <cfRule type="expression" dxfId="415"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19!F13" display="◄"/>
    <hyperlink ref="R1:S1" location="S_21!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25889EE4-4C61-4A70-B7E1-75835E91C3D3}">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BD2419FE-5738-4AC9-AE76-4D9F767C01F3}">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B3CE4A21-8EBC-4AC0-BC75-CEC04886DFC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85109D45-2B5E-4321-BD12-C4E4129869DC}">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4" style="10" customWidth="1"/>
    <col min="21" max="21" width="6.42578125" style="10" hidden="1" customWidth="1"/>
    <col min="22" max="22" width="12.140625" style="10" hidden="1" customWidth="1"/>
    <col min="23" max="23" width="17.5703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1381</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5" t="str">
        <f>Grünland!C25</f>
        <v>-</v>
      </c>
      <c r="D2" s="2658"/>
      <c r="E2" s="2659"/>
      <c r="F2" s="818"/>
      <c r="G2" s="1800" t="s">
        <v>1002</v>
      </c>
      <c r="H2" s="2635">
        <f>Grünland!D25</f>
        <v>0</v>
      </c>
      <c r="I2" s="2636"/>
      <c r="J2" s="818"/>
      <c r="K2" s="1801" t="s">
        <v>863</v>
      </c>
      <c r="L2" s="1800" t="s">
        <v>679</v>
      </c>
      <c r="M2" s="1040">
        <f>Grünland!H25</f>
        <v>0</v>
      </c>
      <c r="N2" s="2616" t="s">
        <v>1049</v>
      </c>
      <c r="O2" s="2617"/>
      <c r="P2" s="2653">
        <f>Grünland!J25</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Grünland!G25</f>
        <v>0</v>
      </c>
      <c r="F3" s="818"/>
      <c r="G3" s="1044" t="s">
        <v>1048</v>
      </c>
      <c r="H3" s="2633">
        <f>Grünland!E25</f>
        <v>0</v>
      </c>
      <c r="I3" s="2634"/>
      <c r="J3" s="818"/>
      <c r="K3" s="818"/>
      <c r="L3" s="1050" t="s">
        <v>1050</v>
      </c>
      <c r="M3" s="2618">
        <f>Grünland!F25</f>
        <v>0</v>
      </c>
      <c r="N3" s="2619"/>
      <c r="O3" s="2619"/>
      <c r="P3" s="2619"/>
      <c r="Q3" s="2620"/>
      <c r="R3" s="1859">
        <f>Grünland!AH25</f>
        <v>0</v>
      </c>
      <c r="S3" s="1859">
        <f>Grünland!AI25</f>
        <v>0</v>
      </c>
      <c r="T3" s="1859"/>
      <c r="U3" s="819"/>
      <c r="V3" s="819"/>
      <c r="W3" s="819"/>
      <c r="X3" s="819"/>
      <c r="Y3" s="819"/>
      <c r="Z3" s="819"/>
      <c r="AA3" s="835"/>
      <c r="AB3" s="1852"/>
      <c r="AC3" s="1852"/>
      <c r="AE3" s="1860">
        <f>Grünland!AP25</f>
        <v>0</v>
      </c>
      <c r="AF3" s="1861">
        <f>Grünland!AQ25</f>
        <v>0</v>
      </c>
      <c r="AG3" s="1862">
        <f>(Grünland!AR25+Grünland!AS25)</f>
        <v>0</v>
      </c>
      <c r="AH3" s="1863">
        <f>Grünland!AT25</f>
        <v>0</v>
      </c>
      <c r="AI3" s="1860">
        <f>Grünland!AU25</f>
        <v>0</v>
      </c>
      <c r="AJ3" s="1860">
        <f>Grünland!AV25</f>
        <v>0</v>
      </c>
      <c r="AK3" s="1860">
        <f>Grünland!AW25</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Grünland!R25</f>
        <v>0</v>
      </c>
      <c r="F6" s="997">
        <f>Grünland!S25</f>
        <v>0</v>
      </c>
      <c r="G6" s="996">
        <f>Grünland!T25</f>
        <v>0</v>
      </c>
      <c r="H6" s="997">
        <f>Grünland!U25</f>
        <v>0</v>
      </c>
      <c r="I6" s="996">
        <f>Grünland!V25</f>
        <v>0</v>
      </c>
      <c r="J6" s="997">
        <f>Grünland!W25</f>
        <v>0</v>
      </c>
      <c r="K6" s="996">
        <f>Grünland!X25</f>
        <v>0</v>
      </c>
      <c r="L6" s="997">
        <f>Grünland!Y25</f>
        <v>0</v>
      </c>
      <c r="M6" s="996">
        <f>Grünland!Z25</f>
        <v>0</v>
      </c>
      <c r="N6" s="997">
        <f>Grünland!AA25</f>
        <v>0</v>
      </c>
      <c r="O6" s="996">
        <f>Grünland!AB25</f>
        <v>0</v>
      </c>
      <c r="P6" s="997">
        <f>Grünland!AC25</f>
        <v>0</v>
      </c>
      <c r="Q6" s="818"/>
      <c r="R6" s="827">
        <f>Grünland!L25</f>
        <v>0</v>
      </c>
      <c r="S6" s="1111">
        <f>Grünland!M25</f>
        <v>0</v>
      </c>
      <c r="T6" s="819"/>
      <c r="U6" s="2637">
        <f>Grünland!AL25</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reduzieren",C13="unverändert"),Grünland!$H$25,S_21!AB13)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Grünland!AH$25</f>
        <v>0</v>
      </c>
      <c r="CO13" s="1882">
        <f>Grünland!AI$25</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reduzieren",C14="unverändert"),Grünland!$H$25,S_21!AB14)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Grünland!AH$25</f>
        <v>0</v>
      </c>
      <c r="CO14" s="1882">
        <f>Grünland!AI$25</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reduzieren",C15="unverändert"),Grünland!$H$25,S_21!AB15)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Grünland!AH$25</f>
        <v>0</v>
      </c>
      <c r="CO15" s="1882">
        <f>Grünland!AI$25</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c r="A18" s="819"/>
      <c r="B18" s="819"/>
      <c r="C18" s="2660" t="s">
        <v>1052</v>
      </c>
      <c r="D18" s="2661"/>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Summen_GL!F$129</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Summen_GL!G$129</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Summen_GL!H$129</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Summen_GL!I$129</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Summen_GL!J$129</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Summen_GL!K$129</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Summen_GL!L$129</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Summen_GL!M$129</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Summen_GL!N$129</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Summen_GL!O$129</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Summen_GL!P$129</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Summen_GL!Q$129</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YYTNRZS62I8IObuBGSzTEe7gdxoDJjEKT3NYppK0ZCA1O8IcBpCojYg3uVdLpnfbLgccqkAD4R8w4JWu8qpa/w==" saltValue="eRw8vwsTknmiiDTpWO1uS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414" priority="50" stopIfTrue="1">
      <formula>#REF!="nein"</formula>
    </cfRule>
  </conditionalFormatting>
  <conditionalFormatting sqref="B39">
    <cfRule type="expression" dxfId="413" priority="49">
      <formula>#REF!="nein"</formula>
    </cfRule>
  </conditionalFormatting>
  <conditionalFormatting sqref="B41">
    <cfRule type="expression" dxfId="412" priority="48">
      <formula>$B$13=" "</formula>
    </cfRule>
  </conditionalFormatting>
  <conditionalFormatting sqref="A12:S12 A13:R15">
    <cfRule type="expression" dxfId="411" priority="45">
      <formula>IF($G$8="NEIN",1,0)</formula>
    </cfRule>
  </conditionalFormatting>
  <conditionalFormatting sqref="I8:K8">
    <cfRule type="expression" dxfId="410" priority="44">
      <formula>IF($G$8="NEIN",1,0)</formula>
    </cfRule>
  </conditionalFormatting>
  <conditionalFormatting sqref="B15">
    <cfRule type="expression" dxfId="409" priority="51">
      <formula>($B$13+B14)&lt;$H$2</formula>
    </cfRule>
  </conditionalFormatting>
  <conditionalFormatting sqref="C10">
    <cfRule type="expression" dxfId="408" priority="43">
      <formula>IF($G$8="JA",1,0)</formula>
    </cfRule>
  </conditionalFormatting>
  <conditionalFormatting sqref="A14 A15:R15">
    <cfRule type="expression" dxfId="407" priority="39">
      <formula>IF($K$8="",1,0)</formula>
    </cfRule>
    <cfRule type="expression" dxfId="406" priority="42">
      <formula>IF($K$8="NEIN",1,0)</formula>
    </cfRule>
  </conditionalFormatting>
  <conditionalFormatting sqref="B14:R14">
    <cfRule type="expression" dxfId="405" priority="38">
      <formula>IF($K$8="",1,0)</formula>
    </cfRule>
    <cfRule type="expression" dxfId="404" priority="41">
      <formula>IF($K$8="NEIN",1,0)</formula>
    </cfRule>
  </conditionalFormatting>
  <conditionalFormatting sqref="A10:S12 A13:R15">
    <cfRule type="expression" dxfId="403" priority="40">
      <formula>IF($G$8="",1,0)</formula>
    </cfRule>
  </conditionalFormatting>
  <conditionalFormatting sqref="B13:R13">
    <cfRule type="expression" dxfId="402" priority="37">
      <formula>IF($K$8="JA",1,0)</formula>
    </cfRule>
  </conditionalFormatting>
  <conditionalFormatting sqref="B14">
    <cfRule type="expression" dxfId="401" priority="35">
      <formula>IF($K$8="",1,0)</formula>
    </cfRule>
    <cfRule type="expression" dxfId="400" priority="36">
      <formula>IF($K$8="NEIN",1,0)</formula>
    </cfRule>
  </conditionalFormatting>
  <conditionalFormatting sqref="S14">
    <cfRule type="expression" dxfId="399" priority="34" stopIfTrue="1">
      <formula>#REF!="nein"</formula>
    </cfRule>
  </conditionalFormatting>
  <conditionalFormatting sqref="S15">
    <cfRule type="expression" dxfId="398" priority="33" stopIfTrue="1">
      <formula>#REF!="nein"</formula>
    </cfRule>
  </conditionalFormatting>
  <conditionalFormatting sqref="S13:S15">
    <cfRule type="expression" dxfId="397" priority="32">
      <formula>IF($G$8="NEIN",1,0)</formula>
    </cfRule>
  </conditionalFormatting>
  <conditionalFormatting sqref="S15">
    <cfRule type="expression" dxfId="396" priority="28">
      <formula>IF($K$8="",1,0)</formula>
    </cfRule>
    <cfRule type="expression" dxfId="395" priority="31">
      <formula>IF($K$8="NEIN",1,0)</formula>
    </cfRule>
  </conditionalFormatting>
  <conditionalFormatting sqref="S14">
    <cfRule type="expression" dxfId="394" priority="27">
      <formula>IF($K$8="",1,0)</formula>
    </cfRule>
    <cfRule type="expression" dxfId="393" priority="30">
      <formula>IF($K$8="NEIN",1,0)</formula>
    </cfRule>
  </conditionalFormatting>
  <conditionalFormatting sqref="S13:S15">
    <cfRule type="expression" dxfId="392" priority="29">
      <formula>IF($G$8="",1,0)</formula>
    </cfRule>
  </conditionalFormatting>
  <conditionalFormatting sqref="S13">
    <cfRule type="expression" dxfId="391" priority="26">
      <formula>IF($K$8="JA",1,0)</formula>
    </cfRule>
  </conditionalFormatting>
  <conditionalFormatting sqref="S14">
    <cfRule type="expression" dxfId="390" priority="24">
      <formula>IF($K$8="JA",1,0)</formula>
    </cfRule>
  </conditionalFormatting>
  <conditionalFormatting sqref="S15">
    <cfRule type="expression" dxfId="389" priority="22">
      <formula>IF($K$8="JA",1,0)</formula>
    </cfRule>
  </conditionalFormatting>
  <conditionalFormatting sqref="U13:W13">
    <cfRule type="expression" dxfId="388" priority="18">
      <formula>IF($G$8="NEIN",1,0)</formula>
    </cfRule>
    <cfRule type="expression" dxfId="387" priority="19">
      <formula>IF($G$8="",1,0)</formula>
    </cfRule>
    <cfRule type="expression" dxfId="386" priority="20">
      <formula>IF($K$8="JA",1,0)</formula>
    </cfRule>
  </conditionalFormatting>
  <conditionalFormatting sqref="U11:W13">
    <cfRule type="expression" dxfId="385" priority="17">
      <formula>IF($G$8="",1,0)</formula>
    </cfRule>
  </conditionalFormatting>
  <conditionalFormatting sqref="U11:W13">
    <cfRule type="expression" dxfId="384" priority="16">
      <formula>IF($G$8="NEIN",1,0)</formula>
    </cfRule>
  </conditionalFormatting>
  <conditionalFormatting sqref="U14:V15">
    <cfRule type="expression" dxfId="383" priority="7">
      <formula>IF($G$8="NEIN",1,0)</formula>
    </cfRule>
    <cfRule type="expression" dxfId="382" priority="8">
      <formula>IF($K$8="NEIN",1,0)</formula>
    </cfRule>
    <cfRule type="expression" dxfId="381" priority="9">
      <formula>IF($G$8="",1,0)</formula>
    </cfRule>
    <cfRule type="expression" dxfId="380" priority="10">
      <formula>IF($K$8="",1,0)</formula>
    </cfRule>
  </conditionalFormatting>
  <conditionalFormatting sqref="U14:V15">
    <cfRule type="expression" dxfId="379" priority="6">
      <formula>IF($G$8="",1,0)</formula>
    </cfRule>
  </conditionalFormatting>
  <conditionalFormatting sqref="W14:W15">
    <cfRule type="expression" dxfId="378" priority="2">
      <formula>IF($G$8="NEIN",1,0)</formula>
    </cfRule>
    <cfRule type="expression" dxfId="377" priority="3">
      <formula>IF($K$8="NEIN",1,0)</formula>
    </cfRule>
    <cfRule type="expression" dxfId="376" priority="4">
      <formula>IF($G$8="",1,0)</formula>
    </cfRule>
    <cfRule type="expression" dxfId="375" priority="5">
      <formula>IF($K$8="",1,0)</formula>
    </cfRule>
  </conditionalFormatting>
  <conditionalFormatting sqref="W14:W15">
    <cfRule type="expression" dxfId="374" priority="1">
      <formula>IF($G$8="",1,0)</formula>
    </cfRule>
  </conditionalFormatting>
  <dataValidations count="5">
    <dataValidation type="list" allowBlank="1" showInputMessage="1" showErrorMessage="1" sqref="K13:K15 M13:M15 O13:O15 E13:E15 G13:G15 I13:I15 I37 G37 E37 G39 M37 K37 K41 K39 M41 M39 I41 I39 E41 E39 G41">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S_20!F13" display="◄"/>
    <hyperlink ref="R1:S1" location="S_22!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3B6E3699-8B2E-4BC1-AC4B-1AA679BDBA91}">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B45299AB-C70B-4C6F-A449-350BA7FC368C}">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C182CAA6-61B2-40BB-9045-5DD50F3AC03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EFA47269-9BB2-4960-9ED2-3F66C8D9484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7109375" style="10" customWidth="1"/>
    <col min="2" max="2" width="6.7109375" style="10" customWidth="1"/>
    <col min="3"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5703125" style="10" customWidth="1"/>
    <col min="18" max="18" width="8.85546875" style="10" customWidth="1"/>
    <col min="19" max="19" width="7.85546875" style="10" customWidth="1"/>
    <col min="20" max="20" width="3.85546875" style="10" customWidth="1"/>
    <col min="21" max="21" width="6.42578125" style="10" hidden="1" customWidth="1"/>
    <col min="22" max="22" width="12" style="10" hidden="1" customWidth="1"/>
    <col min="23" max="23" width="17.710937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16384" width="12.7109375" style="10"/>
  </cols>
  <sheetData>
    <row r="1" spans="1:256" s="760" customFormat="1" ht="27" customHeight="1" thickBot="1">
      <c r="A1" s="1805" t="s">
        <v>1382</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row>
    <row r="2" spans="1:256" s="760" customFormat="1" ht="19.5" customHeight="1">
      <c r="A2" s="818"/>
      <c r="B2" s="1043"/>
      <c r="C2" s="2654" t="str">
        <f>Grünland!C26</f>
        <v>-</v>
      </c>
      <c r="D2" s="2663"/>
      <c r="E2" s="2664"/>
      <c r="F2" s="818"/>
      <c r="G2" s="1800" t="s">
        <v>1002</v>
      </c>
      <c r="H2" s="2635">
        <f>Grünland!D26</f>
        <v>0</v>
      </c>
      <c r="I2" s="2636"/>
      <c r="J2" s="818"/>
      <c r="K2" s="1801" t="s">
        <v>863</v>
      </c>
      <c r="L2" s="1800" t="s">
        <v>679</v>
      </c>
      <c r="M2" s="1040">
        <f>Grünland!H26</f>
        <v>0</v>
      </c>
      <c r="N2" s="2616" t="s">
        <v>1049</v>
      </c>
      <c r="O2" s="2617"/>
      <c r="P2" s="2653">
        <f>Grünland!J26</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row>
    <row r="3" spans="1:256" s="760" customFormat="1" ht="19.5" customHeight="1" thickBot="1">
      <c r="A3" s="818"/>
      <c r="B3" s="818"/>
      <c r="C3" s="2628" t="s">
        <v>862</v>
      </c>
      <c r="D3" s="2628"/>
      <c r="E3" s="1051">
        <f>Grünland!G26</f>
        <v>0</v>
      </c>
      <c r="F3" s="818"/>
      <c r="G3" s="1044" t="s">
        <v>1048</v>
      </c>
      <c r="H3" s="2633">
        <f>Grünland!E26</f>
        <v>0</v>
      </c>
      <c r="I3" s="2634"/>
      <c r="J3" s="818"/>
      <c r="K3" s="818"/>
      <c r="L3" s="1050" t="s">
        <v>1050</v>
      </c>
      <c r="M3" s="2618">
        <f>Grünland!F26</f>
        <v>0</v>
      </c>
      <c r="N3" s="2619"/>
      <c r="O3" s="2619"/>
      <c r="P3" s="2619"/>
      <c r="Q3" s="2620"/>
      <c r="R3" s="1859">
        <f>Grünland!AH26</f>
        <v>0</v>
      </c>
      <c r="S3" s="1859">
        <f>Grünland!AI26</f>
        <v>0</v>
      </c>
      <c r="T3" s="1859"/>
      <c r="U3" s="819"/>
      <c r="V3" s="819"/>
      <c r="W3" s="819"/>
      <c r="X3" s="819"/>
      <c r="Y3" s="819"/>
      <c r="Z3" s="819"/>
      <c r="AA3" s="835"/>
      <c r="AB3" s="1852"/>
      <c r="AC3" s="1852"/>
      <c r="AE3" s="1860">
        <f>Grünland!AP26</f>
        <v>0</v>
      </c>
      <c r="AF3" s="1861">
        <f>Grünland!AQ26</f>
        <v>0</v>
      </c>
      <c r="AG3" s="1862">
        <f>(Grünland!AR26+Grünland!AS26)</f>
        <v>0</v>
      </c>
      <c r="AH3" s="1863">
        <f>Grünland!AT26</f>
        <v>0</v>
      </c>
      <c r="AI3" s="1860">
        <f>Grünland!AU26</f>
        <v>0</v>
      </c>
      <c r="AJ3" s="1860">
        <f>Grünland!AV26</f>
        <v>0</v>
      </c>
      <c r="AK3" s="1860">
        <f>Grünland!AW26</f>
        <v>0</v>
      </c>
      <c r="AL3" s="1860">
        <v>0</v>
      </c>
      <c r="AM3" s="1860">
        <v>0</v>
      </c>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row>
    <row r="6" spans="1:256" s="760" customFormat="1" ht="19.5" customHeight="1">
      <c r="A6" s="818"/>
      <c r="B6" s="818"/>
      <c r="C6" s="2623"/>
      <c r="D6" s="2624"/>
      <c r="E6" s="996">
        <f>Grünland!R26</f>
        <v>0</v>
      </c>
      <c r="F6" s="997">
        <f>Grünland!S26</f>
        <v>0</v>
      </c>
      <c r="G6" s="996">
        <f>Grünland!T26</f>
        <v>0</v>
      </c>
      <c r="H6" s="997">
        <f>Grünland!U26</f>
        <v>0</v>
      </c>
      <c r="I6" s="996">
        <f>Grünland!V26</f>
        <v>0</v>
      </c>
      <c r="J6" s="997">
        <f>Grünland!W26</f>
        <v>0</v>
      </c>
      <c r="K6" s="996">
        <f>Grünland!X26</f>
        <v>0</v>
      </c>
      <c r="L6" s="997">
        <f>Grünland!Y26</f>
        <v>0</v>
      </c>
      <c r="M6" s="996">
        <f>Grünland!Z26</f>
        <v>0</v>
      </c>
      <c r="N6" s="997">
        <f>Grünland!AA26</f>
        <v>0</v>
      </c>
      <c r="O6" s="996">
        <f>Grünland!AB26</f>
        <v>0</v>
      </c>
      <c r="P6" s="997">
        <f>Grünland!AC26</f>
        <v>0</v>
      </c>
      <c r="Q6" s="818"/>
      <c r="R6" s="827">
        <f>Grünland!L26</f>
        <v>0</v>
      </c>
      <c r="S6" s="1111">
        <f>Grünland!M26</f>
        <v>0</v>
      </c>
      <c r="T6" s="819"/>
      <c r="U6" s="2637">
        <f>Grünland!AL26</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80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833">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reduzieren",C13="unverändert"),Grünland!$H$26,S_22!AB13)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Grünland!AH$26</f>
        <v>0</v>
      </c>
      <c r="CO13" s="1882">
        <f>Grünland!AI$26</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reduzieren",C14="unverändert"),Grünland!$H$26,S_22!AB14)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Grünland!AH$26</f>
        <v>0</v>
      </c>
      <c r="CO14" s="1882">
        <f>Grünland!AI$26</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reduzieren",C15="unverändert"),Grünland!$H$26,S_22!AB15)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Grünland!AH$26</f>
        <v>0</v>
      </c>
      <c r="CO15" s="1882">
        <f>Grünland!AI$26</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row>
    <row r="18" spans="1:111" s="1852" customFormat="1" ht="22.5" customHeight="1">
      <c r="A18" s="819"/>
      <c r="B18" s="819"/>
      <c r="C18" s="2660" t="s">
        <v>1052</v>
      </c>
      <c r="D18" s="2661"/>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row>
    <row r="19" spans="1:111" s="1852" customFormat="1" ht="30.75"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row>
    <row r="20" spans="1:111" s="1852" customFormat="1" ht="19.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Summen_GL!F$130</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CD20" s="1852">
        <v>1</v>
      </c>
      <c r="CE20" s="1852" t="s">
        <v>830</v>
      </c>
    </row>
    <row r="21" spans="1:111" s="1852" customFormat="1" ht="19.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Summen_GL!G$130</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9.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Summen_GL!H$130</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9.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Summen_GL!I$130</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9.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Summen_GL!J$130</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9.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Summen_GL!K$130</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9.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Summen_GL!L$130</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9.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Summen_GL!M$130</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9.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Summen_GL!N$130</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9.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Summen_GL!O$130</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9.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Summen_GL!P$130</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9.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Summen_GL!Q$130</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9.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9.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42"/>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9.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9.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9.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aW9m++W6jaEBYWjq9pioNCFu0zfPnD06t+7wNEKU9KS8NYKMZLcztuEMthQfc2NgSZyhtFSMZMkr4bfSCaYXxA==" saltValue="S0aMh6Pe8urqMfCjZhDPs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373" priority="50" stopIfTrue="1">
      <formula>#REF!="nein"</formula>
    </cfRule>
  </conditionalFormatting>
  <conditionalFormatting sqref="B39">
    <cfRule type="expression" dxfId="372" priority="49">
      <formula>#REF!="nein"</formula>
    </cfRule>
  </conditionalFormatting>
  <conditionalFormatting sqref="B41">
    <cfRule type="expression" dxfId="371" priority="48">
      <formula>$B$13=" "</formula>
    </cfRule>
  </conditionalFormatting>
  <conditionalFormatting sqref="A12:S12 A13:R15">
    <cfRule type="expression" dxfId="370" priority="45">
      <formula>IF($G$8="NEIN",1,0)</formula>
    </cfRule>
  </conditionalFormatting>
  <conditionalFormatting sqref="I8:K8">
    <cfRule type="expression" dxfId="369" priority="44">
      <formula>IF($G$8="NEIN",1,0)</formula>
    </cfRule>
  </conditionalFormatting>
  <conditionalFormatting sqref="B15">
    <cfRule type="expression" dxfId="368" priority="51">
      <formula>($B$13+B14)&lt;$H$2</formula>
    </cfRule>
  </conditionalFormatting>
  <conditionalFormatting sqref="C10">
    <cfRule type="expression" dxfId="367" priority="43">
      <formula>IF($G$8="JA",1,0)</formula>
    </cfRule>
  </conditionalFormatting>
  <conditionalFormatting sqref="A14 A15:R15">
    <cfRule type="expression" dxfId="366" priority="39">
      <formula>IF($K$8="",1,0)</formula>
    </cfRule>
    <cfRule type="expression" dxfId="365" priority="42">
      <formula>IF($K$8="NEIN",1,0)</formula>
    </cfRule>
  </conditionalFormatting>
  <conditionalFormatting sqref="B14:R14">
    <cfRule type="expression" dxfId="364" priority="38">
      <formula>IF($K$8="",1,0)</formula>
    </cfRule>
    <cfRule type="expression" dxfId="363" priority="41">
      <formula>IF($K$8="NEIN",1,0)</formula>
    </cfRule>
  </conditionalFormatting>
  <conditionalFormatting sqref="A10:S12 A13:R15">
    <cfRule type="expression" dxfId="362" priority="40">
      <formula>IF($G$8="",1,0)</formula>
    </cfRule>
  </conditionalFormatting>
  <conditionalFormatting sqref="B13:R13">
    <cfRule type="expression" dxfId="361" priority="37">
      <formula>IF($K$8="JA",1,0)</formula>
    </cfRule>
  </conditionalFormatting>
  <conditionalFormatting sqref="B14">
    <cfRule type="expression" dxfId="360" priority="35">
      <formula>IF($K$8="",1,0)</formula>
    </cfRule>
    <cfRule type="expression" dxfId="359" priority="36">
      <formula>IF($K$8="NEIN",1,0)</formula>
    </cfRule>
  </conditionalFormatting>
  <conditionalFormatting sqref="S14">
    <cfRule type="expression" dxfId="358" priority="34" stopIfTrue="1">
      <formula>#REF!="nein"</formula>
    </cfRule>
  </conditionalFormatting>
  <conditionalFormatting sqref="S15">
    <cfRule type="expression" dxfId="357" priority="33" stopIfTrue="1">
      <formula>#REF!="nein"</formula>
    </cfRule>
  </conditionalFormatting>
  <conditionalFormatting sqref="S13:S15">
    <cfRule type="expression" dxfId="356" priority="32">
      <formula>IF($G$8="NEIN",1,0)</formula>
    </cfRule>
  </conditionalFormatting>
  <conditionalFormatting sqref="S15">
    <cfRule type="expression" dxfId="355" priority="28">
      <formula>IF($K$8="",1,0)</formula>
    </cfRule>
    <cfRule type="expression" dxfId="354" priority="31">
      <formula>IF($K$8="NEIN",1,0)</formula>
    </cfRule>
  </conditionalFormatting>
  <conditionalFormatting sqref="S14">
    <cfRule type="expression" dxfId="353" priority="27">
      <formula>IF($K$8="",1,0)</formula>
    </cfRule>
    <cfRule type="expression" dxfId="352" priority="30">
      <formula>IF($K$8="NEIN",1,0)</formula>
    </cfRule>
  </conditionalFormatting>
  <conditionalFormatting sqref="S13:S15">
    <cfRule type="expression" dxfId="351" priority="29">
      <formula>IF($G$8="",1,0)</formula>
    </cfRule>
  </conditionalFormatting>
  <conditionalFormatting sqref="S13">
    <cfRule type="expression" dxfId="350" priority="26">
      <formula>IF($K$8="JA",1,0)</formula>
    </cfRule>
  </conditionalFormatting>
  <conditionalFormatting sqref="S14">
    <cfRule type="expression" dxfId="349" priority="24">
      <formula>IF($K$8="JA",1,0)</formula>
    </cfRule>
  </conditionalFormatting>
  <conditionalFormatting sqref="S15">
    <cfRule type="expression" dxfId="348" priority="22">
      <formula>IF($K$8="JA",1,0)</formula>
    </cfRule>
  </conditionalFormatting>
  <conditionalFormatting sqref="U13:W13">
    <cfRule type="expression" dxfId="347" priority="18">
      <formula>IF($G$8="NEIN",1,0)</formula>
    </cfRule>
    <cfRule type="expression" dxfId="346" priority="19">
      <formula>IF($G$8="",1,0)</formula>
    </cfRule>
    <cfRule type="expression" dxfId="345" priority="20">
      <formula>IF($K$8="JA",1,0)</formula>
    </cfRule>
  </conditionalFormatting>
  <conditionalFormatting sqref="U11:W13">
    <cfRule type="expression" dxfId="344" priority="17">
      <formula>IF($G$8="",1,0)</formula>
    </cfRule>
  </conditionalFormatting>
  <conditionalFormatting sqref="U11:W13">
    <cfRule type="expression" dxfId="343" priority="16">
      <formula>IF($G$8="NEIN",1,0)</formula>
    </cfRule>
  </conditionalFormatting>
  <conditionalFormatting sqref="U14:V15">
    <cfRule type="expression" dxfId="342" priority="7">
      <formula>IF($G$8="NEIN",1,0)</formula>
    </cfRule>
    <cfRule type="expression" dxfId="341" priority="8">
      <formula>IF($K$8="NEIN",1,0)</formula>
    </cfRule>
    <cfRule type="expression" dxfId="340" priority="9">
      <formula>IF($G$8="",1,0)</formula>
    </cfRule>
    <cfRule type="expression" dxfId="339" priority="10">
      <formula>IF($K$8="",1,0)</formula>
    </cfRule>
  </conditionalFormatting>
  <conditionalFormatting sqref="U14:V15">
    <cfRule type="expression" dxfId="338" priority="6">
      <formula>IF($G$8="",1,0)</formula>
    </cfRule>
  </conditionalFormatting>
  <conditionalFormatting sqref="W14:W15">
    <cfRule type="expression" dxfId="337" priority="2">
      <formula>IF($G$8="NEIN",1,0)</formula>
    </cfRule>
    <cfRule type="expression" dxfId="336" priority="3">
      <formula>IF($K$8="NEIN",1,0)</formula>
    </cfRule>
    <cfRule type="expression" dxfId="335" priority="4">
      <formula>IF($G$8="",1,0)</formula>
    </cfRule>
    <cfRule type="expression" dxfId="334" priority="5">
      <formula>IF($K$8="",1,0)</formula>
    </cfRule>
  </conditionalFormatting>
  <conditionalFormatting sqref="W14:W15">
    <cfRule type="expression" dxfId="333" priority="1">
      <formula>IF($G$8="",1,0)</formula>
    </cfRule>
  </conditionalFormatting>
  <dataValidations count="5">
    <dataValidation type="list" allowBlank="1" showInputMessage="1" showErrorMessage="1" sqref="K13:K15 M13:M15 O13:O15 E13:E15 G13:G15 I13:I15 I37 G37 E37 G39 M37 K37 K41 K39 M41 M39 I41 I39 E41 E39 G41">
      <formula1>meine_Dünger</formula1>
    </dataValidation>
    <dataValidation type="list" allowBlank="1" showErrorMessage="1" sqref="E36 C39:D39 C41:D41">
      <formula1>Liste_Nutzung</formula1>
    </dataValidation>
    <dataValidation type="list" allowBlank="1" showInputMessage="1" showErrorMessage="1" sqref="K34 G34">
      <formula1>Liste_ja</formula1>
    </dataValidation>
    <dataValidation showDropDown="1" showErrorMessage="1" sqref="D13:D15"/>
    <dataValidation type="list" operator="equal" allowBlank="1" showErrorMessage="1" sqref="CP16:CP20">
      <formula1>"düngerliste"</formula1>
      <formula2>0</formula2>
    </dataValidation>
  </dataValidations>
  <hyperlinks>
    <hyperlink ref="C10" location="S_2!A1" display="Keine Bewirtschaftungsänderung - Weiter zum nächsten Feldstück"/>
    <hyperlink ref="Q1" location="S_21!F13" display="◄"/>
    <hyperlink ref="R1:S1" location="S_23!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47" id="{B897A18C-1E02-4A72-B731-E95EA8124564}">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0B94125C-9C77-4C7B-B4C4-C5E1D645703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28AF26BE-E3E0-43E2-A288-7E63A6CA5A78}">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9C38ECB9-A175-4CA8-9725-8E4CF956CD5B}">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Tabelle1!$AN$5:$AN$7</xm:f>
          </x14:formula1>
          <xm:sqref>G8 K8</xm:sqref>
        </x14:dataValidation>
        <x14:dataValidation type="list" allowBlank="1" showErrorMessage="1">
          <x14:formula1>
            <xm:f>Grünland!$E$39:$E$47</xm:f>
          </x14:formula1>
          <xm:sqref>C13:C15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7.42578125" style="10" hidden="1" customWidth="1"/>
    <col min="22" max="22" width="11.85546875"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1383</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Grünland!C27</f>
        <v>-</v>
      </c>
      <c r="D2" s="2626"/>
      <c r="E2" s="2627"/>
      <c r="F2" s="818"/>
      <c r="G2" s="1800" t="s">
        <v>1002</v>
      </c>
      <c r="H2" s="2635">
        <f>Grünland!D27</f>
        <v>0</v>
      </c>
      <c r="I2" s="2636"/>
      <c r="J2" s="818"/>
      <c r="K2" s="1801" t="s">
        <v>863</v>
      </c>
      <c r="L2" s="1800" t="s">
        <v>679</v>
      </c>
      <c r="M2" s="1040">
        <f>Grünland!H27</f>
        <v>0</v>
      </c>
      <c r="N2" s="2616" t="s">
        <v>1049</v>
      </c>
      <c r="O2" s="2617"/>
      <c r="P2" s="2653">
        <f>Grünland!J27</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Grünland!G27</f>
        <v>0</v>
      </c>
      <c r="F3" s="818"/>
      <c r="G3" s="1044" t="s">
        <v>1048</v>
      </c>
      <c r="H3" s="2633">
        <f>Grünland!E27</f>
        <v>0</v>
      </c>
      <c r="I3" s="2634"/>
      <c r="J3" s="818"/>
      <c r="K3" s="818"/>
      <c r="L3" s="1050" t="s">
        <v>1050</v>
      </c>
      <c r="M3" s="2618">
        <f>Grünland!F27</f>
        <v>0</v>
      </c>
      <c r="N3" s="2619"/>
      <c r="O3" s="2619"/>
      <c r="P3" s="2619"/>
      <c r="Q3" s="2620"/>
      <c r="R3" s="1859">
        <f>Grünland!AH27</f>
        <v>0</v>
      </c>
      <c r="S3" s="1859">
        <f>Grünland!AI27</f>
        <v>0</v>
      </c>
      <c r="T3" s="1859"/>
      <c r="U3" s="819"/>
      <c r="V3" s="819"/>
      <c r="W3" s="819"/>
      <c r="X3" s="819"/>
      <c r="Y3" s="819"/>
      <c r="Z3" s="819"/>
      <c r="AA3" s="835"/>
      <c r="AB3" s="1852"/>
      <c r="AC3" s="1852"/>
      <c r="AE3" s="1860">
        <f>Grünland!AP27</f>
        <v>0</v>
      </c>
      <c r="AF3" s="1861">
        <f>Grünland!AQ27</f>
        <v>0</v>
      </c>
      <c r="AG3" s="1862">
        <f>(Grünland!AR27+Grünland!AS27)</f>
        <v>0</v>
      </c>
      <c r="AH3" s="1863">
        <f>Grünland!AT27</f>
        <v>0</v>
      </c>
      <c r="AI3" s="1860">
        <f>Grünland!AU27</f>
        <v>0</v>
      </c>
      <c r="AJ3" s="1860">
        <f>Grünland!AV27</f>
        <v>0</v>
      </c>
      <c r="AK3" s="1860">
        <f>Grünland!AW27</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Grünland!R27</f>
        <v>0</v>
      </c>
      <c r="F6" s="997">
        <f>Grünland!S27</f>
        <v>0</v>
      </c>
      <c r="G6" s="996">
        <f>Grünland!T27</f>
        <v>0</v>
      </c>
      <c r="H6" s="997">
        <f>Grünland!U27</f>
        <v>0</v>
      </c>
      <c r="I6" s="996">
        <f>Grünland!V27</f>
        <v>0</v>
      </c>
      <c r="J6" s="997">
        <f>Grünland!W27</f>
        <v>0</v>
      </c>
      <c r="K6" s="996">
        <f>Grünland!X27</f>
        <v>0</v>
      </c>
      <c r="L6" s="997">
        <f>Grünland!Y27</f>
        <v>0</v>
      </c>
      <c r="M6" s="996">
        <f>Grünland!Z27</f>
        <v>0</v>
      </c>
      <c r="N6" s="997">
        <f>Grünland!AA27</f>
        <v>0</v>
      </c>
      <c r="O6" s="996">
        <f>Grünland!AB27</f>
        <v>0</v>
      </c>
      <c r="P6" s="997">
        <f>Grünland!AC27</f>
        <v>0</v>
      </c>
      <c r="Q6" s="818"/>
      <c r="R6" s="827">
        <f>Grünland!L27</f>
        <v>0</v>
      </c>
      <c r="S6" s="1111">
        <f>Grünland!M27</f>
        <v>0</v>
      </c>
      <c r="T6" s="819"/>
      <c r="U6" s="2637">
        <f>Grünland!AL27</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reduzieren",C13="unverändert"),Grünland!$H$27,S_23!AB13)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Grünland!AH$27</f>
        <v>0</v>
      </c>
      <c r="CO13" s="1882">
        <f>Grünland!AI$27</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reduzieren",C14="unverändert"),Grünland!$H$27,S_23!AB14)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Grünland!AH$27</f>
        <v>0</v>
      </c>
      <c r="CO14" s="1882">
        <f>Grünland!AI$27</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reduzieren",C15="unverändert"),Grünland!$H$27,S_23!AB15)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Grünland!AH$27</f>
        <v>0</v>
      </c>
      <c r="CO15" s="1882">
        <f>Grünland!AI$27</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Summen_GL!F$131</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Summen_GL!G$131</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Summen_GL!H$131</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Summen_GL!I$131</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Summen_GL!J$131</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Summen_GL!K$131</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Summen_GL!L$131</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Summen_GL!M$131</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Summen_GL!N$131</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Summen_GL!O$131</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Summen_GL!P$131</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Summen_GL!Q$131</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vG1Y6NbdxxCWoqjwR1Sb2ep9gpSEn/UoX5V+Mr5YAarNX5nbrD360U+ykh+c1rIdD4V7TjBYdwXrDxD91xNKCg==" saltValue="XqZH1iSKnckksiiYcrzhBA=="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332" priority="55" stopIfTrue="1">
      <formula>#REF!="nein"</formula>
    </cfRule>
  </conditionalFormatting>
  <conditionalFormatting sqref="B39">
    <cfRule type="expression" dxfId="331" priority="54">
      <formula>#REF!="nein"</formula>
    </cfRule>
  </conditionalFormatting>
  <conditionalFormatting sqref="B41">
    <cfRule type="expression" dxfId="330" priority="53">
      <formula>$B$13=" "</formula>
    </cfRule>
  </conditionalFormatting>
  <conditionalFormatting sqref="A12:S12 A13:R15">
    <cfRule type="expression" dxfId="329" priority="50">
      <formula>IF($G$8="NEIN",1,0)</formula>
    </cfRule>
  </conditionalFormatting>
  <conditionalFormatting sqref="I8:K8">
    <cfRule type="expression" dxfId="328" priority="49">
      <formula>IF($G$8="NEIN",1,0)</formula>
    </cfRule>
  </conditionalFormatting>
  <conditionalFormatting sqref="B15">
    <cfRule type="expression" dxfId="327" priority="56">
      <formula>($B$13+B14)&lt;$H$2</formula>
    </cfRule>
  </conditionalFormatting>
  <conditionalFormatting sqref="C10">
    <cfRule type="expression" dxfId="326" priority="48">
      <formula>IF($G$8="JA",1,0)</formula>
    </cfRule>
  </conditionalFormatting>
  <conditionalFormatting sqref="A14 A15:R15">
    <cfRule type="expression" dxfId="325" priority="44">
      <formula>IF($K$8="",1,0)</formula>
    </cfRule>
    <cfRule type="expression" dxfId="324" priority="47">
      <formula>IF($K$8="NEIN",1,0)</formula>
    </cfRule>
  </conditionalFormatting>
  <conditionalFormatting sqref="B14:R14">
    <cfRule type="expression" dxfId="323" priority="43">
      <formula>IF($K$8="",1,0)</formula>
    </cfRule>
    <cfRule type="expression" dxfId="322" priority="46">
      <formula>IF($K$8="NEIN",1,0)</formula>
    </cfRule>
  </conditionalFormatting>
  <conditionalFormatting sqref="A10:S12 A13:R15">
    <cfRule type="expression" dxfId="321" priority="45">
      <formula>IF($G$8="",1,0)</formula>
    </cfRule>
  </conditionalFormatting>
  <conditionalFormatting sqref="B13:R13">
    <cfRule type="expression" dxfId="320" priority="42">
      <formula>IF($K$8="JA",1,0)</formula>
    </cfRule>
  </conditionalFormatting>
  <conditionalFormatting sqref="B14">
    <cfRule type="expression" dxfId="319" priority="40">
      <formula>IF($K$8="",1,0)</formula>
    </cfRule>
    <cfRule type="expression" dxfId="318" priority="41">
      <formula>IF($K$8="NEIN",1,0)</formula>
    </cfRule>
  </conditionalFormatting>
  <conditionalFormatting sqref="S14">
    <cfRule type="expression" dxfId="317" priority="34" stopIfTrue="1">
      <formula>#REF!="nein"</formula>
    </cfRule>
  </conditionalFormatting>
  <conditionalFormatting sqref="S15">
    <cfRule type="expression" dxfId="316" priority="33" stopIfTrue="1">
      <formula>#REF!="nein"</formula>
    </cfRule>
  </conditionalFormatting>
  <conditionalFormatting sqref="S13:S15">
    <cfRule type="expression" dxfId="315" priority="32">
      <formula>IF($G$8="NEIN",1,0)</formula>
    </cfRule>
  </conditionalFormatting>
  <conditionalFormatting sqref="S15">
    <cfRule type="expression" dxfId="314" priority="28">
      <formula>IF($K$8="",1,0)</formula>
    </cfRule>
    <cfRule type="expression" dxfId="313" priority="31">
      <formula>IF($K$8="NEIN",1,0)</formula>
    </cfRule>
  </conditionalFormatting>
  <conditionalFormatting sqref="S14">
    <cfRule type="expression" dxfId="312" priority="27">
      <formula>IF($K$8="",1,0)</formula>
    </cfRule>
    <cfRule type="expression" dxfId="311" priority="30">
      <formula>IF($K$8="NEIN",1,0)</formula>
    </cfRule>
  </conditionalFormatting>
  <conditionalFormatting sqref="S13:S15">
    <cfRule type="expression" dxfId="310" priority="29">
      <formula>IF($G$8="",1,0)</formula>
    </cfRule>
  </conditionalFormatting>
  <conditionalFormatting sqref="S13">
    <cfRule type="expression" dxfId="309" priority="26">
      <formula>IF($K$8="JA",1,0)</formula>
    </cfRule>
  </conditionalFormatting>
  <conditionalFormatting sqref="S14">
    <cfRule type="expression" dxfId="308" priority="24">
      <formula>IF($K$8="JA",1,0)</formula>
    </cfRule>
  </conditionalFormatting>
  <conditionalFormatting sqref="S15">
    <cfRule type="expression" dxfId="307" priority="22">
      <formula>IF($K$8="JA",1,0)</formula>
    </cfRule>
  </conditionalFormatting>
  <conditionalFormatting sqref="U13:W13">
    <cfRule type="expression" dxfId="306" priority="18">
      <formula>IF($G$8="NEIN",1,0)</formula>
    </cfRule>
    <cfRule type="expression" dxfId="305" priority="19">
      <formula>IF($G$8="",1,0)</formula>
    </cfRule>
    <cfRule type="expression" dxfId="304" priority="20">
      <formula>IF($K$8="JA",1,0)</formula>
    </cfRule>
  </conditionalFormatting>
  <conditionalFormatting sqref="U11:W13">
    <cfRule type="expression" dxfId="303" priority="17">
      <formula>IF($G$8="",1,0)</formula>
    </cfRule>
  </conditionalFormatting>
  <conditionalFormatting sqref="U11:W13">
    <cfRule type="expression" dxfId="302" priority="16">
      <formula>IF($G$8="NEIN",1,0)</formula>
    </cfRule>
  </conditionalFormatting>
  <conditionalFormatting sqref="U14:V15">
    <cfRule type="expression" dxfId="301" priority="7">
      <formula>IF($G$8="NEIN",1,0)</formula>
    </cfRule>
    <cfRule type="expression" dxfId="300" priority="8">
      <formula>IF($K$8="NEIN",1,0)</formula>
    </cfRule>
    <cfRule type="expression" dxfId="299" priority="9">
      <formula>IF($G$8="",1,0)</formula>
    </cfRule>
    <cfRule type="expression" dxfId="298" priority="10">
      <formula>IF($K$8="",1,0)</formula>
    </cfRule>
  </conditionalFormatting>
  <conditionalFormatting sqref="U14:V15">
    <cfRule type="expression" dxfId="297" priority="6">
      <formula>IF($G$8="",1,0)</formula>
    </cfRule>
  </conditionalFormatting>
  <conditionalFormatting sqref="W14:W15">
    <cfRule type="expression" dxfId="296" priority="2">
      <formula>IF($G$8="NEIN",1,0)</formula>
    </cfRule>
    <cfRule type="expression" dxfId="295" priority="3">
      <formula>IF($K$8="NEIN",1,0)</formula>
    </cfRule>
    <cfRule type="expression" dxfId="294" priority="4">
      <formula>IF($G$8="",1,0)</formula>
    </cfRule>
    <cfRule type="expression" dxfId="293" priority="5">
      <formula>IF($K$8="",1,0)</formula>
    </cfRule>
  </conditionalFormatting>
  <conditionalFormatting sqref="W14:W15">
    <cfRule type="expression" dxfId="292"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22!F13" display="◄"/>
    <hyperlink ref="R1:S1" location="S_24!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E10918B2-EBDD-475D-B70B-7BF7B6F13FE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13E615A3-56D0-4113-8961-2D1049D0AC6C}">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A357DF6B-7F44-4D5E-9EC8-48D4214F592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9DE19FAA-933C-4CA4-8463-03DB2C42900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5703125" style="10" hidden="1" customWidth="1"/>
    <col min="22" max="22" width="12" style="10" hidden="1" customWidth="1"/>
    <col min="23" max="23" width="17.42578125" style="10" hidden="1" customWidth="1"/>
    <col min="24" max="24" width="13.710937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1384</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Grünland!C28</f>
        <v>-</v>
      </c>
      <c r="D2" s="2626"/>
      <c r="E2" s="2627"/>
      <c r="F2" s="818"/>
      <c r="G2" s="1800" t="s">
        <v>1002</v>
      </c>
      <c r="H2" s="2635">
        <f>Grünland!D28</f>
        <v>0</v>
      </c>
      <c r="I2" s="2636"/>
      <c r="J2" s="818"/>
      <c r="K2" s="1801" t="s">
        <v>863</v>
      </c>
      <c r="L2" s="1800" t="s">
        <v>679</v>
      </c>
      <c r="M2" s="1040">
        <f>Grünland!H28</f>
        <v>0</v>
      </c>
      <c r="N2" s="2616" t="s">
        <v>1049</v>
      </c>
      <c r="O2" s="2617"/>
      <c r="P2" s="2653">
        <f>Grünland!J28</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Grünland!G28</f>
        <v>0</v>
      </c>
      <c r="F3" s="818"/>
      <c r="G3" s="1044" t="s">
        <v>1048</v>
      </c>
      <c r="H3" s="2633">
        <f>Grünland!E28</f>
        <v>0</v>
      </c>
      <c r="I3" s="2634"/>
      <c r="J3" s="818"/>
      <c r="K3" s="818"/>
      <c r="L3" s="1050" t="s">
        <v>1050</v>
      </c>
      <c r="M3" s="2618">
        <f>Grünland!F28</f>
        <v>0</v>
      </c>
      <c r="N3" s="2619"/>
      <c r="O3" s="2619"/>
      <c r="P3" s="2619"/>
      <c r="Q3" s="2620"/>
      <c r="R3" s="1859">
        <f>Grünland!AH28</f>
        <v>0</v>
      </c>
      <c r="S3" s="1859">
        <f>Grünland!AI28</f>
        <v>0</v>
      </c>
      <c r="T3" s="1859"/>
      <c r="U3" s="819"/>
      <c r="V3" s="819"/>
      <c r="W3" s="819"/>
      <c r="X3" s="819"/>
      <c r="Y3" s="819"/>
      <c r="Z3" s="819"/>
      <c r="AA3" s="835"/>
      <c r="AB3" s="1852"/>
      <c r="AC3" s="1852"/>
      <c r="AE3" s="1860">
        <f>Grünland!AP28</f>
        <v>0</v>
      </c>
      <c r="AF3" s="1861">
        <f>Grünland!AQ28</f>
        <v>0</v>
      </c>
      <c r="AG3" s="1862">
        <f>(Grünland!AR28+Grünland!AS28)</f>
        <v>0</v>
      </c>
      <c r="AH3" s="1863">
        <f>Grünland!AT28</f>
        <v>0</v>
      </c>
      <c r="AI3" s="1860">
        <f>Grünland!AU28</f>
        <v>0</v>
      </c>
      <c r="AJ3" s="1860">
        <f>Grünland!AV28</f>
        <v>0</v>
      </c>
      <c r="AK3" s="1860">
        <f>Grünland!AW28</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Grünland!R28</f>
        <v>0</v>
      </c>
      <c r="F6" s="997">
        <f>Grünland!S28</f>
        <v>0</v>
      </c>
      <c r="G6" s="996">
        <f>Grünland!T28</f>
        <v>0</v>
      </c>
      <c r="H6" s="997">
        <f>Grünland!U28</f>
        <v>0</v>
      </c>
      <c r="I6" s="996">
        <f>Grünland!V28</f>
        <v>0</v>
      </c>
      <c r="J6" s="997">
        <f>Grünland!W28</f>
        <v>0</v>
      </c>
      <c r="K6" s="996">
        <f>Grünland!X28</f>
        <v>0</v>
      </c>
      <c r="L6" s="997">
        <f>Grünland!Y28</f>
        <v>0</v>
      </c>
      <c r="M6" s="996">
        <f>Grünland!Z28</f>
        <v>0</v>
      </c>
      <c r="N6" s="997">
        <f>Grünland!AA28</f>
        <v>0</v>
      </c>
      <c r="O6" s="996">
        <f>Grünland!AB28</f>
        <v>0</v>
      </c>
      <c r="P6" s="997">
        <f>Grünland!AC28</f>
        <v>0</v>
      </c>
      <c r="Q6" s="818"/>
      <c r="R6" s="827">
        <f>Grünland!L28</f>
        <v>0</v>
      </c>
      <c r="S6" s="1111">
        <f>Grünland!M28</f>
        <v>0</v>
      </c>
      <c r="T6" s="819"/>
      <c r="U6" s="2637">
        <f>Grünland!AL28</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reduzieren",C13="unverändert"),Grünland!$H$28,S_24!AB13)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Grünland!AH$28</f>
        <v>0</v>
      </c>
      <c r="CO13" s="1882">
        <f>Grünland!AI$28</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reduzieren",C14="unverändert"),Grünland!$H$28,S_24!AB14)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Grünland!AH$28</f>
        <v>0</v>
      </c>
      <c r="CO14" s="1882">
        <f>Grünland!AI$28</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reduzieren",C15="unverändert"),Grünland!$H$28,S_24!AB15)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Grünland!AH$28</f>
        <v>0</v>
      </c>
      <c r="CO15" s="1882">
        <f>Grünland!AI$28</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Summen_GL!F$132</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Summen_GL!G$132</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Summen_GL!H$132</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Summen_GL!I$132</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Summen_GL!J$132</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Summen_GL!K$132</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Summen_GL!L$132</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Summen_GL!M$132</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Summen_GL!N$132</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Summen_GL!O$132</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Summen_GL!P$132</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Summen_GL!Q$132</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3qg/4fycpr7TGxR9xpVyX9rZ5K6MZ2GkDdBeZn+xDn7uaLI37BFyWOVA8O27yYWFHvbeByupBPVCQStwFy7yDQ==" saltValue="vkWlSUHz4j7kt5In1sZB7g=="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291" priority="55" stopIfTrue="1">
      <formula>#REF!="nein"</formula>
    </cfRule>
  </conditionalFormatting>
  <conditionalFormatting sqref="B39">
    <cfRule type="expression" dxfId="290" priority="54">
      <formula>#REF!="nein"</formula>
    </cfRule>
  </conditionalFormatting>
  <conditionalFormatting sqref="B41">
    <cfRule type="expression" dxfId="289" priority="53">
      <formula>$B$13=" "</formula>
    </cfRule>
  </conditionalFormatting>
  <conditionalFormatting sqref="A12:S12 A13:R15">
    <cfRule type="expression" dxfId="288" priority="50">
      <formula>IF($G$8="NEIN",1,0)</formula>
    </cfRule>
  </conditionalFormatting>
  <conditionalFormatting sqref="I8:K8">
    <cfRule type="expression" dxfId="287" priority="49">
      <formula>IF($G$8="NEIN",1,0)</formula>
    </cfRule>
  </conditionalFormatting>
  <conditionalFormatting sqref="B15">
    <cfRule type="expression" dxfId="286" priority="56">
      <formula>($B$13+B14)&lt;$H$2</formula>
    </cfRule>
  </conditionalFormatting>
  <conditionalFormatting sqref="C10">
    <cfRule type="expression" dxfId="285" priority="48">
      <formula>IF($G$8="JA",1,0)</formula>
    </cfRule>
  </conditionalFormatting>
  <conditionalFormatting sqref="A14 A15:R15">
    <cfRule type="expression" dxfId="284" priority="44">
      <formula>IF($K$8="",1,0)</formula>
    </cfRule>
    <cfRule type="expression" dxfId="283" priority="47">
      <formula>IF($K$8="NEIN",1,0)</formula>
    </cfRule>
  </conditionalFormatting>
  <conditionalFormatting sqref="B14:R14">
    <cfRule type="expression" dxfId="282" priority="43">
      <formula>IF($K$8="",1,0)</formula>
    </cfRule>
    <cfRule type="expression" dxfId="281" priority="46">
      <formula>IF($K$8="NEIN",1,0)</formula>
    </cfRule>
  </conditionalFormatting>
  <conditionalFormatting sqref="A10:S12 A13:R15">
    <cfRule type="expression" dxfId="280" priority="45">
      <formula>IF($G$8="",1,0)</formula>
    </cfRule>
  </conditionalFormatting>
  <conditionalFormatting sqref="B13:R13">
    <cfRule type="expression" dxfId="279" priority="42">
      <formula>IF($K$8="JA",1,0)</formula>
    </cfRule>
  </conditionalFormatting>
  <conditionalFormatting sqref="B14">
    <cfRule type="expression" dxfId="278" priority="40">
      <formula>IF($K$8="",1,0)</formula>
    </cfRule>
    <cfRule type="expression" dxfId="277" priority="41">
      <formula>IF($K$8="NEIN",1,0)</formula>
    </cfRule>
  </conditionalFormatting>
  <conditionalFormatting sqref="S14">
    <cfRule type="expression" dxfId="276" priority="34" stopIfTrue="1">
      <formula>#REF!="nein"</formula>
    </cfRule>
  </conditionalFormatting>
  <conditionalFormatting sqref="S15">
    <cfRule type="expression" dxfId="275" priority="33" stopIfTrue="1">
      <formula>#REF!="nein"</formula>
    </cfRule>
  </conditionalFormatting>
  <conditionalFormatting sqref="S13:S15">
    <cfRule type="expression" dxfId="274" priority="32">
      <formula>IF($G$8="NEIN",1,0)</formula>
    </cfRule>
  </conditionalFormatting>
  <conditionalFormatting sqref="S15">
    <cfRule type="expression" dxfId="273" priority="28">
      <formula>IF($K$8="",1,0)</formula>
    </cfRule>
    <cfRule type="expression" dxfId="272" priority="31">
      <formula>IF($K$8="NEIN",1,0)</formula>
    </cfRule>
  </conditionalFormatting>
  <conditionalFormatting sqref="S14">
    <cfRule type="expression" dxfId="271" priority="27">
      <formula>IF($K$8="",1,0)</formula>
    </cfRule>
    <cfRule type="expression" dxfId="270" priority="30">
      <formula>IF($K$8="NEIN",1,0)</formula>
    </cfRule>
  </conditionalFormatting>
  <conditionalFormatting sqref="S13:S15">
    <cfRule type="expression" dxfId="269" priority="29">
      <formula>IF($G$8="",1,0)</formula>
    </cfRule>
  </conditionalFormatting>
  <conditionalFormatting sqref="S13">
    <cfRule type="expression" dxfId="268" priority="26">
      <formula>IF($K$8="JA",1,0)</formula>
    </cfRule>
  </conditionalFormatting>
  <conditionalFormatting sqref="S14">
    <cfRule type="expression" dxfId="267" priority="24">
      <formula>IF($K$8="JA",1,0)</formula>
    </cfRule>
  </conditionalFormatting>
  <conditionalFormatting sqref="S15">
    <cfRule type="expression" dxfId="266" priority="22">
      <formula>IF($K$8="JA",1,0)</formula>
    </cfRule>
  </conditionalFormatting>
  <conditionalFormatting sqref="U13:W13">
    <cfRule type="expression" dxfId="265" priority="18">
      <formula>IF($G$8="NEIN",1,0)</formula>
    </cfRule>
    <cfRule type="expression" dxfId="264" priority="19">
      <formula>IF($G$8="",1,0)</formula>
    </cfRule>
    <cfRule type="expression" dxfId="263" priority="20">
      <formula>IF($K$8="JA",1,0)</formula>
    </cfRule>
  </conditionalFormatting>
  <conditionalFormatting sqref="U11:W13">
    <cfRule type="expression" dxfId="262" priority="17">
      <formula>IF($G$8="",1,0)</formula>
    </cfRule>
  </conditionalFormatting>
  <conditionalFormatting sqref="U11:W13">
    <cfRule type="expression" dxfId="261" priority="16">
      <formula>IF($G$8="NEIN",1,0)</formula>
    </cfRule>
  </conditionalFormatting>
  <conditionalFormatting sqref="U14:V15">
    <cfRule type="expression" dxfId="260" priority="7">
      <formula>IF($G$8="NEIN",1,0)</formula>
    </cfRule>
    <cfRule type="expression" dxfId="259" priority="8">
      <formula>IF($K$8="NEIN",1,0)</formula>
    </cfRule>
    <cfRule type="expression" dxfId="258" priority="9">
      <formula>IF($G$8="",1,0)</formula>
    </cfRule>
    <cfRule type="expression" dxfId="257" priority="10">
      <formula>IF($K$8="",1,0)</formula>
    </cfRule>
  </conditionalFormatting>
  <conditionalFormatting sqref="U14:V15">
    <cfRule type="expression" dxfId="256" priority="6">
      <formula>IF($G$8="",1,0)</formula>
    </cfRule>
  </conditionalFormatting>
  <conditionalFormatting sqref="W14:W15">
    <cfRule type="expression" dxfId="255" priority="2">
      <formula>IF($G$8="NEIN",1,0)</formula>
    </cfRule>
    <cfRule type="expression" dxfId="254" priority="3">
      <formula>IF($K$8="NEIN",1,0)</formula>
    </cfRule>
    <cfRule type="expression" dxfId="253" priority="4">
      <formula>IF($G$8="",1,0)</formula>
    </cfRule>
    <cfRule type="expression" dxfId="252" priority="5">
      <formula>IF($K$8="",1,0)</formula>
    </cfRule>
  </conditionalFormatting>
  <conditionalFormatting sqref="W14:W15">
    <cfRule type="expression" dxfId="251"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23!F13" display="◄"/>
    <hyperlink ref="R1:S1" location="S_25!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94BB3A1A-1771-48B4-BA01-F2422A97E37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BC29F133-6675-4AF9-8651-1AB151E243B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9801D01D-6410-482C-A3D9-0DFB730C10A8}">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F369B7D2-81E8-48CC-892F-54FD92A18EE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FFC000"/>
    <pageSetUpPr fitToPage="1"/>
  </sheetPr>
  <dimension ref="A1:BJ119"/>
  <sheetViews>
    <sheetView zoomScaleNormal="100" workbookViewId="0">
      <selection activeCell="F20" sqref="F20"/>
    </sheetView>
  </sheetViews>
  <sheetFormatPr baseColWidth="10" defaultColWidth="7.28515625" defaultRowHeight="12.75"/>
  <cols>
    <col min="1" max="1" width="2.5703125" style="747" customWidth="1"/>
    <col min="2" max="2" width="20.5703125" customWidth="1"/>
    <col min="3" max="3" width="19" customWidth="1"/>
    <col min="4" max="5" width="10.5703125" customWidth="1"/>
    <col min="6" max="6" width="10.42578125" customWidth="1"/>
    <col min="7" max="7" width="9.140625" customWidth="1"/>
    <col min="8" max="8" width="9.28515625" customWidth="1"/>
    <col min="9" max="9" width="9.42578125" customWidth="1"/>
    <col min="10" max="10" width="8.85546875" customWidth="1"/>
    <col min="11" max="11" width="9.28515625" customWidth="1"/>
    <col min="12" max="12" width="6.7109375" customWidth="1"/>
    <col min="13" max="14" width="8" customWidth="1"/>
    <col min="17" max="17" width="7.7109375" customWidth="1"/>
    <col min="18" max="18" width="4.7109375" customWidth="1"/>
    <col min="19" max="19" width="5.42578125" customWidth="1"/>
    <col min="20" max="20" width="20.85546875" customWidth="1"/>
    <col min="21" max="21" width="8" customWidth="1"/>
    <col min="22" max="22" width="6.7109375" customWidth="1"/>
    <col min="23" max="23" width="7.7109375" customWidth="1"/>
    <col min="24" max="26" width="8" customWidth="1"/>
    <col min="27" max="32" width="7.28515625" customWidth="1"/>
    <col min="33" max="33" width="8.85546875" customWidth="1"/>
    <col min="34" max="38" width="7.28515625" customWidth="1"/>
    <col min="39" max="39" width="8.5703125" customWidth="1"/>
    <col min="40" max="43" width="7.28515625" customWidth="1"/>
    <col min="44" max="44" width="9.5703125" customWidth="1"/>
    <col min="45" max="45" width="7.28515625" customWidth="1"/>
    <col min="46" max="46" width="11.140625" customWidth="1"/>
    <col min="47" max="49" width="7.28515625" customWidth="1"/>
    <col min="50" max="50" width="8.140625" customWidth="1"/>
    <col min="51" max="51" width="7.28515625" customWidth="1"/>
    <col min="52" max="52" width="9.7109375" customWidth="1"/>
    <col min="53" max="53" width="7.28515625" customWidth="1"/>
    <col min="54" max="243" width="12.7109375" customWidth="1"/>
    <col min="244" max="244" width="15.85546875" customWidth="1"/>
    <col min="245" max="245" width="19" customWidth="1"/>
    <col min="246" max="247" width="10.5703125" customWidth="1"/>
    <col min="248" max="248" width="10.42578125" customWidth="1"/>
    <col min="249" max="249" width="9.140625" customWidth="1"/>
    <col min="250" max="250" width="9.28515625" customWidth="1"/>
    <col min="251" max="251" width="9.42578125" customWidth="1"/>
    <col min="252" max="252" width="8.85546875" customWidth="1"/>
    <col min="253" max="254" width="6.7109375" customWidth="1"/>
    <col min="255" max="255" width="8" customWidth="1"/>
    <col min="256" max="256" width="7.42578125" customWidth="1"/>
  </cols>
  <sheetData>
    <row r="1" spans="1:62" ht="27" customHeight="1">
      <c r="A1" s="1475"/>
      <c r="B1" s="1837" t="s">
        <v>569</v>
      </c>
      <c r="C1" s="1837"/>
      <c r="D1" s="1837"/>
      <c r="E1" s="1837"/>
      <c r="F1" s="1837"/>
      <c r="G1" s="1837"/>
      <c r="H1" s="1837"/>
      <c r="I1" s="1837"/>
      <c r="J1" s="1837"/>
      <c r="K1" s="1837"/>
      <c r="L1" s="1837"/>
      <c r="M1" s="1837"/>
      <c r="N1" s="2377" t="s">
        <v>0</v>
      </c>
      <c r="O1" s="2377"/>
      <c r="P1" s="2378" t="s">
        <v>1</v>
      </c>
      <c r="Q1" s="2378"/>
      <c r="R1" s="1835"/>
      <c r="S1" s="1836"/>
      <c r="T1" s="1836"/>
      <c r="U1" s="878"/>
      <c r="V1" s="878"/>
      <c r="W1" s="878"/>
      <c r="X1" s="878"/>
      <c r="Y1" s="878"/>
      <c r="Z1" s="878"/>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c r="AY1" s="747"/>
      <c r="AZ1" s="747"/>
      <c r="BA1" s="747"/>
      <c r="BB1" s="747"/>
      <c r="BC1" s="747"/>
      <c r="BD1" s="747"/>
      <c r="BE1" s="747"/>
      <c r="BF1" s="747"/>
      <c r="BG1" s="747"/>
      <c r="BH1" s="747"/>
      <c r="BI1" s="747"/>
      <c r="BJ1" s="747"/>
    </row>
    <row r="2" spans="1:62" s="747" customFormat="1" ht="8.25" customHeight="1">
      <c r="A2" s="878"/>
      <c r="B2" s="1242"/>
      <c r="C2" s="1242"/>
      <c r="D2" s="1242"/>
      <c r="E2" s="1242"/>
      <c r="F2" s="1242"/>
      <c r="G2" s="1242"/>
      <c r="H2" s="1242"/>
      <c r="I2" s="1242"/>
      <c r="J2" s="1242"/>
      <c r="K2" s="1242"/>
      <c r="L2" s="1242"/>
      <c r="M2" s="1242"/>
      <c r="N2" s="1243"/>
      <c r="O2" s="1243"/>
      <c r="P2" s="1243"/>
      <c r="Q2" s="1243"/>
      <c r="R2" s="1244"/>
      <c r="S2" s="878"/>
      <c r="T2" s="878"/>
      <c r="U2" s="878"/>
      <c r="V2" s="878"/>
      <c r="W2" s="878"/>
      <c r="X2" s="878"/>
      <c r="Y2" s="878"/>
      <c r="Z2" s="878"/>
    </row>
    <row r="3" spans="1:62" ht="20.25" customHeight="1">
      <c r="A3" s="878"/>
      <c r="B3" s="1245" t="s">
        <v>1260</v>
      </c>
      <c r="C3" s="1583"/>
      <c r="D3" s="1584"/>
      <c r="E3" s="1584"/>
      <c r="F3" s="1246"/>
      <c r="G3" s="1247"/>
      <c r="H3" s="1247"/>
      <c r="I3" s="1247"/>
      <c r="J3" s="1247"/>
      <c r="K3" s="980"/>
      <c r="L3" s="980"/>
      <c r="M3" s="980"/>
      <c r="N3" s="878"/>
      <c r="O3" s="878"/>
      <c r="P3" s="878"/>
      <c r="Q3" s="878"/>
      <c r="R3" s="878"/>
      <c r="S3" s="878"/>
      <c r="T3" s="878"/>
      <c r="U3" s="878"/>
      <c r="V3" s="878"/>
      <c r="W3" s="878"/>
      <c r="X3" s="878"/>
      <c r="Y3" s="878"/>
      <c r="Z3" s="878"/>
      <c r="AA3" s="747"/>
      <c r="AB3" s="747"/>
      <c r="AC3" s="747"/>
      <c r="AD3" s="747"/>
      <c r="AE3" s="747"/>
      <c r="AF3" s="747"/>
      <c r="AG3" s="747"/>
      <c r="AH3" s="747"/>
      <c r="AI3" s="747"/>
      <c r="AJ3" s="747"/>
      <c r="AK3" s="747"/>
      <c r="AL3" s="747"/>
      <c r="AM3" s="747"/>
      <c r="AN3" s="747"/>
      <c r="AO3" s="747"/>
      <c r="AP3" s="747"/>
      <c r="AQ3" s="747"/>
      <c r="AR3" s="747"/>
      <c r="AS3" s="747"/>
      <c r="AT3" s="747"/>
      <c r="AU3" s="747"/>
      <c r="AV3" s="747"/>
      <c r="AW3" s="747"/>
      <c r="AX3" s="747"/>
      <c r="AY3" s="747"/>
      <c r="AZ3" s="747"/>
      <c r="BA3" s="747"/>
      <c r="BB3" s="747"/>
    </row>
    <row r="4" spans="1:62" ht="31.5" customHeight="1" thickBot="1">
      <c r="A4" s="878"/>
      <c r="B4" s="1209" t="s">
        <v>570</v>
      </c>
      <c r="C4" s="1210"/>
      <c r="D4" s="1211" t="s">
        <v>571</v>
      </c>
      <c r="E4" s="1211" t="s">
        <v>572</v>
      </c>
      <c r="F4" s="1211" t="s">
        <v>573</v>
      </c>
      <c r="G4" s="1212" t="s">
        <v>574</v>
      </c>
      <c r="H4" s="1212" t="s">
        <v>295</v>
      </c>
      <c r="I4" s="1212" t="s">
        <v>299</v>
      </c>
      <c r="J4" s="1212" t="s">
        <v>301</v>
      </c>
      <c r="K4" s="1212" t="s">
        <v>305</v>
      </c>
      <c r="L4" s="2385" t="s">
        <v>575</v>
      </c>
      <c r="M4" s="2386"/>
      <c r="N4" s="2386"/>
      <c r="O4" s="2387"/>
      <c r="P4" s="2379" t="s">
        <v>576</v>
      </c>
      <c r="Q4" s="2380"/>
      <c r="R4" s="878"/>
      <c r="S4" s="878"/>
      <c r="T4" s="878"/>
      <c r="U4" s="878"/>
      <c r="V4" s="878"/>
      <c r="W4" s="878"/>
      <c r="X4" s="878"/>
      <c r="Y4" s="878"/>
      <c r="Z4" s="878"/>
      <c r="AA4" s="157"/>
      <c r="AB4" s="164" t="s">
        <v>582</v>
      </c>
      <c r="AC4" s="163"/>
      <c r="AJ4" s="163"/>
      <c r="AK4" s="163"/>
      <c r="AL4" s="163"/>
      <c r="AM4" s="163"/>
      <c r="AN4" s="163"/>
      <c r="AO4" s="163"/>
      <c r="AP4" s="163"/>
      <c r="AQ4" s="163"/>
      <c r="AR4" s="163"/>
      <c r="AS4" s="163"/>
      <c r="AT4" s="163"/>
      <c r="AU4" s="163"/>
      <c r="AV4" s="163"/>
      <c r="AW4" s="163"/>
      <c r="AX4" s="163"/>
      <c r="AY4" s="163"/>
      <c r="AZ4" s="163"/>
      <c r="BA4" s="163"/>
    </row>
    <row r="5" spans="1:62" ht="13.5" customHeight="1">
      <c r="A5" s="878"/>
      <c r="B5" s="1204" t="s">
        <v>534</v>
      </c>
      <c r="C5" s="1205"/>
      <c r="D5" s="1206">
        <f>Tabelle1!AS36</f>
        <v>0</v>
      </c>
      <c r="E5" s="1207">
        <f>Tabelle1!BD30</f>
        <v>0</v>
      </c>
      <c r="F5" s="1207">
        <f>Tabelle1!BJ30</f>
        <v>0</v>
      </c>
      <c r="G5" s="1208" t="s">
        <v>34</v>
      </c>
      <c r="H5" s="1395">
        <f>1-$O5</f>
        <v>1</v>
      </c>
      <c r="I5" s="1394"/>
      <c r="J5" s="1394"/>
      <c r="K5" s="1394"/>
      <c r="L5" s="2388" t="str">
        <f>IF(H5=1,"  in Grube 1",IF(AB5&gt;1,"Zuviel verteilt!","  Ok!"))</f>
        <v xml:space="preserve">  in Grube 1</v>
      </c>
      <c r="M5" s="2389"/>
      <c r="N5" s="2390"/>
      <c r="O5" s="1192">
        <f>I5+J5+K5</f>
        <v>0</v>
      </c>
      <c r="P5" s="2404">
        <f>Tiere!S14</f>
        <v>0</v>
      </c>
      <c r="Q5" s="2405"/>
      <c r="R5" s="878"/>
      <c r="S5" s="878"/>
      <c r="T5" s="878"/>
      <c r="U5" s="878"/>
      <c r="V5" s="878"/>
      <c r="W5" s="878"/>
      <c r="X5" s="878"/>
      <c r="Y5" s="878"/>
      <c r="Z5" s="878"/>
      <c r="AA5" s="157"/>
      <c r="AB5" s="158">
        <f t="shared" ref="AB5:AB10" si="0">O5</f>
        <v>0</v>
      </c>
      <c r="AC5" s="163"/>
      <c r="AJ5" s="163"/>
      <c r="AK5" s="163"/>
      <c r="AL5" s="163"/>
      <c r="AM5" s="163"/>
      <c r="AN5" s="163"/>
      <c r="AO5" s="163"/>
      <c r="AP5" s="163"/>
      <c r="AQ5" s="163"/>
      <c r="AR5" s="163"/>
      <c r="AS5" s="163"/>
      <c r="AT5" s="163"/>
      <c r="AU5" s="163"/>
      <c r="AV5" s="163"/>
      <c r="AW5" s="163"/>
      <c r="AX5" s="163"/>
      <c r="AY5" s="163"/>
      <c r="AZ5" s="163"/>
      <c r="BA5" s="163"/>
    </row>
    <row r="6" spans="1:62" ht="13.5" customHeight="1">
      <c r="A6" s="878"/>
      <c r="B6" s="1191" t="s">
        <v>535</v>
      </c>
      <c r="C6" s="1182"/>
      <c r="D6" s="1183">
        <f>Tabelle1!AT36</f>
        <v>0</v>
      </c>
      <c r="E6" s="1183">
        <f>Tabelle1!BE30</f>
        <v>0</v>
      </c>
      <c r="F6" s="1183">
        <f>Tabelle1!BK30</f>
        <v>0</v>
      </c>
      <c r="G6" s="289" t="s">
        <v>34</v>
      </c>
      <c r="H6" s="1394"/>
      <c r="I6" s="1395">
        <f>1-$O6</f>
        <v>1</v>
      </c>
      <c r="J6" s="1394"/>
      <c r="K6" s="1394"/>
      <c r="L6" s="2391" t="str">
        <f>IF(I6=1,"  in Grube 2",IF(AB6&gt;1,"Zuviel verteilt!","  Ok!"))</f>
        <v xml:space="preserve">  in Grube 2</v>
      </c>
      <c r="M6" s="2392"/>
      <c r="N6" s="2393"/>
      <c r="O6" s="1193">
        <f>H6+J6+K6</f>
        <v>0</v>
      </c>
      <c r="P6" s="2410" t="s">
        <v>583</v>
      </c>
      <c r="Q6" s="2411"/>
      <c r="R6" s="878"/>
      <c r="S6" s="878"/>
      <c r="T6" s="878"/>
      <c r="U6" s="878"/>
      <c r="V6" s="878"/>
      <c r="W6" s="878"/>
      <c r="X6" s="878"/>
      <c r="Y6" s="878"/>
      <c r="Z6" s="878"/>
      <c r="AA6" s="165"/>
      <c r="AB6" s="158">
        <f t="shared" si="0"/>
        <v>0</v>
      </c>
      <c r="AC6" s="163"/>
      <c r="AJ6" s="163"/>
      <c r="AK6" s="163"/>
      <c r="AL6" s="163"/>
      <c r="AM6" s="163"/>
      <c r="AN6" s="163"/>
      <c r="AO6" s="163"/>
      <c r="AP6" s="163"/>
      <c r="AQ6" s="163"/>
      <c r="AR6" s="163"/>
      <c r="AS6" s="163"/>
      <c r="AT6" s="163"/>
      <c r="AU6" s="163"/>
      <c r="AV6" s="163"/>
      <c r="AW6" s="163"/>
      <c r="AX6" s="163"/>
      <c r="AY6" s="163"/>
      <c r="AZ6" s="163"/>
      <c r="BA6" s="163"/>
    </row>
    <row r="7" spans="1:62" ht="13.5" customHeight="1">
      <c r="A7" s="878"/>
      <c r="B7" s="1191" t="s">
        <v>585</v>
      </c>
      <c r="C7" s="1182"/>
      <c r="D7" s="1183">
        <f>Tabelle1!AU36</f>
        <v>0</v>
      </c>
      <c r="E7" s="1183">
        <f>Tabelle1!BF30</f>
        <v>0</v>
      </c>
      <c r="F7" s="1183">
        <f>Tabelle1!BL30</f>
        <v>0</v>
      </c>
      <c r="G7" s="289" t="s">
        <v>34</v>
      </c>
      <c r="H7" s="1394"/>
      <c r="I7" s="1394"/>
      <c r="J7" s="1395">
        <f>1-$O7</f>
        <v>1</v>
      </c>
      <c r="K7" s="1394"/>
      <c r="L7" s="2391" t="str">
        <f>IF(J7=1,"  in Grube 3",IF(AB7&gt;1,"Zuviel verteilt!","  Ok!"))</f>
        <v xml:space="preserve">  in Grube 3</v>
      </c>
      <c r="M7" s="2392"/>
      <c r="N7" s="2393"/>
      <c r="O7" s="1193">
        <f>H7+I7+K7</f>
        <v>0</v>
      </c>
      <c r="P7" s="2381">
        <f>Tiere!U14</f>
        <v>0</v>
      </c>
      <c r="Q7" s="2382"/>
      <c r="R7" s="878"/>
      <c r="S7" s="878"/>
      <c r="T7" s="878"/>
      <c r="U7" s="878"/>
      <c r="V7" s="878"/>
      <c r="W7" s="878"/>
      <c r="X7" s="878"/>
      <c r="Y7" s="878"/>
      <c r="Z7" s="878"/>
      <c r="AA7" s="157"/>
      <c r="AB7" s="158">
        <f t="shared" si="0"/>
        <v>0</v>
      </c>
      <c r="AC7" s="163"/>
      <c r="AJ7" s="163"/>
      <c r="AK7" s="163"/>
      <c r="AL7" s="163"/>
      <c r="AM7" s="163"/>
      <c r="AN7" s="163"/>
      <c r="AO7" s="163"/>
      <c r="AP7" s="163"/>
      <c r="AQ7" s="163"/>
      <c r="AR7" s="163"/>
      <c r="AS7" s="163"/>
      <c r="AT7" s="163"/>
      <c r="AU7" s="163"/>
      <c r="AV7" s="163"/>
      <c r="AW7" s="163"/>
      <c r="AX7" s="163"/>
      <c r="AY7" s="163"/>
      <c r="AZ7" s="163"/>
      <c r="BA7" s="163"/>
    </row>
    <row r="8" spans="1:62" ht="13.5" customHeight="1">
      <c r="A8" s="878"/>
      <c r="B8" s="1191" t="s">
        <v>90</v>
      </c>
      <c r="C8" s="1182"/>
      <c r="D8" s="1183">
        <f>Tabelle1!AV36</f>
        <v>0</v>
      </c>
      <c r="E8" s="1183">
        <f>Tabelle1!BG30</f>
        <v>0</v>
      </c>
      <c r="F8" s="1183">
        <f>Tabelle1!BM30</f>
        <v>0</v>
      </c>
      <c r="G8" s="289" t="s">
        <v>34</v>
      </c>
      <c r="H8" s="1394"/>
      <c r="I8" s="1394"/>
      <c r="J8" s="1394"/>
      <c r="K8" s="1395">
        <f>1-$O8</f>
        <v>1</v>
      </c>
      <c r="L8" s="2391" t="str">
        <f>IF(K8=1,"  in Grube 4",IF(AB8&gt;1,"Zuviel verteilt!","  Ok!"))</f>
        <v xml:space="preserve">  in Grube 4</v>
      </c>
      <c r="M8" s="2392"/>
      <c r="N8" s="2393"/>
      <c r="O8" s="1194">
        <f>H8+I8+J8</f>
        <v>0</v>
      </c>
      <c r="P8" s="1116"/>
      <c r="Q8" s="1195"/>
      <c r="R8" s="878"/>
      <c r="S8" s="878"/>
      <c r="T8" s="878"/>
      <c r="U8" s="878"/>
      <c r="V8" s="878"/>
      <c r="W8" s="878"/>
      <c r="X8" s="878"/>
      <c r="Y8" s="878"/>
      <c r="Z8" s="878"/>
      <c r="AA8" s="157"/>
      <c r="AB8" s="158">
        <f t="shared" si="0"/>
        <v>0</v>
      </c>
      <c r="AC8" s="163"/>
      <c r="AJ8" s="163"/>
      <c r="AK8" s="163"/>
      <c r="AL8" s="163"/>
      <c r="AM8" s="163"/>
      <c r="AN8" s="163"/>
      <c r="AO8" s="163"/>
      <c r="AP8" s="163"/>
      <c r="AQ8" s="163"/>
      <c r="AR8" s="163"/>
      <c r="AS8" s="163"/>
      <c r="AT8" s="163"/>
      <c r="AU8" s="163"/>
      <c r="AV8" s="163"/>
      <c r="AW8" s="163"/>
      <c r="AX8" s="163"/>
      <c r="AY8" s="163"/>
      <c r="AZ8" s="163"/>
      <c r="BA8" s="163"/>
    </row>
    <row r="9" spans="1:62" ht="13.5" customHeight="1">
      <c r="A9" s="878"/>
      <c r="B9" s="1191" t="s">
        <v>586</v>
      </c>
      <c r="C9" s="1182"/>
      <c r="D9" s="1183">
        <f>Tabelle1!AW36-D10</f>
        <v>0</v>
      </c>
      <c r="E9" s="1183">
        <f>Tabelle1!BH30-E10</f>
        <v>0</v>
      </c>
      <c r="F9" s="1183">
        <f>Tabelle1!BN30-F10</f>
        <v>0</v>
      </c>
      <c r="G9" s="294">
        <f>1-O9</f>
        <v>1</v>
      </c>
      <c r="H9" s="1184"/>
      <c r="I9" s="1184"/>
      <c r="J9" s="1184"/>
      <c r="K9" s="1184"/>
      <c r="L9" s="2391" t="str">
        <f>IF(G9=1,"  auf Mistlager",IF(AB9&gt;1,"Zuviel verteilt!","  Ok!"))</f>
        <v xml:space="preserve">  auf Mistlager</v>
      </c>
      <c r="M9" s="2392"/>
      <c r="N9" s="2393"/>
      <c r="O9" s="1194">
        <f>H9+I9+J9+K9</f>
        <v>0</v>
      </c>
      <c r="P9" s="1116"/>
      <c r="Q9" s="1195"/>
      <c r="R9" s="878"/>
      <c r="S9" s="878"/>
      <c r="T9" s="878"/>
      <c r="U9" s="878"/>
      <c r="V9" s="878"/>
      <c r="W9" s="878"/>
      <c r="X9" s="878"/>
      <c r="Y9" s="878"/>
      <c r="Z9" s="878"/>
      <c r="AA9" s="157"/>
      <c r="AB9" s="158">
        <f t="shared" si="0"/>
        <v>0</v>
      </c>
      <c r="AC9" s="163"/>
      <c r="AJ9" s="163"/>
      <c r="AK9" s="163"/>
      <c r="AL9" s="163"/>
      <c r="AM9" s="163"/>
      <c r="AN9" s="163"/>
      <c r="AO9" s="163"/>
      <c r="AP9" s="163"/>
      <c r="AQ9" s="163"/>
      <c r="AR9" s="163"/>
      <c r="AS9" s="163"/>
      <c r="AT9" s="163"/>
      <c r="AU9" s="163"/>
      <c r="AV9" s="163"/>
      <c r="AW9" s="163"/>
      <c r="AX9" s="163"/>
      <c r="AY9" s="163"/>
      <c r="AZ9" s="163"/>
      <c r="BA9" s="163"/>
    </row>
    <row r="10" spans="1:62" ht="13.5" customHeight="1">
      <c r="A10" s="878"/>
      <c r="B10" s="1196" t="s">
        <v>587</v>
      </c>
      <c r="C10" s="1197"/>
      <c r="D10" s="1198"/>
      <c r="E10" s="1198"/>
      <c r="F10" s="1198"/>
      <c r="G10" s="1199">
        <f>1-O10</f>
        <v>1</v>
      </c>
      <c r="H10" s="1200"/>
      <c r="I10" s="1200"/>
      <c r="J10" s="1200"/>
      <c r="K10" s="1200"/>
      <c r="L10" s="2412" t="str">
        <f>IF(G10=1,"  auf Extralager",IF(AB10&gt;1,"Zuviel verteilt!","  Ok!"))</f>
        <v xml:space="preserve">  auf Extralager</v>
      </c>
      <c r="M10" s="2413"/>
      <c r="N10" s="2414"/>
      <c r="O10" s="1201">
        <f>H10+I10+J10+K10</f>
        <v>0</v>
      </c>
      <c r="P10" s="1202"/>
      <c r="Q10" s="1203"/>
      <c r="R10" s="878"/>
      <c r="S10" s="878"/>
      <c r="T10" s="878"/>
      <c r="U10" s="878"/>
      <c r="V10" s="878"/>
      <c r="W10" s="878"/>
      <c r="X10" s="878"/>
      <c r="Y10" s="878"/>
      <c r="Z10" s="878"/>
      <c r="AA10" s="157"/>
      <c r="AB10" s="158">
        <f t="shared" si="0"/>
        <v>0</v>
      </c>
      <c r="AC10" s="163"/>
      <c r="AJ10" s="163"/>
      <c r="AK10" s="163"/>
      <c r="AL10" s="163"/>
      <c r="AM10" s="163"/>
      <c r="AN10" s="163"/>
      <c r="AO10" s="163"/>
      <c r="AP10" s="163"/>
      <c r="AQ10" s="163"/>
      <c r="AR10" s="163"/>
      <c r="AS10" s="163"/>
      <c r="AT10" s="163"/>
      <c r="AU10" s="163"/>
      <c r="AV10" s="163"/>
      <c r="AW10" s="163"/>
      <c r="AX10" s="163"/>
      <c r="AY10" s="163"/>
      <c r="AZ10" s="163"/>
      <c r="BA10" s="163"/>
    </row>
    <row r="11" spans="1:62" ht="15" customHeight="1">
      <c r="A11" s="878"/>
      <c r="B11" s="1238"/>
      <c r="C11" s="1238"/>
      <c r="D11" s="1239"/>
      <c r="E11" s="1238"/>
      <c r="F11" s="1238"/>
      <c r="G11" s="1238"/>
      <c r="H11" s="1238"/>
      <c r="I11" s="1238"/>
      <c r="J11" s="1240"/>
      <c r="K11" s="878"/>
      <c r="L11" s="878"/>
      <c r="M11" s="878"/>
      <c r="N11" s="878"/>
      <c r="O11" s="878"/>
      <c r="P11" s="878"/>
      <c r="Q11" s="878"/>
      <c r="R11" s="878"/>
      <c r="S11" s="878"/>
      <c r="T11" s="878"/>
      <c r="U11" s="878"/>
      <c r="V11" s="878"/>
      <c r="W11" s="878"/>
      <c r="X11" s="878"/>
      <c r="Y11" s="878"/>
      <c r="Z11" s="878"/>
      <c r="AA11" s="163"/>
      <c r="AB11" s="163"/>
      <c r="AC11" s="163"/>
      <c r="AJ11" s="163"/>
      <c r="AK11" s="163"/>
      <c r="AL11" s="163"/>
      <c r="AM11" s="163"/>
      <c r="AN11" s="163"/>
      <c r="AO11" s="163"/>
      <c r="AP11" s="163"/>
      <c r="AQ11" s="163"/>
      <c r="AR11" s="163"/>
      <c r="AS11" s="163"/>
      <c r="AT11" s="163"/>
      <c r="AU11" s="163"/>
      <c r="AV11" s="163"/>
      <c r="AW11" s="163"/>
      <c r="AX11" s="163"/>
      <c r="AY11" s="163"/>
      <c r="AZ11" s="163"/>
      <c r="BA11" s="163"/>
    </row>
    <row r="12" spans="1:62" ht="24.75" customHeight="1" thickBot="1">
      <c r="A12" s="878"/>
      <c r="B12" s="1235" t="s">
        <v>588</v>
      </c>
      <c r="C12" s="1236"/>
      <c r="D12" s="1236"/>
      <c r="E12" s="1236"/>
      <c r="F12" s="1236"/>
      <c r="G12" s="1237"/>
      <c r="H12" s="878"/>
      <c r="I12" s="878"/>
      <c r="J12" s="878"/>
      <c r="K12" s="877"/>
      <c r="L12" s="878"/>
      <c r="M12" s="878"/>
      <c r="N12" s="878"/>
      <c r="O12" s="1241"/>
      <c r="P12" s="878"/>
      <c r="Q12" s="878"/>
      <c r="R12" s="878"/>
      <c r="S12" s="878"/>
      <c r="T12" s="878"/>
      <c r="U12" s="878"/>
      <c r="V12" s="878"/>
      <c r="W12" s="878"/>
      <c r="X12" s="878"/>
      <c r="Y12" s="878"/>
      <c r="Z12" s="878"/>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row>
    <row r="13" spans="1:62" ht="44.25" customHeight="1">
      <c r="A13" s="878"/>
      <c r="B13" s="2383" t="s">
        <v>1453</v>
      </c>
      <c r="C13" s="2384"/>
      <c r="D13" s="1213" t="s">
        <v>571</v>
      </c>
      <c r="E13" s="1213" t="s">
        <v>589</v>
      </c>
      <c r="F13" s="1214" t="s">
        <v>590</v>
      </c>
      <c r="G13" s="1215" t="s">
        <v>591</v>
      </c>
      <c r="H13" s="1216" t="s">
        <v>592</v>
      </c>
      <c r="I13" s="1217" t="s">
        <v>593</v>
      </c>
      <c r="J13" s="1218" t="s">
        <v>594</v>
      </c>
      <c r="K13" s="1217" t="s">
        <v>595</v>
      </c>
      <c r="L13" s="1217" t="s">
        <v>596</v>
      </c>
      <c r="M13" s="1217" t="s">
        <v>597</v>
      </c>
      <c r="N13" s="1219" t="s">
        <v>580</v>
      </c>
      <c r="O13" s="1217" t="s">
        <v>462</v>
      </c>
      <c r="P13" s="1217" t="s">
        <v>598</v>
      </c>
      <c r="Q13" s="1220" t="s">
        <v>599</v>
      </c>
      <c r="R13" s="878"/>
      <c r="S13" s="2401" t="s">
        <v>1218</v>
      </c>
      <c r="T13" s="2398" t="s">
        <v>1220</v>
      </c>
      <c r="U13" s="878"/>
      <c r="V13" s="878"/>
      <c r="W13" s="878"/>
      <c r="X13" s="878"/>
      <c r="Y13" s="878"/>
      <c r="Z13" s="878"/>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row>
    <row r="14" spans="1:62" ht="13.5" customHeight="1" thickBot="1">
      <c r="A14" s="878"/>
      <c r="B14" s="1221" t="s">
        <v>1449</v>
      </c>
      <c r="C14" s="303"/>
      <c r="D14" s="1185">
        <f>AC23</f>
        <v>0</v>
      </c>
      <c r="E14" s="1185">
        <f>AF23</f>
        <v>0</v>
      </c>
      <c r="F14" s="1185">
        <f>AG23</f>
        <v>0</v>
      </c>
      <c r="G14" s="1186"/>
      <c r="H14" s="1187"/>
      <c r="I14" s="1188">
        <f t="shared" ref="I14:I19" si="1">IF(G14&gt;0,D14/G14,0)</f>
        <v>0</v>
      </c>
      <c r="J14" s="1189">
        <f>IF(ISBLANK(G14),0,IF(ISBLANK(AD23),0,AD23/G14))</f>
        <v>0</v>
      </c>
      <c r="K14" s="1189">
        <f>IF(ISBLANK(G14),0,IF(ISBLANK(AE23),0,AE23/G14))</f>
        <v>0</v>
      </c>
      <c r="L14" s="1188">
        <f t="shared" ref="L14:M19" si="2">IF($G14=0,0,E14/$G14)</f>
        <v>0</v>
      </c>
      <c r="M14" s="1188">
        <f t="shared" si="2"/>
        <v>0</v>
      </c>
      <c r="N14" s="294">
        <f>IF(ISERROR(AH30),0,AH30)</f>
        <v>0</v>
      </c>
      <c r="O14" s="294">
        <v>1</v>
      </c>
      <c r="P14" s="1190" t="s">
        <v>473</v>
      </c>
      <c r="Q14" s="1222">
        <f>IF(ISERROR(AF30),0,AF30/100)</f>
        <v>0</v>
      </c>
      <c r="R14" s="878"/>
      <c r="S14" s="2403"/>
      <c r="T14" s="2400"/>
      <c r="U14" s="878"/>
      <c r="V14" s="878"/>
      <c r="W14" s="878"/>
      <c r="X14" s="878"/>
      <c r="Y14" s="878"/>
      <c r="Z14" s="878"/>
      <c r="AA14" s="157"/>
      <c r="AB14" s="168"/>
      <c r="AC14" s="169" t="s">
        <v>601</v>
      </c>
      <c r="AD14" s="170">
        <v>0</v>
      </c>
      <c r="AE14" s="171"/>
      <c r="AF14" s="171"/>
      <c r="AG14" s="171"/>
      <c r="AH14" s="171"/>
      <c r="AI14" s="171"/>
      <c r="AJ14" s="171"/>
      <c r="AK14" s="171"/>
      <c r="AL14" s="172"/>
      <c r="AM14" s="172"/>
      <c r="AN14" s="172"/>
      <c r="AO14" s="172"/>
      <c r="AP14" s="172"/>
      <c r="AQ14" s="172"/>
      <c r="AR14" s="172"/>
      <c r="AS14" s="172"/>
      <c r="AT14" s="172"/>
      <c r="AU14" s="172"/>
      <c r="AV14" s="172"/>
      <c r="AW14" s="172"/>
      <c r="AX14" s="172"/>
      <c r="AY14" s="172"/>
      <c r="AZ14" s="172"/>
      <c r="BA14" s="163"/>
    </row>
    <row r="15" spans="1:62" ht="13.5" customHeight="1" thickBot="1">
      <c r="A15" s="878"/>
      <c r="B15" s="1221" t="s">
        <v>1450</v>
      </c>
      <c r="C15" s="303"/>
      <c r="D15" s="1185">
        <f>AI23</f>
        <v>0</v>
      </c>
      <c r="E15" s="1185">
        <f>AL23</f>
        <v>0</v>
      </c>
      <c r="F15" s="1185">
        <f>AM23</f>
        <v>0</v>
      </c>
      <c r="G15" s="1186"/>
      <c r="H15" s="1187"/>
      <c r="I15" s="1188">
        <f t="shared" si="1"/>
        <v>0</v>
      </c>
      <c r="J15" s="1189">
        <f>IF(ISBLANK(G15),0,IF(ISBLANK(AJ23),0,AJ23/G15))</f>
        <v>0</v>
      </c>
      <c r="K15" s="1189">
        <f>IF(ISBLANK(G15),0,IF(ISBLANK(AK23),0,AK23/G15))</f>
        <v>0</v>
      </c>
      <c r="L15" s="1188">
        <f t="shared" si="2"/>
        <v>0</v>
      </c>
      <c r="M15" s="1188">
        <f t="shared" si="2"/>
        <v>0</v>
      </c>
      <c r="N15" s="294">
        <f>IF(ISERROR(AN30),0,AN30)</f>
        <v>0</v>
      </c>
      <c r="O15" s="294">
        <v>1</v>
      </c>
      <c r="P15" s="1190" t="s">
        <v>473</v>
      </c>
      <c r="Q15" s="1222">
        <f>IF(ISERROR(AL30),0,AL30/100)</f>
        <v>0</v>
      </c>
      <c r="R15" s="878"/>
      <c r="S15" s="878"/>
      <c r="T15" s="878"/>
      <c r="U15" s="878"/>
      <c r="V15" s="878"/>
      <c r="W15" s="878"/>
      <c r="X15" s="878"/>
      <c r="Y15" s="878"/>
      <c r="Z15" s="878"/>
      <c r="AA15" s="157"/>
      <c r="AB15" s="171"/>
      <c r="AC15" s="173" t="s">
        <v>295</v>
      </c>
      <c r="AD15" s="171"/>
      <c r="AE15" s="171"/>
      <c r="AI15" s="174" t="s">
        <v>299</v>
      </c>
      <c r="AJ15" s="174"/>
      <c r="AK15" s="174"/>
      <c r="AL15" s="174"/>
      <c r="AM15" s="174"/>
      <c r="AN15" s="174"/>
      <c r="AO15" s="174" t="s">
        <v>301</v>
      </c>
      <c r="AP15" s="174"/>
      <c r="AQ15" s="174"/>
      <c r="AR15" s="174"/>
      <c r="AS15" s="172"/>
      <c r="AT15" s="172"/>
      <c r="AU15" s="174" t="s">
        <v>305</v>
      </c>
      <c r="AV15" s="174"/>
      <c r="AW15" s="174"/>
      <c r="AX15" s="174"/>
      <c r="AY15" s="174"/>
      <c r="AZ15" s="174"/>
      <c r="BA15" s="163"/>
    </row>
    <row r="16" spans="1:62" ht="13.5" customHeight="1">
      <c r="A16" s="878"/>
      <c r="B16" s="1221" t="s">
        <v>1451</v>
      </c>
      <c r="C16" s="303"/>
      <c r="D16" s="1185">
        <f>AO23</f>
        <v>0</v>
      </c>
      <c r="E16" s="1185">
        <f>AR23</f>
        <v>0</v>
      </c>
      <c r="F16" s="1185">
        <f>AS23</f>
        <v>0</v>
      </c>
      <c r="G16" s="1186"/>
      <c r="H16" s="1187"/>
      <c r="I16" s="1188">
        <f>IF(G16&gt;0,D16/G16,0)</f>
        <v>0</v>
      </c>
      <c r="J16" s="1189">
        <f>IF(ISBLANK(G16),0,IF(ISBLANK(AP23),0,AP23/G16))</f>
        <v>0</v>
      </c>
      <c r="K16" s="1189">
        <f>IF(ISBLANK(G16),0,IF(ISBLANK(AQ23),0,AQ23/G16))</f>
        <v>0</v>
      </c>
      <c r="L16" s="1188">
        <f t="shared" si="2"/>
        <v>0</v>
      </c>
      <c r="M16" s="1188">
        <f t="shared" si="2"/>
        <v>0</v>
      </c>
      <c r="N16" s="294">
        <f>IF(ISERROR(AT30),0,AT30)</f>
        <v>0</v>
      </c>
      <c r="O16" s="294">
        <v>1</v>
      </c>
      <c r="P16" s="1190" t="s">
        <v>473</v>
      </c>
      <c r="Q16" s="1222">
        <f>IF(ISERROR(AR30),0,AR30/100)</f>
        <v>0</v>
      </c>
      <c r="R16" s="878"/>
      <c r="S16" s="2401" t="s">
        <v>1218</v>
      </c>
      <c r="T16" s="2398" t="s">
        <v>1221</v>
      </c>
      <c r="U16" s="878"/>
      <c r="V16" s="878"/>
      <c r="W16" s="878"/>
      <c r="X16" s="878"/>
      <c r="Y16" s="878"/>
      <c r="Z16" s="878"/>
      <c r="AA16" s="157"/>
      <c r="AB16" s="171"/>
      <c r="AC16" s="175" t="s">
        <v>602</v>
      </c>
      <c r="AD16" s="175" t="s">
        <v>603</v>
      </c>
      <c r="AE16" s="175" t="s">
        <v>483</v>
      </c>
      <c r="AF16" s="175" t="s">
        <v>113</v>
      </c>
      <c r="AG16" s="175" t="s">
        <v>114</v>
      </c>
      <c r="AH16" s="175" t="s">
        <v>604</v>
      </c>
      <c r="AI16" s="159" t="s">
        <v>602</v>
      </c>
      <c r="AJ16" s="159" t="s">
        <v>603</v>
      </c>
      <c r="AK16" s="159" t="s">
        <v>483</v>
      </c>
      <c r="AL16" s="159" t="s">
        <v>113</v>
      </c>
      <c r="AM16" s="159" t="s">
        <v>114</v>
      </c>
      <c r="AN16" s="159" t="s">
        <v>604</v>
      </c>
      <c r="AO16" s="159" t="s">
        <v>602</v>
      </c>
      <c r="AP16" s="159" t="s">
        <v>603</v>
      </c>
      <c r="AQ16" s="159" t="s">
        <v>483</v>
      </c>
      <c r="AR16" s="159" t="s">
        <v>113</v>
      </c>
      <c r="AS16" s="159" t="s">
        <v>114</v>
      </c>
      <c r="AT16" s="159" t="s">
        <v>604</v>
      </c>
      <c r="AU16" s="159" t="s">
        <v>602</v>
      </c>
      <c r="AV16" s="159" t="s">
        <v>603</v>
      </c>
      <c r="AW16" s="159" t="s">
        <v>483</v>
      </c>
      <c r="AX16" s="159" t="s">
        <v>113</v>
      </c>
      <c r="AY16" s="159" t="s">
        <v>114</v>
      </c>
      <c r="AZ16" s="159" t="s">
        <v>604</v>
      </c>
      <c r="BA16" s="163"/>
    </row>
    <row r="17" spans="1:53" ht="13.5" customHeight="1">
      <c r="A17" s="878"/>
      <c r="B17" s="1221" t="s">
        <v>1452</v>
      </c>
      <c r="C17" s="303"/>
      <c r="D17" s="1185">
        <f>AU23</f>
        <v>0</v>
      </c>
      <c r="E17" s="1185">
        <f>AX23</f>
        <v>0</v>
      </c>
      <c r="F17" s="1185">
        <f>AY23</f>
        <v>0</v>
      </c>
      <c r="G17" s="1186"/>
      <c r="H17" s="1187"/>
      <c r="I17" s="1188">
        <f t="shared" si="1"/>
        <v>0</v>
      </c>
      <c r="J17" s="1189">
        <f>IF(ISBLANK(G17),0,IF(ISBLANK(AV23),0,AV23/G17))</f>
        <v>0</v>
      </c>
      <c r="K17" s="1189">
        <f>IF(ISBLANK(G17),0,IF(ISBLANK(AW23),0,AW23/G17))</f>
        <v>0</v>
      </c>
      <c r="L17" s="1188">
        <f t="shared" si="2"/>
        <v>0</v>
      </c>
      <c r="M17" s="1188">
        <f t="shared" si="2"/>
        <v>0</v>
      </c>
      <c r="N17" s="294">
        <f>IF(ISERROR(AZ30),0,AZ30)</f>
        <v>0</v>
      </c>
      <c r="O17" s="294">
        <v>1</v>
      </c>
      <c r="P17" s="1190" t="s">
        <v>473</v>
      </c>
      <c r="Q17" s="1222">
        <f>IF(ISERROR(AX30),0,AX30/100)</f>
        <v>0</v>
      </c>
      <c r="R17" s="878"/>
      <c r="S17" s="2402"/>
      <c r="T17" s="2399"/>
      <c r="U17" s="878"/>
      <c r="V17" s="878"/>
      <c r="W17" s="878"/>
      <c r="X17" s="878"/>
      <c r="Y17" s="878"/>
      <c r="Z17" s="878"/>
      <c r="AA17" s="157"/>
      <c r="AB17" s="176" t="s">
        <v>605</v>
      </c>
      <c r="AC17" s="177">
        <f t="shared" ref="AC17:AC22" si="3">D5*$H5</f>
        <v>0</v>
      </c>
      <c r="AD17" s="178">
        <f>AC17*0.87</f>
        <v>0</v>
      </c>
      <c r="AE17" s="178">
        <f>AD17*Info3!E4</f>
        <v>0</v>
      </c>
      <c r="AF17" s="178">
        <f t="shared" ref="AF17:AG22" si="4">E5*$H5</f>
        <v>0</v>
      </c>
      <c r="AG17" s="178">
        <f t="shared" si="4"/>
        <v>0</v>
      </c>
      <c r="AH17" s="179" t="e">
        <f t="shared" ref="AH17:AH22" si="5">AC17/AC$23</f>
        <v>#DIV/0!</v>
      </c>
      <c r="AI17" s="180">
        <f t="shared" ref="AI17:AI22" si="6">D5*$I5</f>
        <v>0</v>
      </c>
      <c r="AJ17" s="181">
        <f>AI17*0.87</f>
        <v>0</v>
      </c>
      <c r="AK17" s="181">
        <f>AJ17*Info3!E4</f>
        <v>0</v>
      </c>
      <c r="AL17" s="182">
        <f t="shared" ref="AL17:AM22" si="7">E5*$I5</f>
        <v>0</v>
      </c>
      <c r="AM17" s="182">
        <f t="shared" si="7"/>
        <v>0</v>
      </c>
      <c r="AN17" s="166" t="e">
        <f t="shared" ref="AN17:AN22" si="8">AI17/AI$23</f>
        <v>#DIV/0!</v>
      </c>
      <c r="AO17" s="180">
        <f t="shared" ref="AO17:AO22" si="9">D5*$J5</f>
        <v>0</v>
      </c>
      <c r="AP17" s="181">
        <f>AO17*0.87</f>
        <v>0</v>
      </c>
      <c r="AQ17" s="181">
        <f>AP17*Info3!E4</f>
        <v>0</v>
      </c>
      <c r="AR17" s="182">
        <f t="shared" ref="AR17:AS22" si="10">E5*$J5</f>
        <v>0</v>
      </c>
      <c r="AS17" s="182">
        <f t="shared" si="10"/>
        <v>0</v>
      </c>
      <c r="AT17" s="166" t="e">
        <f t="shared" ref="AT17:AT22" si="11">AO17/AO$23</f>
        <v>#DIV/0!</v>
      </c>
      <c r="AU17" s="180">
        <f t="shared" ref="AU17:AU22" si="12">D5*$K5</f>
        <v>0</v>
      </c>
      <c r="AV17" s="181">
        <f>AU17*0.87</f>
        <v>0</v>
      </c>
      <c r="AW17" s="181">
        <f>AV17*Info3!E4</f>
        <v>0</v>
      </c>
      <c r="AX17" s="182">
        <f t="shared" ref="AX17:AY22" si="13">E5*$K5</f>
        <v>0</v>
      </c>
      <c r="AY17" s="182">
        <f t="shared" si="13"/>
        <v>0</v>
      </c>
      <c r="AZ17" s="166" t="e">
        <f t="shared" ref="AZ17:AZ22" si="14">AU17/AU$23</f>
        <v>#DIV/0!</v>
      </c>
      <c r="BA17" s="163"/>
    </row>
    <row r="18" spans="1:53" ht="13.5" customHeight="1">
      <c r="A18" s="878"/>
      <c r="B18" s="1221" t="s">
        <v>606</v>
      </c>
      <c r="C18" s="303"/>
      <c r="D18" s="1185">
        <f t="shared" ref="D18:F19" si="15">AC57</f>
        <v>0</v>
      </c>
      <c r="E18" s="1185">
        <f t="shared" si="15"/>
        <v>0</v>
      </c>
      <c r="F18" s="1185">
        <f t="shared" si="15"/>
        <v>0</v>
      </c>
      <c r="G18" s="1186"/>
      <c r="H18" s="1187"/>
      <c r="I18" s="1188">
        <f t="shared" si="1"/>
        <v>0</v>
      </c>
      <c r="J18" s="1189">
        <f>I18*0.91</f>
        <v>0</v>
      </c>
      <c r="K18" s="1189">
        <f>J18*Info3!E8</f>
        <v>0</v>
      </c>
      <c r="L18" s="1188">
        <f t="shared" si="2"/>
        <v>0</v>
      </c>
      <c r="M18" s="1188">
        <f t="shared" si="2"/>
        <v>0</v>
      </c>
      <c r="N18" s="294">
        <v>0.15</v>
      </c>
      <c r="O18" s="294">
        <v>1</v>
      </c>
      <c r="P18" s="1190" t="s">
        <v>473</v>
      </c>
      <c r="Q18" s="1222">
        <f>Info3!E8</f>
        <v>0.5</v>
      </c>
      <c r="R18" s="878"/>
      <c r="S18" s="2402"/>
      <c r="T18" s="2399"/>
      <c r="U18" s="878"/>
      <c r="V18" s="878"/>
      <c r="W18" s="878"/>
      <c r="X18" s="878"/>
      <c r="Y18" s="878"/>
      <c r="Z18" s="878"/>
      <c r="AA18" s="157"/>
      <c r="AB18" s="176" t="s">
        <v>607</v>
      </c>
      <c r="AC18" s="177">
        <f t="shared" si="3"/>
        <v>0</v>
      </c>
      <c r="AD18" s="178">
        <f>AC18*0.87</f>
        <v>0</v>
      </c>
      <c r="AE18" s="178">
        <f>AD18*Info3!E5</f>
        <v>0</v>
      </c>
      <c r="AF18" s="178">
        <f t="shared" si="4"/>
        <v>0</v>
      </c>
      <c r="AG18" s="178">
        <f t="shared" si="4"/>
        <v>0</v>
      </c>
      <c r="AH18" s="179" t="e">
        <f t="shared" si="5"/>
        <v>#DIV/0!</v>
      </c>
      <c r="AI18" s="180">
        <f t="shared" si="6"/>
        <v>0</v>
      </c>
      <c r="AJ18" s="181">
        <f>AI18*0.87</f>
        <v>0</v>
      </c>
      <c r="AK18" s="181">
        <f>AJ18*Info3!E5</f>
        <v>0</v>
      </c>
      <c r="AL18" s="180">
        <f t="shared" si="7"/>
        <v>0</v>
      </c>
      <c r="AM18" s="180">
        <f t="shared" si="7"/>
        <v>0</v>
      </c>
      <c r="AN18" s="166" t="e">
        <f t="shared" si="8"/>
        <v>#DIV/0!</v>
      </c>
      <c r="AO18" s="180">
        <f t="shared" si="9"/>
        <v>0</v>
      </c>
      <c r="AP18" s="181">
        <f>AO18*0.87</f>
        <v>0</v>
      </c>
      <c r="AQ18" s="181">
        <f>AP18*Info3!E5</f>
        <v>0</v>
      </c>
      <c r="AR18" s="180">
        <f t="shared" si="10"/>
        <v>0</v>
      </c>
      <c r="AS18" s="180">
        <f t="shared" si="10"/>
        <v>0</v>
      </c>
      <c r="AT18" s="166" t="e">
        <f t="shared" si="11"/>
        <v>#DIV/0!</v>
      </c>
      <c r="AU18" s="180">
        <f t="shared" si="12"/>
        <v>0</v>
      </c>
      <c r="AV18" s="181">
        <f>AU18*0.87</f>
        <v>0</v>
      </c>
      <c r="AW18" s="181">
        <f>AV18*Info3!E5</f>
        <v>0</v>
      </c>
      <c r="AX18" s="180">
        <f t="shared" si="13"/>
        <v>0</v>
      </c>
      <c r="AY18" s="180">
        <f t="shared" si="13"/>
        <v>0</v>
      </c>
      <c r="AZ18" s="166" t="e">
        <f t="shared" si="14"/>
        <v>#DIV/0!</v>
      </c>
      <c r="BA18" s="163"/>
    </row>
    <row r="19" spans="1:53" ht="13.5" customHeight="1" thickBot="1">
      <c r="A19" s="878"/>
      <c r="B19" s="1223" t="s">
        <v>608</v>
      </c>
      <c r="C19" s="1224"/>
      <c r="D19" s="1225">
        <f t="shared" si="15"/>
        <v>0</v>
      </c>
      <c r="E19" s="1225">
        <f t="shared" si="15"/>
        <v>0</v>
      </c>
      <c r="F19" s="1225">
        <f t="shared" si="15"/>
        <v>0</v>
      </c>
      <c r="G19" s="1226"/>
      <c r="H19" s="1227"/>
      <c r="I19" s="1228">
        <f t="shared" si="1"/>
        <v>0</v>
      </c>
      <c r="J19" s="1228">
        <f>I19*0.91</f>
        <v>0</v>
      </c>
      <c r="K19" s="1229">
        <f>J19*Info3!E8</f>
        <v>0</v>
      </c>
      <c r="L19" s="1228">
        <f t="shared" si="2"/>
        <v>0</v>
      </c>
      <c r="M19" s="1228">
        <f t="shared" si="2"/>
        <v>0</v>
      </c>
      <c r="N19" s="1199">
        <v>0.15</v>
      </c>
      <c r="O19" s="1199">
        <v>1</v>
      </c>
      <c r="P19" s="1230" t="s">
        <v>473</v>
      </c>
      <c r="Q19" s="1231">
        <f>Info3!E8</f>
        <v>0.5</v>
      </c>
      <c r="R19" s="878"/>
      <c r="S19" s="2403"/>
      <c r="T19" s="2400"/>
      <c r="U19" s="878"/>
      <c r="V19" s="878"/>
      <c r="W19" s="878"/>
      <c r="X19" s="878"/>
      <c r="Y19" s="878"/>
      <c r="Z19" s="878"/>
      <c r="AA19" s="157"/>
      <c r="AB19" s="176" t="s">
        <v>609</v>
      </c>
      <c r="AC19" s="177">
        <f t="shared" si="3"/>
        <v>0</v>
      </c>
      <c r="AD19" s="178">
        <f>AC19*0.87</f>
        <v>0</v>
      </c>
      <c r="AE19" s="178">
        <f>AD19*Info3!E6</f>
        <v>0</v>
      </c>
      <c r="AF19" s="178">
        <f t="shared" si="4"/>
        <v>0</v>
      </c>
      <c r="AG19" s="178">
        <f t="shared" si="4"/>
        <v>0</v>
      </c>
      <c r="AH19" s="183" t="e">
        <f t="shared" si="5"/>
        <v>#DIV/0!</v>
      </c>
      <c r="AI19" s="184">
        <f t="shared" si="6"/>
        <v>0</v>
      </c>
      <c r="AJ19" s="181">
        <f>AI19*0.87</f>
        <v>0</v>
      </c>
      <c r="AK19" s="181">
        <f>AJ19*Info3!E6</f>
        <v>0</v>
      </c>
      <c r="AL19" s="184">
        <f t="shared" si="7"/>
        <v>0</v>
      </c>
      <c r="AM19" s="184">
        <f t="shared" si="7"/>
        <v>0</v>
      </c>
      <c r="AN19" s="185" t="e">
        <f t="shared" si="8"/>
        <v>#DIV/0!</v>
      </c>
      <c r="AO19" s="184">
        <f t="shared" si="9"/>
        <v>0</v>
      </c>
      <c r="AP19" s="181">
        <f>AO19*0.87</f>
        <v>0</v>
      </c>
      <c r="AQ19" s="181">
        <f>AP19*Info3!E6</f>
        <v>0</v>
      </c>
      <c r="AR19" s="184">
        <f t="shared" si="10"/>
        <v>0</v>
      </c>
      <c r="AS19" s="184">
        <f t="shared" si="10"/>
        <v>0</v>
      </c>
      <c r="AT19" s="185" t="e">
        <f t="shared" si="11"/>
        <v>#DIV/0!</v>
      </c>
      <c r="AU19" s="184">
        <f t="shared" si="12"/>
        <v>0</v>
      </c>
      <c r="AV19" s="181">
        <f>AU19*0.87</f>
        <v>0</v>
      </c>
      <c r="AW19" s="181">
        <f>AV19*Info3!E6</f>
        <v>0</v>
      </c>
      <c r="AX19" s="184">
        <f t="shared" si="13"/>
        <v>0</v>
      </c>
      <c r="AY19" s="184">
        <f t="shared" si="13"/>
        <v>0</v>
      </c>
      <c r="AZ19" s="185" t="e">
        <f t="shared" si="14"/>
        <v>#DIV/0!</v>
      </c>
      <c r="BA19" s="163"/>
    </row>
    <row r="20" spans="1:53" ht="10.5" customHeight="1">
      <c r="A20" s="878"/>
      <c r="B20" s="878"/>
      <c r="C20" s="878"/>
      <c r="D20" s="878"/>
      <c r="E20" s="878"/>
      <c r="F20" s="878"/>
      <c r="G20" s="878"/>
      <c r="H20" s="878"/>
      <c r="I20" s="878"/>
      <c r="J20" s="878"/>
      <c r="K20" s="878"/>
      <c r="L20" s="878"/>
      <c r="M20" s="878"/>
      <c r="N20" s="878"/>
      <c r="O20" s="878"/>
      <c r="P20" s="878"/>
      <c r="Q20" s="878"/>
      <c r="R20" s="878"/>
      <c r="S20" s="878"/>
      <c r="T20" s="878"/>
      <c r="U20" s="878"/>
      <c r="V20" s="878"/>
      <c r="W20" s="878"/>
      <c r="X20" s="878"/>
      <c r="Y20" s="878"/>
      <c r="Z20" s="878"/>
      <c r="AA20" s="157"/>
      <c r="AB20" s="176" t="s">
        <v>610</v>
      </c>
      <c r="AC20" s="177">
        <f t="shared" si="3"/>
        <v>0</v>
      </c>
      <c r="AD20" s="178">
        <f>AC20*0.87</f>
        <v>0</v>
      </c>
      <c r="AE20" s="178">
        <f>AD20*Info3!E7</f>
        <v>0</v>
      </c>
      <c r="AF20" s="178">
        <f t="shared" si="4"/>
        <v>0</v>
      </c>
      <c r="AG20" s="178">
        <f t="shared" si="4"/>
        <v>0</v>
      </c>
      <c r="AH20" s="179" t="e">
        <f t="shared" si="5"/>
        <v>#DIV/0!</v>
      </c>
      <c r="AI20" s="180">
        <f t="shared" si="6"/>
        <v>0</v>
      </c>
      <c r="AJ20" s="180">
        <f>AI20*0.87</f>
        <v>0</v>
      </c>
      <c r="AK20" s="181">
        <f>AJ20*Info3!E7</f>
        <v>0</v>
      </c>
      <c r="AL20" s="180">
        <f t="shared" si="7"/>
        <v>0</v>
      </c>
      <c r="AM20" s="180">
        <f t="shared" si="7"/>
        <v>0</v>
      </c>
      <c r="AN20" s="166" t="e">
        <f t="shared" si="8"/>
        <v>#DIV/0!</v>
      </c>
      <c r="AO20" s="180">
        <f t="shared" si="9"/>
        <v>0</v>
      </c>
      <c r="AP20" s="180">
        <f>AO20*0.87</f>
        <v>0</v>
      </c>
      <c r="AQ20" s="181">
        <f>AP20*Info3!E7</f>
        <v>0</v>
      </c>
      <c r="AR20" s="180">
        <f t="shared" si="10"/>
        <v>0</v>
      </c>
      <c r="AS20" s="180">
        <f t="shared" si="10"/>
        <v>0</v>
      </c>
      <c r="AT20" s="166" t="e">
        <f t="shared" si="11"/>
        <v>#DIV/0!</v>
      </c>
      <c r="AU20" s="180">
        <f t="shared" si="12"/>
        <v>0</v>
      </c>
      <c r="AV20" s="180">
        <f>AU20*0.87</f>
        <v>0</v>
      </c>
      <c r="AW20" s="181">
        <f>AV20*Info3!E7</f>
        <v>0</v>
      </c>
      <c r="AX20" s="180">
        <f t="shared" si="13"/>
        <v>0</v>
      </c>
      <c r="AY20" s="180">
        <f t="shared" si="13"/>
        <v>0</v>
      </c>
      <c r="AZ20" s="166" t="e">
        <f t="shared" si="14"/>
        <v>#DIV/0!</v>
      </c>
      <c r="BA20" s="163"/>
    </row>
    <row r="21" spans="1:53" ht="36.75" customHeight="1">
      <c r="A21" s="878"/>
      <c r="B21" s="2406" t="s">
        <v>611</v>
      </c>
      <c r="C21" s="2407"/>
      <c r="D21" s="1232" t="s">
        <v>612</v>
      </c>
      <c r="E21" s="1232" t="s">
        <v>613</v>
      </c>
      <c r="F21" s="1232" t="s">
        <v>614</v>
      </c>
      <c r="G21" s="1233" t="s">
        <v>109</v>
      </c>
      <c r="H21" s="1234"/>
      <c r="I21" s="1217" t="s">
        <v>615</v>
      </c>
      <c r="J21" s="1217" t="s">
        <v>616</v>
      </c>
      <c r="K21" s="1217" t="s">
        <v>617</v>
      </c>
      <c r="L21" s="1217" t="s">
        <v>618</v>
      </c>
      <c r="M21" s="1217" t="s">
        <v>619</v>
      </c>
      <c r="N21" s="1219" t="s">
        <v>461</v>
      </c>
      <c r="O21" s="1217" t="s">
        <v>462</v>
      </c>
      <c r="P21" s="1217" t="s">
        <v>598</v>
      </c>
      <c r="Q21" s="1220" t="s">
        <v>620</v>
      </c>
      <c r="R21" s="878"/>
      <c r="S21" s="878"/>
      <c r="T21" s="878"/>
      <c r="U21" s="878"/>
      <c r="V21" s="878"/>
      <c r="W21" s="878"/>
      <c r="X21" s="878"/>
      <c r="Y21" s="878"/>
      <c r="Z21" s="878"/>
      <c r="AA21" s="157"/>
      <c r="AB21" s="176" t="s">
        <v>621</v>
      </c>
      <c r="AC21" s="177">
        <f t="shared" si="3"/>
        <v>0</v>
      </c>
      <c r="AD21" s="180">
        <f>AC21*0.91</f>
        <v>0</v>
      </c>
      <c r="AE21" s="178">
        <f>AD21*Info3!E8</f>
        <v>0</v>
      </c>
      <c r="AF21" s="178">
        <f t="shared" si="4"/>
        <v>0</v>
      </c>
      <c r="AG21" s="178">
        <f t="shared" si="4"/>
        <v>0</v>
      </c>
      <c r="AH21" s="166" t="e">
        <f t="shared" si="5"/>
        <v>#DIV/0!</v>
      </c>
      <c r="AI21" s="180">
        <f t="shared" si="6"/>
        <v>0</v>
      </c>
      <c r="AJ21" s="186">
        <f>AI21*0.91</f>
        <v>0</v>
      </c>
      <c r="AK21" s="181">
        <f>AJ21*Info3!E8</f>
        <v>0</v>
      </c>
      <c r="AL21" s="180">
        <f t="shared" si="7"/>
        <v>0</v>
      </c>
      <c r="AM21" s="180">
        <f t="shared" si="7"/>
        <v>0</v>
      </c>
      <c r="AN21" s="166" t="e">
        <f t="shared" si="8"/>
        <v>#DIV/0!</v>
      </c>
      <c r="AO21" s="180">
        <f t="shared" si="9"/>
        <v>0</v>
      </c>
      <c r="AP21" s="186">
        <f>AO21*0.91</f>
        <v>0</v>
      </c>
      <c r="AQ21" s="181">
        <f>AP21*Info3!E8</f>
        <v>0</v>
      </c>
      <c r="AR21" s="180">
        <f t="shared" si="10"/>
        <v>0</v>
      </c>
      <c r="AS21" s="180">
        <f t="shared" si="10"/>
        <v>0</v>
      </c>
      <c r="AT21" s="166" t="e">
        <f t="shared" si="11"/>
        <v>#DIV/0!</v>
      </c>
      <c r="AU21" s="180">
        <f t="shared" si="12"/>
        <v>0</v>
      </c>
      <c r="AV21" s="186">
        <f>AU21*0.91</f>
        <v>0</v>
      </c>
      <c r="AW21" s="181">
        <f>AV21*Info3!E8</f>
        <v>0</v>
      </c>
      <c r="AX21" s="180">
        <f t="shared" si="13"/>
        <v>0</v>
      </c>
      <c r="AY21" s="180">
        <f t="shared" si="13"/>
        <v>0</v>
      </c>
      <c r="AZ21" s="166" t="e">
        <f t="shared" si="14"/>
        <v>#DIV/0!</v>
      </c>
      <c r="BA21" s="163"/>
    </row>
    <row r="22" spans="1:53" ht="12.75" customHeight="1" thickBot="1">
      <c r="A22" s="878"/>
      <c r="B22" s="1428" t="s">
        <v>546</v>
      </c>
      <c r="C22" s="1426">
        <f>Organ__Dü!B5</f>
        <v>0</v>
      </c>
      <c r="D22" s="1429">
        <f>Organ__Dü!J5</f>
        <v>0</v>
      </c>
      <c r="E22" s="1429">
        <f>Organ__Dü!K5</f>
        <v>0</v>
      </c>
      <c r="F22" s="1429">
        <f>Organ__Dü!L5</f>
        <v>0</v>
      </c>
      <c r="G22" s="1430">
        <f>Organ__Dü!I5</f>
        <v>0</v>
      </c>
      <c r="H22" s="1431"/>
      <c r="I22" s="1432">
        <f>Organ__Dü!D5</f>
        <v>0</v>
      </c>
      <c r="J22" s="1432">
        <f>Organ__Dü!U34</f>
        <v>0</v>
      </c>
      <c r="K22" s="1432">
        <f>Organ__Dü!V34</f>
        <v>0</v>
      </c>
      <c r="L22" s="1432">
        <f>Organ__Dü!E5</f>
        <v>0</v>
      </c>
      <c r="M22" s="1432">
        <f>Organ__Dü!F5</f>
        <v>0</v>
      </c>
      <c r="N22" s="1433">
        <f>Organ__Dü!W34</f>
        <v>0</v>
      </c>
      <c r="O22" s="1433">
        <f>Organ__Dü!G5</f>
        <v>0</v>
      </c>
      <c r="P22" s="1434" t="s">
        <v>473</v>
      </c>
      <c r="Q22" s="1435"/>
      <c r="R22" s="878"/>
      <c r="S22" s="878"/>
      <c r="T22" s="878"/>
      <c r="U22" s="878"/>
      <c r="V22" s="878"/>
      <c r="W22" s="878"/>
      <c r="X22" s="878"/>
      <c r="Y22" s="878"/>
      <c r="Z22" s="878"/>
      <c r="AA22" s="157"/>
      <c r="AB22" s="187" t="s">
        <v>622</v>
      </c>
      <c r="AC22" s="177">
        <f t="shared" si="3"/>
        <v>0</v>
      </c>
      <c r="AD22" s="184">
        <f>AC22*0.91</f>
        <v>0</v>
      </c>
      <c r="AE22" s="178">
        <f>AD22*Info3!E8</f>
        <v>0</v>
      </c>
      <c r="AF22" s="178">
        <f t="shared" si="4"/>
        <v>0</v>
      </c>
      <c r="AG22" s="178">
        <f t="shared" si="4"/>
        <v>0</v>
      </c>
      <c r="AH22" s="185" t="e">
        <f t="shared" si="5"/>
        <v>#DIV/0!</v>
      </c>
      <c r="AI22" s="180">
        <f t="shared" si="6"/>
        <v>0</v>
      </c>
      <c r="AJ22" s="188">
        <f>AI22*0.91</f>
        <v>0</v>
      </c>
      <c r="AK22" s="181">
        <f>AJ22*Info3!E8</f>
        <v>0</v>
      </c>
      <c r="AL22" s="180">
        <f t="shared" si="7"/>
        <v>0</v>
      </c>
      <c r="AM22" s="180">
        <f t="shared" si="7"/>
        <v>0</v>
      </c>
      <c r="AN22" s="166" t="e">
        <f t="shared" si="8"/>
        <v>#DIV/0!</v>
      </c>
      <c r="AO22" s="180">
        <f t="shared" si="9"/>
        <v>0</v>
      </c>
      <c r="AP22" s="188">
        <f>AO22*0.91</f>
        <v>0</v>
      </c>
      <c r="AQ22" s="181">
        <f>AP22*Info3!E8</f>
        <v>0</v>
      </c>
      <c r="AR22" s="180">
        <f t="shared" si="10"/>
        <v>0</v>
      </c>
      <c r="AS22" s="180">
        <f t="shared" si="10"/>
        <v>0</v>
      </c>
      <c r="AT22" s="166" t="e">
        <f t="shared" si="11"/>
        <v>#DIV/0!</v>
      </c>
      <c r="AU22" s="180">
        <f t="shared" si="12"/>
        <v>0</v>
      </c>
      <c r="AV22" s="188">
        <f>AU22*0.91</f>
        <v>0</v>
      </c>
      <c r="AW22" s="181">
        <f>AV22*Info3!E8</f>
        <v>0</v>
      </c>
      <c r="AX22" s="180">
        <f t="shared" si="13"/>
        <v>0</v>
      </c>
      <c r="AY22" s="180">
        <f t="shared" si="13"/>
        <v>0</v>
      </c>
      <c r="AZ22" s="166" t="e">
        <f t="shared" si="14"/>
        <v>#DIV/0!</v>
      </c>
      <c r="BA22" s="163"/>
    </row>
    <row r="23" spans="1:53" ht="12.75" customHeight="1" thickBot="1">
      <c r="A23" s="878"/>
      <c r="B23" s="1428" t="s">
        <v>559</v>
      </c>
      <c r="C23" s="1426">
        <f>Organ__Dü!B6</f>
        <v>0</v>
      </c>
      <c r="D23" s="1429">
        <f>Organ__Dü!J6</f>
        <v>0</v>
      </c>
      <c r="E23" s="1429">
        <f>Organ__Dü!K6</f>
        <v>0</v>
      </c>
      <c r="F23" s="1429">
        <f>Organ__Dü!L6</f>
        <v>0</v>
      </c>
      <c r="G23" s="1430">
        <f>Organ__Dü!I6</f>
        <v>0</v>
      </c>
      <c r="H23" s="1431"/>
      <c r="I23" s="1432">
        <f>Organ__Dü!D6</f>
        <v>0</v>
      </c>
      <c r="J23" s="1432">
        <f>Organ__Dü!U40</f>
        <v>0</v>
      </c>
      <c r="K23" s="1432">
        <f>Organ__Dü!V40</f>
        <v>0</v>
      </c>
      <c r="L23" s="1432">
        <f>Organ__Dü!E6</f>
        <v>0</v>
      </c>
      <c r="M23" s="1432">
        <f>Organ__Dü!F6</f>
        <v>0</v>
      </c>
      <c r="N23" s="1433">
        <f>Organ__Dü!W40</f>
        <v>0</v>
      </c>
      <c r="O23" s="1433">
        <f>Organ__Dü!G6</f>
        <v>0</v>
      </c>
      <c r="P23" s="1434" t="s">
        <v>473</v>
      </c>
      <c r="Q23" s="1435"/>
      <c r="R23" s="878"/>
      <c r="S23" s="878"/>
      <c r="T23" s="878"/>
      <c r="U23" s="878"/>
      <c r="V23" s="878"/>
      <c r="W23" s="878"/>
      <c r="X23" s="878"/>
      <c r="Y23" s="878"/>
      <c r="Z23" s="878"/>
      <c r="AA23" s="157"/>
      <c r="AB23" s="189" t="s">
        <v>623</v>
      </c>
      <c r="AC23" s="190">
        <f>SUM(AC17:AC22)</f>
        <v>0</v>
      </c>
      <c r="AD23" s="191">
        <f>SUM(AD17:AD22)</f>
        <v>0</v>
      </c>
      <c r="AE23" s="192">
        <f>SUM(AE17:AE22)</f>
        <v>0</v>
      </c>
      <c r="AF23" s="192">
        <f>SUM(AF17:AF22)</f>
        <v>0</v>
      </c>
      <c r="AG23" s="192">
        <f>SUM(AG17:AG22)</f>
        <v>0</v>
      </c>
      <c r="AH23" s="193" t="e">
        <f>SUM(AH17:AH20)</f>
        <v>#DIV/0!</v>
      </c>
      <c r="AI23" s="191">
        <f>SUM(AI17:AI22)</f>
        <v>0</v>
      </c>
      <c r="AJ23" s="191">
        <f>SUM(AJ17:AJ22)</f>
        <v>0</v>
      </c>
      <c r="AK23" s="192">
        <f>SUM(AK17:AK22)</f>
        <v>0</v>
      </c>
      <c r="AL23" s="194">
        <f>SUM(AL17:AL22)</f>
        <v>0</v>
      </c>
      <c r="AM23" s="190">
        <f>SUM(AM17:AM22)</f>
        <v>0</v>
      </c>
      <c r="AN23" s="193" t="e">
        <f>SUM(AN17:AN20)</f>
        <v>#DIV/0!</v>
      </c>
      <c r="AO23" s="191">
        <f>SUM(AO17:AO22)</f>
        <v>0</v>
      </c>
      <c r="AP23" s="191">
        <f>SUM(AP17:AP22)</f>
        <v>0</v>
      </c>
      <c r="AQ23" s="192">
        <f>SUM(AQ17:AQ22)</f>
        <v>0</v>
      </c>
      <c r="AR23" s="194">
        <f>SUM(AR17:AR22)</f>
        <v>0</v>
      </c>
      <c r="AS23" s="190">
        <f>SUM(AS17:AS22)</f>
        <v>0</v>
      </c>
      <c r="AT23" s="193" t="e">
        <f>SUM(AT17:AT20)</f>
        <v>#DIV/0!</v>
      </c>
      <c r="AU23" s="191">
        <f>SUM(AU17:AU22)</f>
        <v>0</v>
      </c>
      <c r="AV23" s="191">
        <f>SUM(AV17:AV22)</f>
        <v>0</v>
      </c>
      <c r="AW23" s="192">
        <f>SUM(AW17:AW22)</f>
        <v>0</v>
      </c>
      <c r="AX23" s="194">
        <f>SUM(AX17:AX22)</f>
        <v>0</v>
      </c>
      <c r="AY23" s="190">
        <f>SUM(AY17:AY22)</f>
        <v>0</v>
      </c>
      <c r="AZ23" s="193" t="e">
        <f>SUM(AZ17:AZ20)</f>
        <v>#DIV/0!</v>
      </c>
      <c r="BA23" s="163"/>
    </row>
    <row r="24" spans="1:53" ht="12.75" customHeight="1">
      <c r="A24" s="878"/>
      <c r="B24" s="1428" t="s">
        <v>625</v>
      </c>
      <c r="C24" s="1426">
        <f>Organ__Dü!B8</f>
        <v>0</v>
      </c>
      <c r="D24" s="1429">
        <f>Organ__Dü!J8</f>
        <v>0</v>
      </c>
      <c r="E24" s="1429">
        <f>Organ__Dü!K8</f>
        <v>0</v>
      </c>
      <c r="F24" s="1429">
        <f>Organ__Dü!L8</f>
        <v>0</v>
      </c>
      <c r="G24" s="1430">
        <f>Organ__Dü!I8</f>
        <v>0</v>
      </c>
      <c r="H24" s="1431"/>
      <c r="I24" s="1432">
        <f>Organ__Dü!D8</f>
        <v>0</v>
      </c>
      <c r="J24" s="1432">
        <f>Organ__Dü!U44</f>
        <v>0</v>
      </c>
      <c r="K24" s="1432">
        <f>Organ__Dü!V44</f>
        <v>0</v>
      </c>
      <c r="L24" s="1432">
        <f>Organ__Dü!E8</f>
        <v>0</v>
      </c>
      <c r="M24" s="1432">
        <f>Organ__Dü!F8</f>
        <v>0</v>
      </c>
      <c r="N24" s="1433">
        <f>Organ__Dü!W44</f>
        <v>0</v>
      </c>
      <c r="O24" s="1433">
        <f>Organ__Dü!G8</f>
        <v>0</v>
      </c>
      <c r="P24" s="1434" t="s">
        <v>473</v>
      </c>
      <c r="Q24" s="1435"/>
      <c r="R24" s="878"/>
      <c r="S24" s="878"/>
      <c r="T24" s="878"/>
      <c r="U24" s="878"/>
      <c r="V24" s="878"/>
      <c r="W24" s="878"/>
      <c r="X24" s="878"/>
      <c r="Y24" s="878"/>
      <c r="Z24" s="878"/>
      <c r="AA24" s="157"/>
      <c r="AB24" s="174" t="s">
        <v>131</v>
      </c>
      <c r="AE24" s="195">
        <f>Info3!E4</f>
        <v>0.7</v>
      </c>
      <c r="AF24" s="196" t="e">
        <f t="shared" ref="AF24:AF29" si="16">(AH17*AE24)*100</f>
        <v>#DIV/0!</v>
      </c>
      <c r="AG24" s="197">
        <v>0.5</v>
      </c>
      <c r="AH24" s="196" t="e">
        <f t="shared" ref="AH24:AH29" si="17">(AH17*AG24)</f>
        <v>#DIV/0!</v>
      </c>
      <c r="AK24" s="195">
        <f>Info3!E4</f>
        <v>0.7</v>
      </c>
      <c r="AL24" s="196" t="e">
        <f t="shared" ref="AL24:AL29" si="18">(AN17*AK24)*100</f>
        <v>#DIV/0!</v>
      </c>
      <c r="AM24" s="197">
        <v>0.5</v>
      </c>
      <c r="AN24" s="196" t="e">
        <f t="shared" ref="AN24:AN29" si="19">(AN17*AM24)</f>
        <v>#DIV/0!</v>
      </c>
      <c r="AQ24" s="195">
        <f>Info3!E4</f>
        <v>0.7</v>
      </c>
      <c r="AR24" s="196" t="e">
        <f t="shared" ref="AR24:AR29" si="20">(AT17*AQ24)*100</f>
        <v>#DIV/0!</v>
      </c>
      <c r="AS24" s="197">
        <v>0.5</v>
      </c>
      <c r="AT24" s="196" t="e">
        <f t="shared" ref="AT24:AT29" si="21">(AT17*AS24)</f>
        <v>#DIV/0!</v>
      </c>
      <c r="AW24" s="195">
        <f>Info3!E4</f>
        <v>0.7</v>
      </c>
      <c r="AX24" s="198" t="e">
        <f t="shared" ref="AX24:AX29" si="22">(AZ17*AW24)*100</f>
        <v>#DIV/0!</v>
      </c>
      <c r="AY24" s="199">
        <v>0.5</v>
      </c>
      <c r="AZ24" s="198" t="e">
        <f t="shared" ref="AZ24:AZ29" si="23">(AZ17*AY24)</f>
        <v>#DIV/0!</v>
      </c>
      <c r="BA24" s="163"/>
    </row>
    <row r="25" spans="1:53" ht="12.75" customHeight="1">
      <c r="A25" s="878"/>
      <c r="B25" s="1428" t="s">
        <v>626</v>
      </c>
      <c r="C25" s="1426">
        <f>Organ__Dü!B9</f>
        <v>0</v>
      </c>
      <c r="D25" s="1429">
        <f>Organ__Dü!J9</f>
        <v>0</v>
      </c>
      <c r="E25" s="1429">
        <f>Organ__Dü!K9</f>
        <v>0</v>
      </c>
      <c r="F25" s="1429">
        <f>Organ__Dü!L9</f>
        <v>0</v>
      </c>
      <c r="G25" s="1430">
        <f>Organ__Dü!I9</f>
        <v>0</v>
      </c>
      <c r="H25" s="1431"/>
      <c r="I25" s="1432">
        <f>Organ__Dü!D9</f>
        <v>0</v>
      </c>
      <c r="J25" s="1432">
        <f>Organ__Dü!U48</f>
        <v>0</v>
      </c>
      <c r="K25" s="1432">
        <f>Organ__Dü!V48</f>
        <v>0</v>
      </c>
      <c r="L25" s="1432">
        <f>Organ__Dü!E9</f>
        <v>0</v>
      </c>
      <c r="M25" s="1432">
        <f>Organ__Dü!F9</f>
        <v>0</v>
      </c>
      <c r="N25" s="1433">
        <f>Organ__Dü!W48</f>
        <v>0</v>
      </c>
      <c r="O25" s="1433">
        <f>Organ__Dü!G9</f>
        <v>0</v>
      </c>
      <c r="P25" s="1434" t="s">
        <v>473</v>
      </c>
      <c r="Q25" s="1435"/>
      <c r="R25" s="878"/>
      <c r="S25" s="878"/>
      <c r="T25" s="878"/>
      <c r="U25" s="878"/>
      <c r="V25" s="878"/>
      <c r="W25" s="878"/>
      <c r="X25" s="878"/>
      <c r="Y25" s="878"/>
      <c r="Z25" s="878"/>
      <c r="AA25" s="157"/>
      <c r="AB25" s="174" t="s">
        <v>624</v>
      </c>
      <c r="AE25" s="195">
        <f>Info3!E5</f>
        <v>0.8</v>
      </c>
      <c r="AF25" s="200" t="e">
        <f t="shared" si="16"/>
        <v>#DIV/0!</v>
      </c>
      <c r="AG25" s="201">
        <v>0.65</v>
      </c>
      <c r="AH25" s="196" t="e">
        <f t="shared" si="17"/>
        <v>#DIV/0!</v>
      </c>
      <c r="AK25" s="195">
        <f>Info3!E5</f>
        <v>0.8</v>
      </c>
      <c r="AL25" s="200" t="e">
        <f t="shared" si="18"/>
        <v>#DIV/0!</v>
      </c>
      <c r="AM25" s="201">
        <v>0.65</v>
      </c>
      <c r="AN25" s="200" t="e">
        <f t="shared" si="19"/>
        <v>#DIV/0!</v>
      </c>
      <c r="AQ25" s="195">
        <f>Info3!E5</f>
        <v>0.8</v>
      </c>
      <c r="AR25" s="200" t="e">
        <f t="shared" si="20"/>
        <v>#DIV/0!</v>
      </c>
      <c r="AS25" s="201">
        <v>0.65</v>
      </c>
      <c r="AT25" s="200" t="e">
        <f t="shared" si="21"/>
        <v>#DIV/0!</v>
      </c>
      <c r="AW25" s="195">
        <f>Info3!E5</f>
        <v>0.8</v>
      </c>
      <c r="AX25" s="202" t="e">
        <f t="shared" si="22"/>
        <v>#DIV/0!</v>
      </c>
      <c r="AY25" s="203">
        <v>0.65</v>
      </c>
      <c r="AZ25" s="202" t="e">
        <f t="shared" si="23"/>
        <v>#DIV/0!</v>
      </c>
      <c r="BA25" s="163"/>
    </row>
    <row r="26" spans="1:53" ht="12.75" customHeight="1">
      <c r="A26" s="878"/>
      <c r="B26" s="1428" t="s">
        <v>627</v>
      </c>
      <c r="C26" s="1426">
        <f>Organ__Dü!B11</f>
        <v>0</v>
      </c>
      <c r="D26" s="1429">
        <f>Organ__Dü!J11</f>
        <v>0</v>
      </c>
      <c r="E26" s="1429">
        <f>Organ__Dü!K11</f>
        <v>0</v>
      </c>
      <c r="F26" s="1429">
        <f>Organ__Dü!L11</f>
        <v>0</v>
      </c>
      <c r="G26" s="1430">
        <f>Organ__Dü!I11</f>
        <v>0</v>
      </c>
      <c r="H26" s="1431"/>
      <c r="I26" s="1432">
        <f>Organ__Dü!D11</f>
        <v>0</v>
      </c>
      <c r="J26" s="1432">
        <f>Organ__Dü!U57</f>
        <v>0</v>
      </c>
      <c r="K26" s="1432">
        <f>Organ__Dü!V57</f>
        <v>0</v>
      </c>
      <c r="L26" s="1432">
        <f>Organ__Dü!E11</f>
        <v>0</v>
      </c>
      <c r="M26" s="1432">
        <f>Organ__Dü!F11</f>
        <v>0</v>
      </c>
      <c r="N26" s="1433">
        <f>Organ__Dü!W57</f>
        <v>0</v>
      </c>
      <c r="O26" s="1433">
        <f>Organ__Dü!G11</f>
        <v>0</v>
      </c>
      <c r="P26" s="1434" t="s">
        <v>473</v>
      </c>
      <c r="Q26" s="1435"/>
      <c r="R26" s="878"/>
      <c r="S26" s="878"/>
      <c r="T26" s="878"/>
      <c r="U26" s="878"/>
      <c r="V26" s="878"/>
      <c r="W26" s="878"/>
      <c r="X26" s="878"/>
      <c r="Y26" s="878"/>
      <c r="Z26" s="878"/>
      <c r="AA26" s="157"/>
      <c r="AB26" s="174" t="s">
        <v>366</v>
      </c>
      <c r="AE26" s="195">
        <f>Info3!E6</f>
        <v>0.85</v>
      </c>
      <c r="AF26" s="200" t="e">
        <f t="shared" si="16"/>
        <v>#DIV/0!</v>
      </c>
      <c r="AG26" s="201">
        <v>0.60000000000000009</v>
      </c>
      <c r="AH26" s="200" t="e">
        <f t="shared" si="17"/>
        <v>#DIV/0!</v>
      </c>
      <c r="AK26" s="195">
        <f>Info3!E6</f>
        <v>0.85</v>
      </c>
      <c r="AL26" s="200" t="e">
        <f t="shared" si="18"/>
        <v>#DIV/0!</v>
      </c>
      <c r="AM26" s="201">
        <v>0.60000000000000009</v>
      </c>
      <c r="AN26" s="200" t="e">
        <f t="shared" si="19"/>
        <v>#DIV/0!</v>
      </c>
      <c r="AQ26" s="195">
        <f>Info3!E6</f>
        <v>0.85</v>
      </c>
      <c r="AR26" s="200" t="e">
        <f t="shared" si="20"/>
        <v>#DIV/0!</v>
      </c>
      <c r="AS26" s="201">
        <v>0.60000000000000009</v>
      </c>
      <c r="AT26" s="200" t="e">
        <f t="shared" si="21"/>
        <v>#DIV/0!</v>
      </c>
      <c r="AW26" s="195">
        <f>Info3!E6</f>
        <v>0.85</v>
      </c>
      <c r="AX26" s="200" t="e">
        <f t="shared" si="22"/>
        <v>#DIV/0!</v>
      </c>
      <c r="AY26" s="201">
        <v>0.60000000000000009</v>
      </c>
      <c r="AZ26" s="196" t="e">
        <f t="shared" si="23"/>
        <v>#DIV/0!</v>
      </c>
      <c r="BA26" s="163"/>
    </row>
    <row r="27" spans="1:53" ht="12.75" customHeight="1">
      <c r="A27" s="878"/>
      <c r="B27" s="1428" t="s">
        <v>628</v>
      </c>
      <c r="C27" s="1426">
        <f>Organ__Dü!B12</f>
        <v>0</v>
      </c>
      <c r="D27" s="1429">
        <f>Organ__Dü!J12</f>
        <v>0</v>
      </c>
      <c r="E27" s="1429">
        <f>Organ__Dü!K12</f>
        <v>0</v>
      </c>
      <c r="F27" s="1429">
        <f>Organ__Dü!L12</f>
        <v>0</v>
      </c>
      <c r="G27" s="1430">
        <f>Organ__Dü!I12</f>
        <v>0</v>
      </c>
      <c r="H27" s="1431"/>
      <c r="I27" s="1432">
        <f>Organ__Dü!D12</f>
        <v>0</v>
      </c>
      <c r="J27" s="1432">
        <f>Organ__Dü!U66</f>
        <v>0</v>
      </c>
      <c r="K27" s="1432">
        <f>Organ__Dü!V66</f>
        <v>0</v>
      </c>
      <c r="L27" s="1432">
        <f>Organ__Dü!E12</f>
        <v>0</v>
      </c>
      <c r="M27" s="1432">
        <f>Organ__Dü!F12</f>
        <v>0</v>
      </c>
      <c r="N27" s="1433">
        <f>Organ__Dü!W66</f>
        <v>0</v>
      </c>
      <c r="O27" s="1433">
        <f>Organ__Dü!G12</f>
        <v>0</v>
      </c>
      <c r="P27" s="1434" t="s">
        <v>473</v>
      </c>
      <c r="Q27" s="1435"/>
      <c r="R27" s="878"/>
      <c r="S27" s="878"/>
      <c r="T27" s="878"/>
      <c r="U27" s="878"/>
      <c r="V27" s="878"/>
      <c r="W27" s="878"/>
      <c r="X27" s="878"/>
      <c r="Y27" s="878"/>
      <c r="Z27" s="878"/>
      <c r="AA27" s="157"/>
      <c r="AB27" s="174" t="s">
        <v>90</v>
      </c>
      <c r="AE27" s="195">
        <f>Info3!E7</f>
        <v>1</v>
      </c>
      <c r="AF27" s="200" t="e">
        <f t="shared" si="16"/>
        <v>#DIV/0!</v>
      </c>
      <c r="AG27" s="201">
        <v>0.9</v>
      </c>
      <c r="AH27" s="200" t="e">
        <f t="shared" si="17"/>
        <v>#DIV/0!</v>
      </c>
      <c r="AK27" s="195">
        <f>Info3!E7</f>
        <v>1</v>
      </c>
      <c r="AL27" s="200" t="e">
        <f t="shared" si="18"/>
        <v>#DIV/0!</v>
      </c>
      <c r="AM27" s="201">
        <v>0.9</v>
      </c>
      <c r="AN27" s="200" t="e">
        <f t="shared" si="19"/>
        <v>#DIV/0!</v>
      </c>
      <c r="AQ27" s="195">
        <f>Info3!E7</f>
        <v>1</v>
      </c>
      <c r="AR27" s="200" t="e">
        <f t="shared" si="20"/>
        <v>#DIV/0!</v>
      </c>
      <c r="AS27" s="201">
        <v>0.9</v>
      </c>
      <c r="AT27" s="200" t="e">
        <f t="shared" si="21"/>
        <v>#DIV/0!</v>
      </c>
      <c r="AW27" s="195">
        <f>Info3!E7</f>
        <v>1</v>
      </c>
      <c r="AX27" s="202" t="e">
        <f t="shared" si="22"/>
        <v>#DIV/0!</v>
      </c>
      <c r="AY27" s="203">
        <v>0.9</v>
      </c>
      <c r="AZ27" s="198" t="e">
        <f t="shared" si="23"/>
        <v>#DIV/0!</v>
      </c>
      <c r="BA27" s="163"/>
    </row>
    <row r="28" spans="1:53" ht="12.75" customHeight="1">
      <c r="A28" s="878"/>
      <c r="B28" s="2408" t="s">
        <v>631</v>
      </c>
      <c r="C28" s="1426">
        <f>Organ__Dü!B15</f>
        <v>0</v>
      </c>
      <c r="D28" s="1429">
        <f>Organ__Dü!J15</f>
        <v>0</v>
      </c>
      <c r="E28" s="1429">
        <f>Organ__Dü!K15</f>
        <v>0</v>
      </c>
      <c r="F28" s="1429">
        <f>Organ__Dü!L15</f>
        <v>0</v>
      </c>
      <c r="G28" s="1430">
        <f>Organ__Dü!I15</f>
        <v>0</v>
      </c>
      <c r="H28" s="1431"/>
      <c r="I28" s="1432">
        <f>Organ__Dü!D15</f>
        <v>0</v>
      </c>
      <c r="J28" s="1432">
        <f>I28*0.87</f>
        <v>0</v>
      </c>
      <c r="K28" s="1432">
        <f>J28*Info3!E4</f>
        <v>0</v>
      </c>
      <c r="L28" s="1432">
        <f>Organ__Dü!E15</f>
        <v>0</v>
      </c>
      <c r="M28" s="1432">
        <f>Organ__Dü!F15</f>
        <v>0</v>
      </c>
      <c r="N28" s="1433">
        <v>0.5</v>
      </c>
      <c r="O28" s="1433">
        <v>0</v>
      </c>
      <c r="P28" s="1434" t="s">
        <v>473</v>
      </c>
      <c r="Q28" s="1435"/>
      <c r="R28" s="878"/>
      <c r="S28" s="878"/>
      <c r="T28" s="878"/>
      <c r="U28" s="878"/>
      <c r="V28" s="878"/>
      <c r="W28" s="878"/>
      <c r="X28" s="878"/>
      <c r="Y28" s="878"/>
      <c r="Z28" s="878"/>
      <c r="AA28" s="162"/>
      <c r="AB28" s="174" t="s">
        <v>91</v>
      </c>
      <c r="AE28" s="195">
        <f>Info3!E8</f>
        <v>0.5</v>
      </c>
      <c r="AF28" s="200" t="e">
        <f t="shared" si="16"/>
        <v>#DIV/0!</v>
      </c>
      <c r="AG28" s="201">
        <v>0.15</v>
      </c>
      <c r="AH28" s="200" t="e">
        <f t="shared" si="17"/>
        <v>#DIV/0!</v>
      </c>
      <c r="AK28" s="195">
        <f>Info3!E8</f>
        <v>0.5</v>
      </c>
      <c r="AL28" s="200" t="e">
        <f t="shared" si="18"/>
        <v>#DIV/0!</v>
      </c>
      <c r="AM28" s="201">
        <v>0.15</v>
      </c>
      <c r="AN28" s="200" t="e">
        <f t="shared" si="19"/>
        <v>#DIV/0!</v>
      </c>
      <c r="AQ28" s="195">
        <f>Info3!E8</f>
        <v>0.5</v>
      </c>
      <c r="AR28" s="200" t="e">
        <f t="shared" si="20"/>
        <v>#DIV/0!</v>
      </c>
      <c r="AS28" s="201">
        <v>0.15</v>
      </c>
      <c r="AT28" s="200" t="e">
        <f t="shared" si="21"/>
        <v>#DIV/0!</v>
      </c>
      <c r="AW28" s="195">
        <f>Info3!E8</f>
        <v>0.5</v>
      </c>
      <c r="AX28" s="200" t="e">
        <f t="shared" si="22"/>
        <v>#DIV/0!</v>
      </c>
      <c r="AY28" s="201">
        <v>0.15</v>
      </c>
      <c r="AZ28" s="196" t="e">
        <f t="shared" si="23"/>
        <v>#DIV/0!</v>
      </c>
      <c r="BA28" s="163"/>
    </row>
    <row r="29" spans="1:53" ht="12.75" customHeight="1" thickBot="1">
      <c r="A29" s="878"/>
      <c r="B29" s="2408"/>
      <c r="C29" s="1426">
        <f>Organ__Dü!B16</f>
        <v>0</v>
      </c>
      <c r="D29" s="1429">
        <f>Organ__Dü!J16</f>
        <v>0</v>
      </c>
      <c r="E29" s="1429">
        <f>Organ__Dü!K16</f>
        <v>0</v>
      </c>
      <c r="F29" s="1429">
        <f>Organ__Dü!L16</f>
        <v>0</v>
      </c>
      <c r="G29" s="1430">
        <f>Organ__Dü!I16</f>
        <v>0</v>
      </c>
      <c r="H29" s="1431"/>
      <c r="I29" s="1432">
        <f>Organ__Dü!D16</f>
        <v>0</v>
      </c>
      <c r="J29" s="1432">
        <f>I29*0.91</f>
        <v>0</v>
      </c>
      <c r="K29" s="1432">
        <f>J29*Info3!E8</f>
        <v>0</v>
      </c>
      <c r="L29" s="1432">
        <f>Organ__Dü!E16</f>
        <v>0</v>
      </c>
      <c r="M29" s="1432">
        <f>Organ__Dü!F16</f>
        <v>0</v>
      </c>
      <c r="N29" s="1433">
        <v>0.15</v>
      </c>
      <c r="O29" s="1433">
        <v>0</v>
      </c>
      <c r="P29" s="1434" t="s">
        <v>473</v>
      </c>
      <c r="Q29" s="1435"/>
      <c r="R29" s="878"/>
      <c r="S29" s="878"/>
      <c r="T29" s="878"/>
      <c r="U29" s="878"/>
      <c r="V29" s="878"/>
      <c r="W29" s="878"/>
      <c r="X29" s="878"/>
      <c r="Y29" s="878"/>
      <c r="Z29" s="878"/>
      <c r="AA29" s="157"/>
      <c r="AB29" s="174" t="s">
        <v>91</v>
      </c>
      <c r="AE29" s="195">
        <f>Info3!E8</f>
        <v>0.5</v>
      </c>
      <c r="AF29" s="204" t="e">
        <f t="shared" si="16"/>
        <v>#DIV/0!</v>
      </c>
      <c r="AG29" s="201">
        <v>0.15</v>
      </c>
      <c r="AH29" s="200" t="e">
        <f t="shared" si="17"/>
        <v>#DIV/0!</v>
      </c>
      <c r="AK29" s="195">
        <f>Info3!E8</f>
        <v>0.5</v>
      </c>
      <c r="AL29" s="200" t="e">
        <f t="shared" si="18"/>
        <v>#DIV/0!</v>
      </c>
      <c r="AM29" s="201">
        <v>0.15</v>
      </c>
      <c r="AN29" s="200" t="e">
        <f t="shared" si="19"/>
        <v>#DIV/0!</v>
      </c>
      <c r="AQ29" s="195">
        <f>Info3!E8</f>
        <v>0.5</v>
      </c>
      <c r="AR29" s="200" t="e">
        <f t="shared" si="20"/>
        <v>#DIV/0!</v>
      </c>
      <c r="AS29" s="201">
        <v>0.15</v>
      </c>
      <c r="AT29" s="200" t="e">
        <f t="shared" si="21"/>
        <v>#DIV/0!</v>
      </c>
      <c r="AW29" s="195">
        <f>Info3!E8</f>
        <v>0.5</v>
      </c>
      <c r="AX29" s="200" t="e">
        <f t="shared" si="22"/>
        <v>#DIV/0!</v>
      </c>
      <c r="AY29" s="201">
        <v>0.15</v>
      </c>
      <c r="AZ29" s="200" t="e">
        <f t="shared" si="23"/>
        <v>#DIV/0!</v>
      </c>
      <c r="BA29" s="163"/>
    </row>
    <row r="30" spans="1:53" ht="12.75" customHeight="1">
      <c r="A30" s="878"/>
      <c r="B30" s="2408"/>
      <c r="C30" s="1426">
        <f>Organ__Dü!B17</f>
        <v>0</v>
      </c>
      <c r="D30" s="1429">
        <f>Organ__Dü!J17</f>
        <v>0</v>
      </c>
      <c r="E30" s="1429">
        <f>Organ__Dü!K17</f>
        <v>0</v>
      </c>
      <c r="F30" s="1429">
        <f>Organ__Dü!L17</f>
        <v>0</v>
      </c>
      <c r="G30" s="1430">
        <f>Organ__Dü!I17</f>
        <v>0</v>
      </c>
      <c r="H30" s="1431"/>
      <c r="I30" s="1432">
        <f>Organ__Dü!D17</f>
        <v>0</v>
      </c>
      <c r="J30" s="1432">
        <f>I30*0.91</f>
        <v>0</v>
      </c>
      <c r="K30" s="1432">
        <f>J30*Info3!E8</f>
        <v>0</v>
      </c>
      <c r="L30" s="1432">
        <f>Organ__Dü!E17</f>
        <v>0</v>
      </c>
      <c r="M30" s="1432">
        <f>Organ__Dü!F17</f>
        <v>0</v>
      </c>
      <c r="N30" s="1433">
        <v>0.15</v>
      </c>
      <c r="O30" s="1433">
        <v>0</v>
      </c>
      <c r="P30" s="1434" t="s">
        <v>473</v>
      </c>
      <c r="Q30" s="1435"/>
      <c r="R30" s="878"/>
      <c r="S30" s="878"/>
      <c r="T30" s="878"/>
      <c r="U30" s="878"/>
      <c r="V30" s="878"/>
      <c r="W30" s="878"/>
      <c r="X30" s="878"/>
      <c r="Y30" s="878"/>
      <c r="Z30" s="878"/>
      <c r="AA30" s="157"/>
      <c r="AB30" s="172"/>
      <c r="AE30" s="167" t="s">
        <v>629</v>
      </c>
      <c r="AF30" s="200" t="e">
        <f>SUM(AF24:AF29)</f>
        <v>#DIV/0!</v>
      </c>
      <c r="AG30" s="201" t="s">
        <v>630</v>
      </c>
      <c r="AH30" s="205" t="e">
        <f>SUM(AH24:AH29)</f>
        <v>#DIV/0!</v>
      </c>
      <c r="AK30" s="206" t="s">
        <v>629</v>
      </c>
      <c r="AL30" s="207" t="e">
        <f>SUM(AL24:AL29)</f>
        <v>#DIV/0!</v>
      </c>
      <c r="AM30" s="207" t="s">
        <v>630</v>
      </c>
      <c r="AN30" s="205" t="e">
        <f>SUM(AN24:AN29)</f>
        <v>#DIV/0!</v>
      </c>
      <c r="AQ30" s="206" t="s">
        <v>629</v>
      </c>
      <c r="AR30" s="207" t="e">
        <f>SUM(AR24:AR29)</f>
        <v>#DIV/0!</v>
      </c>
      <c r="AS30" s="207" t="s">
        <v>630</v>
      </c>
      <c r="AT30" s="205" t="e">
        <f>SUM(AT24:AT29)</f>
        <v>#DIV/0!</v>
      </c>
      <c r="AW30" s="206" t="s">
        <v>629</v>
      </c>
      <c r="AX30" s="207" t="e">
        <f>SUM(AX24:AX29)</f>
        <v>#DIV/0!</v>
      </c>
      <c r="AY30" s="207" t="s">
        <v>630</v>
      </c>
      <c r="AZ30" s="205" t="e">
        <f>SUM(AZ24:AZ29)</f>
        <v>#DIV/0!</v>
      </c>
      <c r="BA30" s="163"/>
    </row>
    <row r="31" spans="1:53" ht="12.75" customHeight="1">
      <c r="A31" s="878"/>
      <c r="B31" s="2409"/>
      <c r="C31" s="1427">
        <f>Organ__Dü!B18</f>
        <v>0</v>
      </c>
      <c r="D31" s="1436">
        <f>Organ__Dü!J18</f>
        <v>0</v>
      </c>
      <c r="E31" s="1436">
        <f>Organ__Dü!K18</f>
        <v>0</v>
      </c>
      <c r="F31" s="1436">
        <f>Organ__Dü!L18</f>
        <v>0</v>
      </c>
      <c r="G31" s="1437">
        <f>Organ__Dü!I18</f>
        <v>0</v>
      </c>
      <c r="H31" s="1438"/>
      <c r="I31" s="1439">
        <f>Organ__Dü!D18</f>
        <v>0</v>
      </c>
      <c r="J31" s="1439">
        <f>I31*0.91</f>
        <v>0</v>
      </c>
      <c r="K31" s="1439">
        <f>J31*Info3!E10</f>
        <v>0</v>
      </c>
      <c r="L31" s="1439">
        <f>Organ__Dü!E18</f>
        <v>0</v>
      </c>
      <c r="M31" s="1439">
        <f>Organ__Dü!F18</f>
        <v>0</v>
      </c>
      <c r="N31" s="1440">
        <v>0.01</v>
      </c>
      <c r="O31" s="1440">
        <v>0</v>
      </c>
      <c r="P31" s="1441" t="s">
        <v>473</v>
      </c>
      <c r="Q31" s="1442"/>
      <c r="R31" s="878"/>
      <c r="S31" s="878"/>
      <c r="T31" s="876"/>
      <c r="U31" s="878"/>
      <c r="V31" s="878"/>
      <c r="W31" s="878"/>
      <c r="X31" s="878"/>
      <c r="Y31" s="878"/>
      <c r="Z31" s="878"/>
      <c r="AA31" s="157"/>
      <c r="AB31" s="172"/>
      <c r="BA31" s="163"/>
    </row>
    <row r="32" spans="1:53" ht="14.25">
      <c r="A32" s="878"/>
      <c r="B32" s="876"/>
      <c r="C32" s="876"/>
      <c r="D32" s="876"/>
      <c r="E32" s="876"/>
      <c r="F32" s="876"/>
      <c r="G32" s="876"/>
      <c r="H32" s="876"/>
      <c r="I32" s="876"/>
      <c r="J32" s="876"/>
      <c r="K32" s="876"/>
      <c r="L32" s="876"/>
      <c r="M32" s="876"/>
      <c r="N32" s="876"/>
      <c r="O32" s="876"/>
      <c r="P32" s="876"/>
      <c r="Q32" s="876"/>
      <c r="R32" s="876"/>
      <c r="S32" s="876"/>
      <c r="T32" s="876"/>
      <c r="U32" s="878"/>
      <c r="V32" s="878"/>
      <c r="W32" s="878"/>
      <c r="X32" s="878"/>
      <c r="Y32" s="878"/>
      <c r="Z32" s="878"/>
      <c r="AA32" s="157"/>
      <c r="AB32" s="172"/>
      <c r="AC32" s="144" t="s">
        <v>112</v>
      </c>
      <c r="AD32" s="203" t="s">
        <v>113</v>
      </c>
      <c r="AE32" s="203" t="s">
        <v>114</v>
      </c>
      <c r="BA32" s="163"/>
    </row>
    <row r="33" spans="1:53" s="747" customFormat="1" ht="14.25">
      <c r="A33" s="878"/>
      <c r="B33" s="876"/>
      <c r="C33" s="876"/>
      <c r="D33" s="876"/>
      <c r="E33" s="876"/>
      <c r="F33" s="876"/>
      <c r="G33" s="876"/>
      <c r="H33" s="876"/>
      <c r="I33" s="876"/>
      <c r="J33" s="876"/>
      <c r="K33" s="876"/>
      <c r="L33" s="876"/>
      <c r="M33" s="876"/>
      <c r="N33" s="876"/>
      <c r="O33" s="876"/>
      <c r="P33" s="876"/>
      <c r="Q33" s="876"/>
      <c r="R33" s="876"/>
      <c r="S33" s="876"/>
      <c r="T33" s="876"/>
      <c r="U33" s="878"/>
      <c r="V33" s="878"/>
      <c r="W33" s="878"/>
      <c r="X33" s="878"/>
      <c r="Y33" s="878"/>
      <c r="Z33" s="878"/>
      <c r="AA33" s="157"/>
      <c r="AB33" s="1472"/>
      <c r="AC33" s="1476"/>
      <c r="AD33" s="1477"/>
      <c r="AE33" s="1477"/>
      <c r="BA33" s="163"/>
    </row>
    <row r="34" spans="1:53" s="747" customFormat="1" ht="14.25">
      <c r="A34" s="878"/>
      <c r="B34" s="876"/>
      <c r="C34" s="876"/>
      <c r="D34" s="876"/>
      <c r="E34" s="876"/>
      <c r="F34" s="876"/>
      <c r="G34" s="876"/>
      <c r="H34" s="876"/>
      <c r="I34" s="876"/>
      <c r="J34" s="876"/>
      <c r="K34" s="876"/>
      <c r="L34" s="876"/>
      <c r="M34" s="876"/>
      <c r="N34" s="876"/>
      <c r="O34" s="876"/>
      <c r="P34" s="876"/>
      <c r="Q34" s="876"/>
      <c r="R34" s="876"/>
      <c r="S34" s="876"/>
      <c r="T34" s="876"/>
      <c r="U34" s="878"/>
      <c r="V34" s="878"/>
      <c r="W34" s="878"/>
      <c r="X34" s="878"/>
      <c r="Y34" s="878"/>
      <c r="Z34" s="878"/>
      <c r="AA34" s="157"/>
      <c r="AB34" s="1472"/>
      <c r="AC34" s="1476"/>
      <c r="AD34" s="1477"/>
      <c r="AE34" s="1477"/>
      <c r="BA34" s="163"/>
    </row>
    <row r="35" spans="1:53" s="747" customFormat="1" ht="14.25">
      <c r="A35" s="878"/>
      <c r="B35" s="876"/>
      <c r="C35" s="876"/>
      <c r="D35" s="876"/>
      <c r="E35" s="876"/>
      <c r="F35" s="876"/>
      <c r="G35" s="876"/>
      <c r="H35" s="876"/>
      <c r="I35" s="876"/>
      <c r="J35" s="876"/>
      <c r="K35" s="876"/>
      <c r="L35" s="876"/>
      <c r="M35" s="876"/>
      <c r="N35" s="876"/>
      <c r="O35" s="876"/>
      <c r="P35" s="876"/>
      <c r="Q35" s="876"/>
      <c r="R35" s="876"/>
      <c r="S35" s="876"/>
      <c r="T35" s="876"/>
      <c r="U35" s="878"/>
      <c r="V35" s="878"/>
      <c r="W35" s="878"/>
      <c r="X35" s="878"/>
      <c r="Y35" s="878"/>
      <c r="Z35" s="878"/>
      <c r="AA35" s="157"/>
      <c r="AB35" s="1472"/>
      <c r="AC35" s="1476"/>
      <c r="AD35" s="1477"/>
      <c r="AE35" s="1477"/>
      <c r="BA35" s="163"/>
    </row>
    <row r="36" spans="1:53" s="747" customFormat="1" ht="14.25">
      <c r="A36" s="878"/>
      <c r="B36" s="876"/>
      <c r="C36" s="876"/>
      <c r="D36" s="876"/>
      <c r="E36" s="876"/>
      <c r="F36" s="876"/>
      <c r="G36" s="876"/>
      <c r="H36" s="876"/>
      <c r="I36" s="876"/>
      <c r="J36" s="876"/>
      <c r="K36" s="876"/>
      <c r="L36" s="876"/>
      <c r="M36" s="876"/>
      <c r="N36" s="876"/>
      <c r="O36" s="876"/>
      <c r="P36" s="876"/>
      <c r="Q36" s="876"/>
      <c r="R36" s="876"/>
      <c r="S36" s="876"/>
      <c r="T36" s="876"/>
      <c r="U36" s="878"/>
      <c r="V36" s="878"/>
      <c r="W36" s="878"/>
      <c r="X36" s="878"/>
      <c r="Y36" s="878"/>
      <c r="Z36" s="878"/>
      <c r="AA36" s="157"/>
      <c r="AB36" s="1472"/>
      <c r="AC36" s="1476"/>
      <c r="AD36" s="1477"/>
      <c r="AE36" s="1477"/>
      <c r="BA36" s="163"/>
    </row>
    <row r="37" spans="1:53" s="747" customFormat="1" ht="14.25">
      <c r="A37" s="878"/>
      <c r="B37" s="876"/>
      <c r="C37" s="876"/>
      <c r="D37" s="876"/>
      <c r="E37" s="876"/>
      <c r="F37" s="876"/>
      <c r="G37" s="876"/>
      <c r="H37" s="876"/>
      <c r="I37" s="876"/>
      <c r="J37" s="876"/>
      <c r="K37" s="876"/>
      <c r="L37" s="876"/>
      <c r="M37" s="876"/>
      <c r="N37" s="876"/>
      <c r="O37" s="876"/>
      <c r="P37" s="876"/>
      <c r="Q37" s="876"/>
      <c r="R37" s="876"/>
      <c r="S37" s="876"/>
      <c r="T37" s="876"/>
      <c r="U37" s="878"/>
      <c r="V37" s="878"/>
      <c r="W37" s="878"/>
      <c r="X37" s="878"/>
      <c r="Y37" s="878"/>
      <c r="Z37" s="878"/>
      <c r="AA37" s="157"/>
      <c r="AB37" s="1472"/>
      <c r="AC37" s="1476"/>
      <c r="AD37" s="1477"/>
      <c r="AE37" s="1477"/>
      <c r="BA37" s="163"/>
    </row>
    <row r="38" spans="1:53" s="747" customFormat="1" ht="14.25">
      <c r="A38" s="878"/>
      <c r="B38" s="876"/>
      <c r="C38" s="876"/>
      <c r="D38" s="876"/>
      <c r="E38" s="876"/>
      <c r="F38" s="876"/>
      <c r="G38" s="876"/>
      <c r="H38" s="876"/>
      <c r="I38" s="876"/>
      <c r="J38" s="876"/>
      <c r="K38" s="876"/>
      <c r="L38" s="876"/>
      <c r="M38" s="876"/>
      <c r="N38" s="876"/>
      <c r="O38" s="876"/>
      <c r="P38" s="876"/>
      <c r="Q38" s="876"/>
      <c r="R38" s="876"/>
      <c r="S38" s="876"/>
      <c r="T38" s="876"/>
      <c r="U38" s="878"/>
      <c r="V38" s="878"/>
      <c r="W38" s="878"/>
      <c r="X38" s="878"/>
      <c r="Y38" s="878"/>
      <c r="Z38" s="878"/>
      <c r="AA38" s="157"/>
      <c r="AB38" s="1472"/>
      <c r="AC38" s="1476"/>
      <c r="AD38" s="1477"/>
      <c r="AE38" s="1477"/>
      <c r="BA38" s="163"/>
    </row>
    <row r="39" spans="1:53" s="747" customFormat="1" ht="14.25">
      <c r="A39" s="878"/>
      <c r="B39" s="876"/>
      <c r="C39" s="876"/>
      <c r="D39" s="876"/>
      <c r="E39" s="876"/>
      <c r="F39" s="876"/>
      <c r="G39" s="876"/>
      <c r="H39" s="876"/>
      <c r="I39" s="876"/>
      <c r="J39" s="876"/>
      <c r="K39" s="876"/>
      <c r="L39" s="876"/>
      <c r="M39" s="876"/>
      <c r="N39" s="876"/>
      <c r="O39" s="876"/>
      <c r="P39" s="876"/>
      <c r="Q39" s="876"/>
      <c r="R39" s="876"/>
      <c r="S39" s="876"/>
      <c r="T39" s="876"/>
      <c r="U39" s="878"/>
      <c r="V39" s="878"/>
      <c r="W39" s="878"/>
      <c r="X39" s="878"/>
      <c r="Y39" s="878"/>
      <c r="Z39" s="878"/>
      <c r="AA39" s="157"/>
      <c r="AB39" s="1472"/>
      <c r="AC39" s="1476"/>
      <c r="AD39" s="1477"/>
      <c r="AE39" s="1477"/>
      <c r="BA39" s="163"/>
    </row>
    <row r="40" spans="1:53" s="747" customFormat="1" ht="14.25">
      <c r="A40" s="878"/>
      <c r="B40" s="876"/>
      <c r="C40" s="876"/>
      <c r="D40" s="876"/>
      <c r="E40" s="876"/>
      <c r="F40" s="876"/>
      <c r="G40" s="876"/>
      <c r="H40" s="876"/>
      <c r="I40" s="876"/>
      <c r="J40" s="876"/>
      <c r="K40" s="876"/>
      <c r="L40" s="876"/>
      <c r="M40" s="876"/>
      <c r="N40" s="876"/>
      <c r="O40" s="876"/>
      <c r="P40" s="876"/>
      <c r="Q40" s="876"/>
      <c r="R40" s="876"/>
      <c r="S40" s="876"/>
      <c r="T40" s="876"/>
      <c r="U40" s="878"/>
      <c r="V40" s="878"/>
      <c r="W40" s="878"/>
      <c r="X40" s="878"/>
      <c r="Y40" s="878"/>
      <c r="Z40" s="878"/>
      <c r="AA40" s="157"/>
      <c r="AB40" s="1472"/>
      <c r="AC40" s="1476"/>
      <c r="AD40" s="1477"/>
      <c r="AE40" s="1477"/>
      <c r="BA40" s="163"/>
    </row>
    <row r="41" spans="1:53" s="747" customFormat="1" ht="14.25" hidden="1">
      <c r="A41" s="878"/>
      <c r="B41" s="876"/>
      <c r="C41" s="876"/>
      <c r="D41" s="876"/>
      <c r="E41" s="876"/>
      <c r="F41" s="876"/>
      <c r="G41" s="876"/>
      <c r="H41" s="876"/>
      <c r="I41" s="876"/>
      <c r="J41" s="876"/>
      <c r="K41" s="876"/>
      <c r="L41" s="876"/>
      <c r="M41" s="876"/>
      <c r="N41" s="876"/>
      <c r="O41" s="876"/>
      <c r="P41" s="876"/>
      <c r="Q41" s="876"/>
      <c r="R41" s="876"/>
      <c r="S41" s="876"/>
      <c r="T41" s="876"/>
      <c r="U41" s="878"/>
      <c r="V41" s="878"/>
      <c r="W41" s="878"/>
      <c r="X41" s="878"/>
      <c r="Y41" s="878"/>
      <c r="Z41" s="878"/>
      <c r="AA41" s="157"/>
      <c r="AB41" s="1472"/>
      <c r="AC41" s="1476"/>
      <c r="AD41" s="1477"/>
      <c r="AE41" s="1477"/>
      <c r="BA41" s="163"/>
    </row>
    <row r="42" spans="1:53" s="747" customFormat="1" ht="14.25" hidden="1">
      <c r="A42" s="878"/>
      <c r="B42" s="876"/>
      <c r="C42" s="876"/>
      <c r="D42" s="876"/>
      <c r="E42" s="876"/>
      <c r="F42" s="876"/>
      <c r="G42" s="876"/>
      <c r="H42" s="876"/>
      <c r="I42" s="876"/>
      <c r="J42" s="876"/>
      <c r="K42" s="876"/>
      <c r="L42" s="876"/>
      <c r="M42" s="876"/>
      <c r="N42" s="876"/>
      <c r="O42" s="876"/>
      <c r="P42" s="876"/>
      <c r="Q42" s="876"/>
      <c r="R42" s="876"/>
      <c r="S42" s="876"/>
      <c r="T42" s="876"/>
      <c r="U42" s="878"/>
      <c r="V42" s="878"/>
      <c r="W42" s="878"/>
      <c r="X42" s="878"/>
      <c r="Y42" s="878"/>
      <c r="Z42" s="878"/>
      <c r="AA42" s="157"/>
      <c r="AB42" s="1472"/>
      <c r="AC42" s="1476"/>
      <c r="AD42" s="1477"/>
      <c r="AE42" s="1477"/>
      <c r="BA42" s="163"/>
    </row>
    <row r="43" spans="1:53" s="747" customFormat="1" ht="14.25" hidden="1">
      <c r="A43" s="878"/>
      <c r="B43" s="876"/>
      <c r="C43" s="876"/>
      <c r="D43" s="876"/>
      <c r="E43" s="876"/>
      <c r="F43" s="876"/>
      <c r="G43" s="876"/>
      <c r="H43" s="876"/>
      <c r="I43" s="876"/>
      <c r="J43" s="876"/>
      <c r="K43" s="876"/>
      <c r="L43" s="876"/>
      <c r="M43" s="876"/>
      <c r="N43" s="876"/>
      <c r="O43" s="876"/>
      <c r="P43" s="876"/>
      <c r="Q43" s="876"/>
      <c r="R43" s="876"/>
      <c r="S43" s="876"/>
      <c r="T43" s="876"/>
      <c r="U43" s="878"/>
      <c r="V43" s="878"/>
      <c r="W43" s="878"/>
      <c r="X43" s="878"/>
      <c r="Y43" s="878"/>
      <c r="Z43" s="878"/>
      <c r="AA43" s="157"/>
      <c r="AB43" s="1472"/>
      <c r="AC43" s="1476"/>
      <c r="AD43" s="1477"/>
      <c r="AE43" s="1477"/>
      <c r="BA43" s="163"/>
    </row>
    <row r="44" spans="1:53" s="747" customFormat="1" ht="14.25" hidden="1">
      <c r="A44" s="878"/>
      <c r="B44" s="876"/>
      <c r="C44" s="876"/>
      <c r="D44" s="876"/>
      <c r="E44" s="876"/>
      <c r="F44" s="876"/>
      <c r="G44" s="876"/>
      <c r="H44" s="876"/>
      <c r="I44" s="876"/>
      <c r="J44" s="876"/>
      <c r="K44" s="876"/>
      <c r="L44" s="876"/>
      <c r="M44" s="876"/>
      <c r="N44" s="876"/>
      <c r="O44" s="876"/>
      <c r="P44" s="876"/>
      <c r="Q44" s="876"/>
      <c r="R44" s="876"/>
      <c r="S44" s="876"/>
      <c r="T44" s="876"/>
      <c r="U44" s="878"/>
      <c r="V44" s="878"/>
      <c r="W44" s="878"/>
      <c r="X44" s="878"/>
      <c r="Y44" s="878"/>
      <c r="Z44" s="878"/>
      <c r="AA44" s="157"/>
      <c r="AB44" s="1472"/>
      <c r="AC44" s="1476"/>
      <c r="AD44" s="1477"/>
      <c r="AE44" s="1477"/>
      <c r="BA44" s="163"/>
    </row>
    <row r="45" spans="1:53" s="747" customFormat="1" ht="14.25" hidden="1">
      <c r="A45" s="878"/>
      <c r="B45" s="876"/>
      <c r="C45" s="876"/>
      <c r="D45" s="876"/>
      <c r="E45" s="876"/>
      <c r="F45" s="876"/>
      <c r="G45" s="876"/>
      <c r="H45" s="876"/>
      <c r="I45" s="876"/>
      <c r="J45" s="876"/>
      <c r="K45" s="876"/>
      <c r="L45" s="876"/>
      <c r="M45" s="876"/>
      <c r="N45" s="876"/>
      <c r="O45" s="876"/>
      <c r="P45" s="876"/>
      <c r="Q45" s="876"/>
      <c r="R45" s="876"/>
      <c r="S45" s="876"/>
      <c r="T45" s="876"/>
      <c r="U45" s="878"/>
      <c r="V45" s="878"/>
      <c r="W45" s="878"/>
      <c r="X45" s="878"/>
      <c r="Y45" s="878"/>
      <c r="Z45" s="878"/>
      <c r="AA45" s="157"/>
      <c r="AB45" s="1472"/>
      <c r="AC45" s="1476"/>
      <c r="AD45" s="1477"/>
      <c r="AE45" s="1477"/>
      <c r="BA45" s="163"/>
    </row>
    <row r="46" spans="1:53" s="747" customFormat="1" ht="14.25" hidden="1">
      <c r="A46" s="878"/>
      <c r="B46" s="876"/>
      <c r="C46" s="876"/>
      <c r="D46" s="876"/>
      <c r="E46" s="876"/>
      <c r="F46" s="876"/>
      <c r="G46" s="876"/>
      <c r="H46" s="876"/>
      <c r="I46" s="876"/>
      <c r="J46" s="876"/>
      <c r="K46" s="876"/>
      <c r="L46" s="876"/>
      <c r="M46" s="876"/>
      <c r="N46" s="876"/>
      <c r="O46" s="876"/>
      <c r="P46" s="876"/>
      <c r="Q46" s="876"/>
      <c r="R46" s="876"/>
      <c r="S46" s="876"/>
      <c r="T46" s="876"/>
      <c r="U46" s="878"/>
      <c r="V46" s="878"/>
      <c r="W46" s="878"/>
      <c r="X46" s="878"/>
      <c r="Y46" s="878"/>
      <c r="Z46" s="878"/>
      <c r="AA46" s="157"/>
      <c r="AB46" s="1472"/>
      <c r="AC46" s="1476"/>
      <c r="AD46" s="1477"/>
      <c r="AE46" s="1477"/>
      <c r="BA46" s="163"/>
    </row>
    <row r="47" spans="1:53" s="747" customFormat="1" ht="14.25" hidden="1">
      <c r="A47" s="878"/>
      <c r="B47" s="876"/>
      <c r="C47" s="876"/>
      <c r="D47" s="876"/>
      <c r="E47" s="876"/>
      <c r="F47" s="876"/>
      <c r="G47" s="876"/>
      <c r="H47" s="876"/>
      <c r="I47" s="876"/>
      <c r="J47" s="876"/>
      <c r="K47" s="876"/>
      <c r="L47" s="876"/>
      <c r="M47" s="876"/>
      <c r="N47" s="876"/>
      <c r="O47" s="876"/>
      <c r="P47" s="876"/>
      <c r="Q47" s="876"/>
      <c r="R47" s="876"/>
      <c r="S47" s="876"/>
      <c r="T47" s="876"/>
      <c r="U47" s="878"/>
      <c r="V47" s="878"/>
      <c r="W47" s="878"/>
      <c r="X47" s="878"/>
      <c r="Y47" s="878"/>
      <c r="Z47" s="878"/>
      <c r="AA47" s="157"/>
      <c r="AB47" s="1472"/>
      <c r="AC47" s="1476"/>
      <c r="AD47" s="1477"/>
      <c r="AE47" s="1477"/>
      <c r="BA47" s="163"/>
    </row>
    <row r="48" spans="1:53" s="747" customFormat="1" ht="14.25" hidden="1">
      <c r="A48" s="878"/>
      <c r="B48" s="876"/>
      <c r="C48" s="876"/>
      <c r="D48" s="876"/>
      <c r="E48" s="876"/>
      <c r="F48" s="876"/>
      <c r="G48" s="876"/>
      <c r="H48" s="876"/>
      <c r="I48" s="876"/>
      <c r="J48" s="876"/>
      <c r="K48" s="876"/>
      <c r="L48" s="876"/>
      <c r="M48" s="876"/>
      <c r="N48" s="876"/>
      <c r="O48" s="876"/>
      <c r="P48" s="876"/>
      <c r="Q48" s="876"/>
      <c r="R48" s="876"/>
      <c r="S48" s="876"/>
      <c r="T48" s="876"/>
      <c r="U48" s="878"/>
      <c r="V48" s="878"/>
      <c r="W48" s="878"/>
      <c r="X48" s="878"/>
      <c r="Y48" s="878"/>
      <c r="Z48" s="878"/>
      <c r="AA48" s="157"/>
      <c r="AB48" s="1472"/>
      <c r="AC48" s="1476"/>
      <c r="AD48" s="1477"/>
      <c r="AE48" s="1477"/>
      <c r="BA48" s="163"/>
    </row>
    <row r="49" spans="1:53" s="747" customFormat="1" ht="14.25" hidden="1">
      <c r="A49" s="878"/>
      <c r="B49" s="876"/>
      <c r="C49" s="876"/>
      <c r="D49" s="876"/>
      <c r="E49" s="876"/>
      <c r="F49" s="876"/>
      <c r="G49" s="876"/>
      <c r="H49" s="876"/>
      <c r="I49" s="876"/>
      <c r="J49" s="876"/>
      <c r="K49" s="876"/>
      <c r="L49" s="876"/>
      <c r="M49" s="876"/>
      <c r="N49" s="876"/>
      <c r="O49" s="876"/>
      <c r="P49" s="876"/>
      <c r="Q49" s="876"/>
      <c r="R49" s="876"/>
      <c r="S49" s="876"/>
      <c r="T49" s="876"/>
      <c r="U49" s="878"/>
      <c r="V49" s="878"/>
      <c r="W49" s="878"/>
      <c r="X49" s="878"/>
      <c r="Y49" s="878"/>
      <c r="Z49" s="878"/>
      <c r="AA49" s="157"/>
      <c r="AB49" s="1472"/>
      <c r="AC49" s="1476"/>
      <c r="AD49" s="1477"/>
      <c r="AE49" s="1477"/>
      <c r="BA49" s="163"/>
    </row>
    <row r="50" spans="1:53" s="747" customFormat="1" ht="14.25" hidden="1">
      <c r="A50" s="878"/>
      <c r="B50" s="876"/>
      <c r="C50" s="876"/>
      <c r="D50" s="876"/>
      <c r="E50" s="876"/>
      <c r="F50" s="876"/>
      <c r="G50" s="876"/>
      <c r="H50" s="876"/>
      <c r="I50" s="876"/>
      <c r="J50" s="876"/>
      <c r="K50" s="876"/>
      <c r="L50" s="876"/>
      <c r="M50" s="876"/>
      <c r="N50" s="876"/>
      <c r="O50" s="876"/>
      <c r="P50" s="876"/>
      <c r="Q50" s="876"/>
      <c r="R50" s="876"/>
      <c r="S50" s="876"/>
      <c r="T50" s="876"/>
      <c r="U50" s="878"/>
      <c r="V50" s="878"/>
      <c r="W50" s="878"/>
      <c r="X50" s="878"/>
      <c r="Y50" s="878"/>
      <c r="Z50" s="878"/>
      <c r="AA50" s="157"/>
      <c r="AB50" s="1472"/>
      <c r="AC50" s="1476"/>
      <c r="AD50" s="1477"/>
      <c r="AE50" s="1477"/>
      <c r="BA50" s="163"/>
    </row>
    <row r="51" spans="1:53" s="747" customFormat="1" ht="14.25" hidden="1">
      <c r="A51" s="878"/>
      <c r="B51" s="876"/>
      <c r="C51" s="876"/>
      <c r="D51" s="876"/>
      <c r="E51" s="876"/>
      <c r="F51" s="876"/>
      <c r="G51" s="876"/>
      <c r="H51" s="876"/>
      <c r="I51" s="876"/>
      <c r="J51" s="876"/>
      <c r="K51" s="876"/>
      <c r="L51" s="876"/>
      <c r="M51" s="876"/>
      <c r="N51" s="876"/>
      <c r="O51" s="876"/>
      <c r="P51" s="876"/>
      <c r="Q51" s="876"/>
      <c r="R51" s="876"/>
      <c r="S51" s="876"/>
      <c r="T51" s="876"/>
      <c r="U51" s="878"/>
      <c r="V51" s="878"/>
      <c r="W51" s="878"/>
      <c r="X51" s="878"/>
      <c r="Y51" s="878"/>
      <c r="Z51" s="878"/>
      <c r="AA51" s="157"/>
      <c r="AB51" s="1472"/>
      <c r="AC51" s="1476"/>
      <c r="AD51" s="1477"/>
      <c r="AE51" s="1477"/>
      <c r="BA51" s="163"/>
    </row>
    <row r="52" spans="1:53" s="747" customFormat="1" ht="14.25" hidden="1">
      <c r="A52" s="878"/>
      <c r="B52" s="876"/>
      <c r="C52" s="876"/>
      <c r="D52" s="876"/>
      <c r="E52" s="876"/>
      <c r="F52" s="876"/>
      <c r="G52" s="876"/>
      <c r="H52" s="876"/>
      <c r="I52" s="876"/>
      <c r="J52" s="876"/>
      <c r="K52" s="876"/>
      <c r="L52" s="876"/>
      <c r="M52" s="876"/>
      <c r="N52" s="876"/>
      <c r="O52" s="876"/>
      <c r="P52" s="876"/>
      <c r="Q52" s="876"/>
      <c r="R52" s="876"/>
      <c r="S52" s="876"/>
      <c r="T52" s="876"/>
      <c r="U52" s="878"/>
      <c r="V52" s="878"/>
      <c r="W52" s="878"/>
      <c r="X52" s="878"/>
      <c r="Y52" s="878"/>
      <c r="Z52" s="878"/>
      <c r="AA52" s="157"/>
      <c r="AB52" s="1472"/>
      <c r="AC52" s="1476"/>
      <c r="AD52" s="1477"/>
      <c r="AE52" s="1477"/>
      <c r="BA52" s="163"/>
    </row>
    <row r="53" spans="1:53" s="747" customFormat="1" ht="14.25" hidden="1">
      <c r="A53" s="878"/>
      <c r="B53" s="876"/>
      <c r="C53" s="876"/>
      <c r="D53" s="876"/>
      <c r="E53" s="876"/>
      <c r="F53" s="876"/>
      <c r="G53" s="876"/>
      <c r="H53" s="876"/>
      <c r="I53" s="876"/>
      <c r="J53" s="876"/>
      <c r="K53" s="876"/>
      <c r="L53" s="876"/>
      <c r="M53" s="876"/>
      <c r="N53" s="876"/>
      <c r="O53" s="876"/>
      <c r="P53" s="876"/>
      <c r="Q53" s="876"/>
      <c r="R53" s="876"/>
      <c r="S53" s="876"/>
      <c r="T53" s="876"/>
      <c r="U53" s="878"/>
      <c r="V53" s="878"/>
      <c r="W53" s="878"/>
      <c r="X53" s="878"/>
      <c r="Y53" s="878"/>
      <c r="Z53" s="878"/>
      <c r="AA53" s="157"/>
      <c r="AB53" s="1472"/>
      <c r="AC53" s="1476"/>
      <c r="AD53" s="1477"/>
      <c r="AE53" s="1477"/>
      <c r="BA53" s="163"/>
    </row>
    <row r="54" spans="1:53" s="747" customFormat="1" ht="14.25" hidden="1">
      <c r="A54" s="878"/>
      <c r="B54" s="876"/>
      <c r="C54" s="876"/>
      <c r="D54" s="876"/>
      <c r="E54" s="876"/>
      <c r="F54" s="876"/>
      <c r="G54" s="876"/>
      <c r="H54" s="876"/>
      <c r="I54" s="876"/>
      <c r="J54" s="876"/>
      <c r="K54" s="876"/>
      <c r="L54" s="876"/>
      <c r="M54" s="876"/>
      <c r="N54" s="876"/>
      <c r="O54" s="876"/>
      <c r="P54" s="876"/>
      <c r="Q54" s="876"/>
      <c r="R54" s="876"/>
      <c r="S54" s="876"/>
      <c r="T54" s="876"/>
      <c r="U54" s="878"/>
      <c r="V54" s="878"/>
      <c r="W54" s="878"/>
      <c r="X54" s="878"/>
      <c r="Y54" s="878"/>
      <c r="Z54" s="878"/>
      <c r="AA54" s="157"/>
      <c r="AB54" s="1472"/>
      <c r="AC54" s="1476"/>
      <c r="AD54" s="1477"/>
      <c r="AE54" s="1477"/>
      <c r="BA54" s="163"/>
    </row>
    <row r="55" spans="1:53" s="747" customFormat="1" ht="14.25" hidden="1">
      <c r="A55" s="878"/>
      <c r="B55" s="876"/>
      <c r="C55" s="876"/>
      <c r="D55" s="876"/>
      <c r="E55" s="876"/>
      <c r="F55" s="876"/>
      <c r="G55" s="876"/>
      <c r="H55" s="876"/>
      <c r="I55" s="876"/>
      <c r="J55" s="876"/>
      <c r="K55" s="876"/>
      <c r="L55" s="876"/>
      <c r="M55" s="876"/>
      <c r="N55" s="876"/>
      <c r="O55" s="876"/>
      <c r="P55" s="876"/>
      <c r="Q55" s="876"/>
      <c r="R55" s="876"/>
      <c r="S55" s="876"/>
      <c r="T55" s="876"/>
      <c r="U55" s="878"/>
      <c r="V55" s="878"/>
      <c r="W55" s="878"/>
      <c r="X55" s="878"/>
      <c r="Y55" s="878"/>
      <c r="Z55" s="878"/>
      <c r="AA55" s="157"/>
      <c r="AB55" s="1472"/>
      <c r="AC55" s="1476"/>
      <c r="AD55" s="1477"/>
      <c r="AE55" s="1477"/>
      <c r="BA55" s="163"/>
    </row>
    <row r="56" spans="1:53" s="747" customFormat="1" ht="14.25" hidden="1">
      <c r="A56" s="878"/>
      <c r="B56" s="876"/>
      <c r="C56" s="876"/>
      <c r="D56" s="876"/>
      <c r="E56" s="876"/>
      <c r="F56" s="876"/>
      <c r="G56" s="876"/>
      <c r="H56" s="876"/>
      <c r="I56" s="876"/>
      <c r="J56" s="876"/>
      <c r="K56" s="876"/>
      <c r="L56" s="876"/>
      <c r="M56" s="876"/>
      <c r="N56" s="876"/>
      <c r="O56" s="876"/>
      <c r="P56" s="876"/>
      <c r="Q56" s="876"/>
      <c r="R56" s="876"/>
      <c r="S56" s="876"/>
      <c r="T56" s="876"/>
      <c r="U56" s="878"/>
      <c r="V56" s="878"/>
      <c r="W56" s="878"/>
      <c r="X56" s="878"/>
      <c r="Y56" s="878"/>
      <c r="Z56" s="878"/>
      <c r="AA56" s="157"/>
      <c r="AB56" s="1472"/>
      <c r="AC56" s="1476"/>
      <c r="AD56" s="1477"/>
      <c r="AE56" s="1477"/>
      <c r="BA56" s="163"/>
    </row>
    <row r="57" spans="1:53" ht="14.25" hidden="1">
      <c r="A57" s="878"/>
      <c r="B57" s="876"/>
      <c r="C57" s="876"/>
      <c r="D57" s="876"/>
      <c r="E57" s="876"/>
      <c r="F57" s="876"/>
      <c r="G57" s="876"/>
      <c r="H57" s="876"/>
      <c r="I57" s="876"/>
      <c r="J57" s="876"/>
      <c r="K57" s="876"/>
      <c r="L57" s="876"/>
      <c r="M57" s="876"/>
      <c r="N57" s="876"/>
      <c r="O57" s="876"/>
      <c r="P57" s="876"/>
      <c r="Q57" s="876"/>
      <c r="R57" s="876"/>
      <c r="S57" s="876"/>
      <c r="T57" s="876"/>
      <c r="U57" s="878"/>
      <c r="V57" s="878"/>
      <c r="W57" s="878"/>
      <c r="X57" s="878"/>
      <c r="Y57" s="878"/>
      <c r="Z57" s="878"/>
      <c r="AA57" s="157"/>
      <c r="AB57" s="208" t="s">
        <v>632</v>
      </c>
      <c r="AC57" s="209">
        <f t="shared" ref="AC57:AE58" si="24">D9*$G9</f>
        <v>0</v>
      </c>
      <c r="AD57" s="209">
        <f t="shared" si="24"/>
        <v>0</v>
      </c>
      <c r="AE57" s="209">
        <f t="shared" si="24"/>
        <v>0</v>
      </c>
      <c r="BA57" s="163"/>
    </row>
    <row r="58" spans="1:53" ht="15" hidden="1" thickBot="1">
      <c r="A58" s="878"/>
      <c r="B58" s="171"/>
      <c r="C58" s="171"/>
      <c r="D58" s="171"/>
      <c r="E58" s="171"/>
      <c r="F58" s="171"/>
      <c r="G58" s="171"/>
      <c r="H58" s="171"/>
      <c r="I58" s="171"/>
      <c r="J58" s="171"/>
      <c r="K58" s="171"/>
      <c r="L58" s="171"/>
      <c r="M58" s="171"/>
      <c r="N58" s="171"/>
      <c r="O58" s="171"/>
      <c r="P58" s="171"/>
      <c r="Q58" s="171"/>
      <c r="R58" s="171"/>
      <c r="S58" s="171"/>
      <c r="T58" s="171"/>
      <c r="U58" s="172"/>
      <c r="V58" s="172"/>
      <c r="W58" s="171"/>
      <c r="X58" s="171"/>
      <c r="AA58" s="163"/>
      <c r="AB58" s="208" t="s">
        <v>633</v>
      </c>
      <c r="AC58" s="209">
        <f t="shared" si="24"/>
        <v>0</v>
      </c>
      <c r="AD58" s="209">
        <f t="shared" si="24"/>
        <v>0</v>
      </c>
      <c r="AE58" s="209">
        <f t="shared" si="24"/>
        <v>0</v>
      </c>
      <c r="BA58" s="163"/>
    </row>
    <row r="59" spans="1:53" ht="18" hidden="1" customHeight="1">
      <c r="A59" s="878"/>
      <c r="B59" s="2394" t="s">
        <v>634</v>
      </c>
      <c r="C59" s="2395"/>
      <c r="D59" s="2368" t="s">
        <v>635</v>
      </c>
      <c r="E59" s="2370" t="s">
        <v>80</v>
      </c>
      <c r="F59" s="2372" t="s">
        <v>151</v>
      </c>
      <c r="G59" s="2373"/>
      <c r="H59" s="2373"/>
      <c r="I59" s="2373"/>
      <c r="J59" s="2374"/>
      <c r="K59" s="2372" t="s">
        <v>155</v>
      </c>
      <c r="L59" s="2373"/>
      <c r="M59" s="2373"/>
      <c r="N59" s="2373"/>
      <c r="O59" s="2374"/>
      <c r="P59" s="2372" t="s">
        <v>157</v>
      </c>
      <c r="Q59" s="2373"/>
      <c r="R59" s="2373"/>
      <c r="S59" s="2373"/>
      <c r="T59" s="2374"/>
      <c r="U59" s="172"/>
      <c r="V59" s="172"/>
      <c r="W59" s="171"/>
      <c r="X59" s="171"/>
      <c r="AA59" s="163"/>
      <c r="AB59" s="172"/>
      <c r="BA59" s="163"/>
    </row>
    <row r="60" spans="1:53" ht="18" hidden="1" customHeight="1">
      <c r="A60" s="878"/>
      <c r="B60" s="2396"/>
      <c r="C60" s="2397"/>
      <c r="D60" s="2369"/>
      <c r="E60" s="2371"/>
      <c r="F60" s="306" t="s">
        <v>146</v>
      </c>
      <c r="G60" s="307" t="s">
        <v>147</v>
      </c>
      <c r="H60" s="307" t="s">
        <v>148</v>
      </c>
      <c r="I60" s="307" t="s">
        <v>90</v>
      </c>
      <c r="J60" s="308" t="s">
        <v>91</v>
      </c>
      <c r="K60" s="306" t="s">
        <v>146</v>
      </c>
      <c r="L60" s="307" t="s">
        <v>147</v>
      </c>
      <c r="M60" s="307" t="s">
        <v>148</v>
      </c>
      <c r="N60" s="307" t="s">
        <v>90</v>
      </c>
      <c r="O60" s="308" t="s">
        <v>91</v>
      </c>
      <c r="P60" s="306" t="s">
        <v>146</v>
      </c>
      <c r="Q60" s="307" t="s">
        <v>147</v>
      </c>
      <c r="R60" s="307" t="s">
        <v>148</v>
      </c>
      <c r="S60" s="307" t="s">
        <v>90</v>
      </c>
      <c r="T60" s="308" t="s">
        <v>91</v>
      </c>
      <c r="U60" s="172"/>
      <c r="V60" s="172"/>
      <c r="W60" s="171"/>
      <c r="X60" s="171"/>
      <c r="AA60" s="163"/>
      <c r="BA60" s="163"/>
    </row>
    <row r="61" spans="1:53" s="172" customFormat="1" ht="16.5" hidden="1" customHeight="1">
      <c r="A61" s="878"/>
      <c r="B61" s="2375">
        <f>Tiere!B5</f>
        <v>0</v>
      </c>
      <c r="C61" s="2376"/>
      <c r="D61" s="309">
        <f>Tabelle1!AQ5</f>
        <v>0</v>
      </c>
      <c r="E61" s="310">
        <f>Tabelle1!AR5</f>
        <v>0</v>
      </c>
      <c r="F61" s="311">
        <f>Tabelle1!AS5</f>
        <v>0</v>
      </c>
      <c r="G61" s="309">
        <f>Tabelle1!AT5</f>
        <v>0</v>
      </c>
      <c r="H61" s="309">
        <f>Tabelle1!AU5</f>
        <v>0</v>
      </c>
      <c r="I61" s="309">
        <f>Tabelle1!AV5</f>
        <v>0</v>
      </c>
      <c r="J61" s="310">
        <f>Tabelle1!AW5</f>
        <v>0</v>
      </c>
      <c r="K61" s="311">
        <f>Tabelle1!BD5</f>
        <v>0</v>
      </c>
      <c r="L61" s="309">
        <f>Tabelle1!BE5</f>
        <v>0</v>
      </c>
      <c r="M61" s="309">
        <f>Tabelle1!BF5</f>
        <v>0</v>
      </c>
      <c r="N61" s="309">
        <f>Tabelle1!BG5</f>
        <v>0</v>
      </c>
      <c r="O61" s="310">
        <f>Tabelle1!BH5</f>
        <v>0</v>
      </c>
      <c r="P61" s="311">
        <f>Tabelle1!BJ5</f>
        <v>0</v>
      </c>
      <c r="Q61" s="309">
        <f>Tabelle1!BK5</f>
        <v>0</v>
      </c>
      <c r="R61" s="309">
        <f>Tabelle1!BL5</f>
        <v>0</v>
      </c>
      <c r="S61" s="309">
        <f>Tabelle1!BM5</f>
        <v>0</v>
      </c>
      <c r="T61" s="310">
        <f>Tabelle1!BN5</f>
        <v>0</v>
      </c>
      <c r="W61" s="171"/>
      <c r="X61" s="171"/>
      <c r="Y61"/>
      <c r="Z61"/>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6.5" hidden="1" customHeight="1">
      <c r="A62" s="878"/>
      <c r="B62" s="2375">
        <f>Tiere!B6</f>
        <v>0</v>
      </c>
      <c r="C62" s="2376"/>
      <c r="D62" s="309">
        <f>Tabelle1!AQ6</f>
        <v>0</v>
      </c>
      <c r="E62" s="310">
        <f>Tabelle1!AR6</f>
        <v>0</v>
      </c>
      <c r="F62" s="311">
        <f>Tabelle1!AS6</f>
        <v>0</v>
      </c>
      <c r="G62" s="309">
        <f>Tabelle1!AT6</f>
        <v>0</v>
      </c>
      <c r="H62" s="309">
        <f>Tabelle1!AU6</f>
        <v>0</v>
      </c>
      <c r="I62" s="309">
        <f>Tabelle1!AV6</f>
        <v>0</v>
      </c>
      <c r="J62" s="310">
        <f>Tabelle1!AW6</f>
        <v>0</v>
      </c>
      <c r="K62" s="311">
        <f>Tabelle1!BD6</f>
        <v>0</v>
      </c>
      <c r="L62" s="309">
        <f>Tabelle1!BE6</f>
        <v>0</v>
      </c>
      <c r="M62" s="309">
        <f>Tabelle1!BF6</f>
        <v>0</v>
      </c>
      <c r="N62" s="309">
        <f>Tabelle1!BG6</f>
        <v>0</v>
      </c>
      <c r="O62" s="310">
        <f>Tabelle1!BH6</f>
        <v>0</v>
      </c>
      <c r="P62" s="311">
        <f>Tabelle1!BJ6</f>
        <v>0</v>
      </c>
      <c r="Q62" s="309">
        <f>Tabelle1!BK6</f>
        <v>0</v>
      </c>
      <c r="R62" s="309">
        <f>Tabelle1!BL6</f>
        <v>0</v>
      </c>
      <c r="S62" s="309">
        <f>Tabelle1!BM6</f>
        <v>0</v>
      </c>
      <c r="T62" s="310">
        <f>Tabelle1!BN6</f>
        <v>0</v>
      </c>
      <c r="U62" s="172"/>
      <c r="V62" s="172"/>
      <c r="W62" s="171"/>
      <c r="X62" s="171"/>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6.5" hidden="1" customHeight="1">
      <c r="A63" s="878"/>
      <c r="B63" s="2375">
        <f>Tiere!B7</f>
        <v>0</v>
      </c>
      <c r="C63" s="2376"/>
      <c r="D63" s="309">
        <f>Tabelle1!AQ7</f>
        <v>0</v>
      </c>
      <c r="E63" s="310">
        <f>Tabelle1!AR7</f>
        <v>0</v>
      </c>
      <c r="F63" s="311">
        <f>Tabelle1!AS7</f>
        <v>0</v>
      </c>
      <c r="G63" s="309">
        <f>Tabelle1!AT7</f>
        <v>0</v>
      </c>
      <c r="H63" s="309">
        <f>Tabelle1!AU7</f>
        <v>0</v>
      </c>
      <c r="I63" s="309">
        <f>Tabelle1!AV7</f>
        <v>0</v>
      </c>
      <c r="J63" s="310">
        <f>Tabelle1!AW7</f>
        <v>0</v>
      </c>
      <c r="K63" s="311">
        <f>Tabelle1!BD7</f>
        <v>0</v>
      </c>
      <c r="L63" s="309">
        <f>Tabelle1!BE7</f>
        <v>0</v>
      </c>
      <c r="M63" s="309">
        <f>Tabelle1!BF7</f>
        <v>0</v>
      </c>
      <c r="N63" s="309">
        <f>Tabelle1!BG7</f>
        <v>0</v>
      </c>
      <c r="O63" s="310">
        <f>Tabelle1!BH7</f>
        <v>0</v>
      </c>
      <c r="P63" s="311">
        <f>Tabelle1!BJ7</f>
        <v>0</v>
      </c>
      <c r="Q63" s="309">
        <f>Tabelle1!BK7</f>
        <v>0</v>
      </c>
      <c r="R63" s="309">
        <f>Tabelle1!BL7</f>
        <v>0</v>
      </c>
      <c r="S63" s="309">
        <f>Tabelle1!BM7</f>
        <v>0</v>
      </c>
      <c r="T63" s="310">
        <f>Tabelle1!BN7</f>
        <v>0</v>
      </c>
      <c r="U63" s="172"/>
      <c r="V63" s="172"/>
      <c r="W63" s="171"/>
      <c r="X63" s="171"/>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6.5" hidden="1" customHeight="1">
      <c r="A64" s="878"/>
      <c r="B64" s="2375">
        <f>Tiere!B8</f>
        <v>0</v>
      </c>
      <c r="C64" s="2376"/>
      <c r="D64" s="309">
        <f>Tabelle1!AQ8</f>
        <v>0</v>
      </c>
      <c r="E64" s="310">
        <f>Tabelle1!AR8</f>
        <v>0</v>
      </c>
      <c r="F64" s="311">
        <f>Tabelle1!AS8</f>
        <v>0</v>
      </c>
      <c r="G64" s="309">
        <f>Tabelle1!AT8</f>
        <v>0</v>
      </c>
      <c r="H64" s="309">
        <f>Tabelle1!AU8</f>
        <v>0</v>
      </c>
      <c r="I64" s="309">
        <f>Tabelle1!AV8</f>
        <v>0</v>
      </c>
      <c r="J64" s="310">
        <f>Tabelle1!AW8</f>
        <v>0</v>
      </c>
      <c r="K64" s="311">
        <f>Tabelle1!BD8</f>
        <v>0</v>
      </c>
      <c r="L64" s="309">
        <f>Tabelle1!BE8</f>
        <v>0</v>
      </c>
      <c r="M64" s="309">
        <f>Tabelle1!BF8</f>
        <v>0</v>
      </c>
      <c r="N64" s="309">
        <f>Tabelle1!BG8</f>
        <v>0</v>
      </c>
      <c r="O64" s="310">
        <f>Tabelle1!BH8</f>
        <v>0</v>
      </c>
      <c r="P64" s="311">
        <f>Tabelle1!BJ8</f>
        <v>0</v>
      </c>
      <c r="Q64" s="309">
        <f>Tabelle1!BK8</f>
        <v>0</v>
      </c>
      <c r="R64" s="309">
        <f>Tabelle1!BL8</f>
        <v>0</v>
      </c>
      <c r="S64" s="309">
        <f>Tabelle1!BM8</f>
        <v>0</v>
      </c>
      <c r="T64" s="310">
        <f>Tabelle1!BN8</f>
        <v>0</v>
      </c>
      <c r="U64" s="172"/>
      <c r="V64" s="172"/>
      <c r="W64" s="171"/>
      <c r="X64" s="171"/>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6.5" hidden="1" customHeight="1">
      <c r="A65" s="878"/>
      <c r="B65" s="2375">
        <f>Tiere!B9</f>
        <v>0</v>
      </c>
      <c r="C65" s="2376"/>
      <c r="D65" s="309">
        <f>Tabelle1!AQ9</f>
        <v>0</v>
      </c>
      <c r="E65" s="310">
        <f>Tabelle1!AR9</f>
        <v>0</v>
      </c>
      <c r="F65" s="311">
        <f>Tabelle1!AS9</f>
        <v>0</v>
      </c>
      <c r="G65" s="309">
        <f>Tabelle1!AT9</f>
        <v>0</v>
      </c>
      <c r="H65" s="309">
        <f>Tabelle1!AU9</f>
        <v>0</v>
      </c>
      <c r="I65" s="309">
        <f>Tabelle1!AV9</f>
        <v>0</v>
      </c>
      <c r="J65" s="310">
        <f>Tabelle1!AW9</f>
        <v>0</v>
      </c>
      <c r="K65" s="311">
        <f>Tabelle1!BD9</f>
        <v>0</v>
      </c>
      <c r="L65" s="309">
        <f>Tabelle1!BE9</f>
        <v>0</v>
      </c>
      <c r="M65" s="309">
        <f>Tabelle1!BF9</f>
        <v>0</v>
      </c>
      <c r="N65" s="309">
        <f>Tabelle1!BG9</f>
        <v>0</v>
      </c>
      <c r="O65" s="310">
        <f>Tabelle1!BH9</f>
        <v>0</v>
      </c>
      <c r="P65" s="311">
        <f>Tabelle1!BJ9</f>
        <v>0</v>
      </c>
      <c r="Q65" s="309">
        <f>Tabelle1!BK9</f>
        <v>0</v>
      </c>
      <c r="R65" s="309">
        <f>Tabelle1!BL9</f>
        <v>0</v>
      </c>
      <c r="S65" s="309">
        <f>Tabelle1!BM9</f>
        <v>0</v>
      </c>
      <c r="T65" s="310">
        <f>Tabelle1!BN9</f>
        <v>0</v>
      </c>
      <c r="U65" s="172"/>
      <c r="V65" s="172"/>
      <c r="W65" s="171"/>
      <c r="X65" s="171"/>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6.5" hidden="1" customHeight="1">
      <c r="A66" s="878"/>
      <c r="B66" s="2375">
        <f>Tiere!B10</f>
        <v>0</v>
      </c>
      <c r="C66" s="2376"/>
      <c r="D66" s="309">
        <f>Tabelle1!AQ10</f>
        <v>0</v>
      </c>
      <c r="E66" s="310">
        <f>Tabelle1!AR10</f>
        <v>0</v>
      </c>
      <c r="F66" s="311">
        <f>Tabelle1!AS10</f>
        <v>0</v>
      </c>
      <c r="G66" s="309">
        <f>Tabelle1!AT10</f>
        <v>0</v>
      </c>
      <c r="H66" s="309">
        <f>Tabelle1!AU10</f>
        <v>0</v>
      </c>
      <c r="I66" s="309">
        <f>Tabelle1!AV10</f>
        <v>0</v>
      </c>
      <c r="J66" s="310">
        <f>Tabelle1!AW10</f>
        <v>0</v>
      </c>
      <c r="K66" s="311">
        <f>Tabelle1!BD10</f>
        <v>0</v>
      </c>
      <c r="L66" s="309">
        <f>Tabelle1!BE10</f>
        <v>0</v>
      </c>
      <c r="M66" s="309">
        <f>Tabelle1!BF10</f>
        <v>0</v>
      </c>
      <c r="N66" s="309">
        <f>Tabelle1!BG10</f>
        <v>0</v>
      </c>
      <c r="O66" s="310">
        <f>Tabelle1!BH10</f>
        <v>0</v>
      </c>
      <c r="P66" s="311">
        <f>Tabelle1!BJ10</f>
        <v>0</v>
      </c>
      <c r="Q66" s="309">
        <f>Tabelle1!BK10</f>
        <v>0</v>
      </c>
      <c r="R66" s="309">
        <f>Tabelle1!BL10</f>
        <v>0</v>
      </c>
      <c r="S66" s="309">
        <f>Tabelle1!BM10</f>
        <v>0</v>
      </c>
      <c r="T66" s="310">
        <f>Tabelle1!BN10</f>
        <v>0</v>
      </c>
      <c r="U66" s="172"/>
      <c r="V66" s="172"/>
      <c r="W66" s="171"/>
      <c r="X66" s="171"/>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6.5" hidden="1" customHeight="1">
      <c r="A67" s="878"/>
      <c r="B67" s="2375">
        <f>Tiere!B11</f>
        <v>0</v>
      </c>
      <c r="C67" s="2376"/>
      <c r="D67" s="309">
        <f>Tabelle1!AQ11</f>
        <v>0</v>
      </c>
      <c r="E67" s="310">
        <f>Tabelle1!AR11</f>
        <v>0</v>
      </c>
      <c r="F67" s="311">
        <f>Tabelle1!AS11</f>
        <v>0</v>
      </c>
      <c r="G67" s="309">
        <f>Tabelle1!AT11</f>
        <v>0</v>
      </c>
      <c r="H67" s="309">
        <f>Tabelle1!AU11</f>
        <v>0</v>
      </c>
      <c r="I67" s="309">
        <f>Tabelle1!AV11</f>
        <v>0</v>
      </c>
      <c r="J67" s="310">
        <f>Tabelle1!AW11</f>
        <v>0</v>
      </c>
      <c r="K67" s="311">
        <f>Tabelle1!BD11</f>
        <v>0</v>
      </c>
      <c r="L67" s="309">
        <f>Tabelle1!BE11</f>
        <v>0</v>
      </c>
      <c r="M67" s="309">
        <f>Tabelle1!BF11</f>
        <v>0</v>
      </c>
      <c r="N67" s="309">
        <f>Tabelle1!BG11</f>
        <v>0</v>
      </c>
      <c r="O67" s="310">
        <f>Tabelle1!BH11</f>
        <v>0</v>
      </c>
      <c r="P67" s="311">
        <f>Tabelle1!BJ11</f>
        <v>0</v>
      </c>
      <c r="Q67" s="309">
        <f>Tabelle1!BK11</f>
        <v>0</v>
      </c>
      <c r="R67" s="309">
        <f>Tabelle1!BL11</f>
        <v>0</v>
      </c>
      <c r="S67" s="309">
        <f>Tabelle1!BM11</f>
        <v>0</v>
      </c>
      <c r="T67" s="310">
        <f>Tabelle1!BN11</f>
        <v>0</v>
      </c>
      <c r="U67" s="172"/>
      <c r="V67" s="172"/>
      <c r="W67" s="171"/>
      <c r="X67" s="171"/>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6.5" hidden="1" customHeight="1">
      <c r="A68" s="878"/>
      <c r="B68" s="2375">
        <f>Tiere!B12</f>
        <v>0</v>
      </c>
      <c r="C68" s="2376"/>
      <c r="D68" s="309">
        <f>Tabelle1!AQ12</f>
        <v>0</v>
      </c>
      <c r="E68" s="310">
        <f>Tabelle1!AR12</f>
        <v>0</v>
      </c>
      <c r="F68" s="311">
        <f>Tabelle1!AS12</f>
        <v>0</v>
      </c>
      <c r="G68" s="309">
        <f>Tabelle1!AT12</f>
        <v>0</v>
      </c>
      <c r="H68" s="309">
        <f>Tabelle1!AU12</f>
        <v>0</v>
      </c>
      <c r="I68" s="309">
        <f>Tabelle1!AV12</f>
        <v>0</v>
      </c>
      <c r="J68" s="310">
        <f>Tabelle1!AW12</f>
        <v>0</v>
      </c>
      <c r="K68" s="311">
        <f>Tabelle1!BD12</f>
        <v>0</v>
      </c>
      <c r="L68" s="309">
        <f>Tabelle1!BE12</f>
        <v>0</v>
      </c>
      <c r="M68" s="309">
        <f>Tabelle1!BF12</f>
        <v>0</v>
      </c>
      <c r="N68" s="309">
        <f>Tabelle1!BG12</f>
        <v>0</v>
      </c>
      <c r="O68" s="310">
        <f>Tabelle1!BH12</f>
        <v>0</v>
      </c>
      <c r="P68" s="311">
        <f>Tabelle1!BJ12</f>
        <v>0</v>
      </c>
      <c r="Q68" s="309">
        <f>Tabelle1!BK12</f>
        <v>0</v>
      </c>
      <c r="R68" s="309">
        <f>Tabelle1!BL12</f>
        <v>0</v>
      </c>
      <c r="S68" s="309">
        <f>Tabelle1!BM12</f>
        <v>0</v>
      </c>
      <c r="T68" s="310">
        <f>Tabelle1!BN12</f>
        <v>0</v>
      </c>
      <c r="U68" s="172"/>
      <c r="V68" s="172"/>
      <c r="W68" s="171"/>
      <c r="X68" s="171"/>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6.5" hidden="1" customHeight="1">
      <c r="A69" s="878"/>
      <c r="B69" s="2375">
        <f>Tiere!B13</f>
        <v>0</v>
      </c>
      <c r="C69" s="2376"/>
      <c r="D69" s="309">
        <f>Tabelle1!AQ13</f>
        <v>0</v>
      </c>
      <c r="E69" s="310">
        <f>Tabelle1!AR13</f>
        <v>0</v>
      </c>
      <c r="F69" s="311">
        <f>Tabelle1!AS13</f>
        <v>0</v>
      </c>
      <c r="G69" s="309">
        <f>Tabelle1!AT13</f>
        <v>0</v>
      </c>
      <c r="H69" s="309">
        <f>Tabelle1!AU13</f>
        <v>0</v>
      </c>
      <c r="I69" s="309">
        <f>Tabelle1!AV13</f>
        <v>0</v>
      </c>
      <c r="J69" s="310">
        <f>Tabelle1!AW13</f>
        <v>0</v>
      </c>
      <c r="K69" s="311">
        <f>Tabelle1!BD13</f>
        <v>0</v>
      </c>
      <c r="L69" s="309">
        <f>Tabelle1!BE13</f>
        <v>0</v>
      </c>
      <c r="M69" s="309">
        <f>Tabelle1!BF13</f>
        <v>0</v>
      </c>
      <c r="N69" s="309">
        <f>Tabelle1!BG13</f>
        <v>0</v>
      </c>
      <c r="O69" s="310">
        <f>Tabelle1!BH13</f>
        <v>0</v>
      </c>
      <c r="P69" s="311">
        <f>Tabelle1!BJ13</f>
        <v>0</v>
      </c>
      <c r="Q69" s="309">
        <f>Tabelle1!BK13</f>
        <v>0</v>
      </c>
      <c r="R69" s="309">
        <f>Tabelle1!BL13</f>
        <v>0</v>
      </c>
      <c r="S69" s="309">
        <f>Tabelle1!BM13</f>
        <v>0</v>
      </c>
      <c r="T69" s="310">
        <f>Tabelle1!BN13</f>
        <v>0</v>
      </c>
      <c r="U69" s="172"/>
      <c r="V69" s="172"/>
      <c r="W69" s="171"/>
      <c r="X69" s="171"/>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6.5" hidden="1" customHeight="1">
      <c r="A70" s="878"/>
      <c r="B70" s="2375">
        <f>Tiere!B14</f>
        <v>0</v>
      </c>
      <c r="C70" s="2376"/>
      <c r="D70" s="309">
        <f>Tabelle1!AQ14</f>
        <v>0</v>
      </c>
      <c r="E70" s="310">
        <f>Tabelle1!AR14</f>
        <v>0</v>
      </c>
      <c r="F70" s="311">
        <f>Tabelle1!AS14</f>
        <v>0</v>
      </c>
      <c r="G70" s="309">
        <f>Tabelle1!AT14</f>
        <v>0</v>
      </c>
      <c r="H70" s="309">
        <f>Tabelle1!AU14</f>
        <v>0</v>
      </c>
      <c r="I70" s="309">
        <f>Tabelle1!AV14</f>
        <v>0</v>
      </c>
      <c r="J70" s="310">
        <f>Tabelle1!AW14</f>
        <v>0</v>
      </c>
      <c r="K70" s="311">
        <f>Tabelle1!BD14</f>
        <v>0</v>
      </c>
      <c r="L70" s="309">
        <f>Tabelle1!BE14</f>
        <v>0</v>
      </c>
      <c r="M70" s="309">
        <f>Tabelle1!BF14</f>
        <v>0</v>
      </c>
      <c r="N70" s="309">
        <f>Tabelle1!BG14</f>
        <v>0</v>
      </c>
      <c r="O70" s="310">
        <f>Tabelle1!BH14</f>
        <v>0</v>
      </c>
      <c r="P70" s="311">
        <f>Tabelle1!BJ14</f>
        <v>0</v>
      </c>
      <c r="Q70" s="309">
        <f>Tabelle1!BK14</f>
        <v>0</v>
      </c>
      <c r="R70" s="309">
        <f>Tabelle1!BL14</f>
        <v>0</v>
      </c>
      <c r="S70" s="309">
        <f>Tabelle1!BM14</f>
        <v>0</v>
      </c>
      <c r="T70" s="310">
        <f>Tabelle1!BN14</f>
        <v>0</v>
      </c>
      <c r="U70" s="172"/>
      <c r="V70" s="172"/>
      <c r="W70" s="171"/>
      <c r="X70" s="171"/>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6.5" hidden="1" customHeight="1">
      <c r="A71" s="878"/>
      <c r="B71" s="2375">
        <f>Tiere!B15</f>
        <v>0</v>
      </c>
      <c r="C71" s="2376"/>
      <c r="D71" s="309">
        <f>Tabelle1!AQ15</f>
        <v>0</v>
      </c>
      <c r="E71" s="310">
        <f>Tabelle1!AR15</f>
        <v>0</v>
      </c>
      <c r="F71" s="311">
        <f>Tabelle1!AS15</f>
        <v>0</v>
      </c>
      <c r="G71" s="309">
        <f>Tabelle1!AT15</f>
        <v>0</v>
      </c>
      <c r="H71" s="309">
        <f>Tabelle1!AU15</f>
        <v>0</v>
      </c>
      <c r="I71" s="309">
        <f>Tabelle1!AV15</f>
        <v>0</v>
      </c>
      <c r="J71" s="310">
        <f>Tabelle1!AW15</f>
        <v>0</v>
      </c>
      <c r="K71" s="311">
        <f>Tabelle1!BD15</f>
        <v>0</v>
      </c>
      <c r="L71" s="309">
        <f>Tabelle1!BE15</f>
        <v>0</v>
      </c>
      <c r="M71" s="309">
        <f>Tabelle1!BF15</f>
        <v>0</v>
      </c>
      <c r="N71" s="309">
        <f>Tabelle1!BG15</f>
        <v>0</v>
      </c>
      <c r="O71" s="310">
        <f>Tabelle1!BH15</f>
        <v>0</v>
      </c>
      <c r="P71" s="311">
        <f>Tabelle1!BJ15</f>
        <v>0</v>
      </c>
      <c r="Q71" s="309">
        <f>Tabelle1!BK15</f>
        <v>0</v>
      </c>
      <c r="R71" s="309">
        <f>Tabelle1!BL15</f>
        <v>0</v>
      </c>
      <c r="S71" s="309">
        <f>Tabelle1!BM15</f>
        <v>0</v>
      </c>
      <c r="T71" s="310">
        <f>Tabelle1!BN15</f>
        <v>0</v>
      </c>
      <c r="U71" s="172"/>
      <c r="V71" s="172"/>
      <c r="W71" s="171"/>
      <c r="X71" s="171"/>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6.5" hidden="1" customHeight="1">
      <c r="A72" s="878"/>
      <c r="B72" s="2375">
        <f>Tiere!B16</f>
        <v>0</v>
      </c>
      <c r="C72" s="2376"/>
      <c r="D72" s="309">
        <f>Tabelle1!AQ16</f>
        <v>0</v>
      </c>
      <c r="E72" s="310">
        <f>Tabelle1!AR16</f>
        <v>0</v>
      </c>
      <c r="F72" s="311">
        <f>Tabelle1!AS16</f>
        <v>0</v>
      </c>
      <c r="G72" s="309">
        <f>Tabelle1!AT16</f>
        <v>0</v>
      </c>
      <c r="H72" s="309">
        <f>Tabelle1!AU16</f>
        <v>0</v>
      </c>
      <c r="I72" s="309">
        <f>Tabelle1!AV16</f>
        <v>0</v>
      </c>
      <c r="J72" s="310">
        <f>Tabelle1!AW16</f>
        <v>0</v>
      </c>
      <c r="K72" s="311">
        <f>Tabelle1!BD16</f>
        <v>0</v>
      </c>
      <c r="L72" s="309">
        <f>Tabelle1!BE16</f>
        <v>0</v>
      </c>
      <c r="M72" s="309">
        <f>Tabelle1!BF16</f>
        <v>0</v>
      </c>
      <c r="N72" s="309">
        <f>Tabelle1!BG16</f>
        <v>0</v>
      </c>
      <c r="O72" s="310">
        <f>Tabelle1!BH16</f>
        <v>0</v>
      </c>
      <c r="P72" s="311">
        <f>Tabelle1!BJ16</f>
        <v>0</v>
      </c>
      <c r="Q72" s="309">
        <f>Tabelle1!BK16</f>
        <v>0</v>
      </c>
      <c r="R72" s="309">
        <f>Tabelle1!BL16</f>
        <v>0</v>
      </c>
      <c r="S72" s="309">
        <f>Tabelle1!BM16</f>
        <v>0</v>
      </c>
      <c r="T72" s="310">
        <f>Tabelle1!BN16</f>
        <v>0</v>
      </c>
      <c r="U72" s="172"/>
      <c r="V72" s="172"/>
      <c r="W72" s="171"/>
      <c r="X72" s="171"/>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6.5" hidden="1" customHeight="1">
      <c r="A73" s="878"/>
      <c r="B73" s="2375">
        <f>Tiere!B17</f>
        <v>0</v>
      </c>
      <c r="C73" s="2376"/>
      <c r="D73" s="309">
        <f>Tabelle1!AQ17</f>
        <v>0</v>
      </c>
      <c r="E73" s="310">
        <f>Tabelle1!AR17</f>
        <v>0</v>
      </c>
      <c r="F73" s="311">
        <f>Tabelle1!AS17</f>
        <v>0</v>
      </c>
      <c r="G73" s="309">
        <f>Tabelle1!AT17</f>
        <v>0</v>
      </c>
      <c r="H73" s="309">
        <f>Tabelle1!AU17</f>
        <v>0</v>
      </c>
      <c r="I73" s="309">
        <f>Tabelle1!AV17</f>
        <v>0</v>
      </c>
      <c r="J73" s="310">
        <f>Tabelle1!AW17</f>
        <v>0</v>
      </c>
      <c r="K73" s="311">
        <f>Tabelle1!BD17</f>
        <v>0</v>
      </c>
      <c r="L73" s="309">
        <f>Tabelle1!BE17</f>
        <v>0</v>
      </c>
      <c r="M73" s="309">
        <f>Tabelle1!BF17</f>
        <v>0</v>
      </c>
      <c r="N73" s="309">
        <f>Tabelle1!BG17</f>
        <v>0</v>
      </c>
      <c r="O73" s="310">
        <f>Tabelle1!BH17</f>
        <v>0</v>
      </c>
      <c r="P73" s="311">
        <f>Tabelle1!BJ17</f>
        <v>0</v>
      </c>
      <c r="Q73" s="309">
        <f>Tabelle1!BK17</f>
        <v>0</v>
      </c>
      <c r="R73" s="309">
        <f>Tabelle1!BL17</f>
        <v>0</v>
      </c>
      <c r="S73" s="309">
        <f>Tabelle1!BM17</f>
        <v>0</v>
      </c>
      <c r="T73" s="310">
        <f>Tabelle1!BN17</f>
        <v>0</v>
      </c>
      <c r="U73" s="172"/>
      <c r="V73" s="172"/>
      <c r="W73" s="171"/>
      <c r="X73" s="171"/>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6.5" hidden="1" customHeight="1">
      <c r="A74" s="878"/>
      <c r="B74" s="2375">
        <f>Tiere!B18</f>
        <v>0</v>
      </c>
      <c r="C74" s="2376"/>
      <c r="D74" s="309">
        <f>Tabelle1!AQ18</f>
        <v>0</v>
      </c>
      <c r="E74" s="310">
        <f>Tabelle1!AR18</f>
        <v>0</v>
      </c>
      <c r="F74" s="311">
        <f>Tabelle1!AS18</f>
        <v>0</v>
      </c>
      <c r="G74" s="309">
        <f>Tabelle1!AT18</f>
        <v>0</v>
      </c>
      <c r="H74" s="309">
        <f>Tabelle1!AU18</f>
        <v>0</v>
      </c>
      <c r="I74" s="309">
        <f>Tabelle1!AV18</f>
        <v>0</v>
      </c>
      <c r="J74" s="310">
        <f>Tabelle1!AW18</f>
        <v>0</v>
      </c>
      <c r="K74" s="311">
        <f>Tabelle1!BD18</f>
        <v>0</v>
      </c>
      <c r="L74" s="309">
        <f>Tabelle1!BE18</f>
        <v>0</v>
      </c>
      <c r="M74" s="309">
        <f>Tabelle1!BF18</f>
        <v>0</v>
      </c>
      <c r="N74" s="309">
        <f>Tabelle1!BG18</f>
        <v>0</v>
      </c>
      <c r="O74" s="310">
        <f>Tabelle1!BH18</f>
        <v>0</v>
      </c>
      <c r="P74" s="311">
        <f>Tabelle1!BJ18</f>
        <v>0</v>
      </c>
      <c r="Q74" s="309">
        <f>Tabelle1!BK18</f>
        <v>0</v>
      </c>
      <c r="R74" s="309">
        <f>Tabelle1!BL18</f>
        <v>0</v>
      </c>
      <c r="S74" s="309">
        <f>Tabelle1!BM18</f>
        <v>0</v>
      </c>
      <c r="T74" s="310">
        <f>Tabelle1!BN18</f>
        <v>0</v>
      </c>
      <c r="U74" s="172"/>
      <c r="V74" s="172"/>
      <c r="W74" s="171"/>
      <c r="X74" s="171"/>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6.5" hidden="1" customHeight="1">
      <c r="A75" s="878"/>
      <c r="B75" s="2375">
        <f>Tiere!B19</f>
        <v>0</v>
      </c>
      <c r="C75" s="2376"/>
      <c r="D75" s="309">
        <f>Tabelle1!AQ19</f>
        <v>0</v>
      </c>
      <c r="E75" s="310">
        <f>Tabelle1!AR19</f>
        <v>0</v>
      </c>
      <c r="F75" s="311">
        <f>Tabelle1!AS19</f>
        <v>0</v>
      </c>
      <c r="G75" s="309">
        <f>Tabelle1!AT19</f>
        <v>0</v>
      </c>
      <c r="H75" s="309">
        <f>Tabelle1!AU19</f>
        <v>0</v>
      </c>
      <c r="I75" s="309">
        <f>Tabelle1!AV19</f>
        <v>0</v>
      </c>
      <c r="J75" s="310">
        <f>Tabelle1!AW19</f>
        <v>0</v>
      </c>
      <c r="K75" s="311">
        <f>Tabelle1!BD19</f>
        <v>0</v>
      </c>
      <c r="L75" s="309">
        <f>Tabelle1!BE19</f>
        <v>0</v>
      </c>
      <c r="M75" s="309">
        <f>Tabelle1!BF19</f>
        <v>0</v>
      </c>
      <c r="N75" s="309">
        <f>Tabelle1!BG19</f>
        <v>0</v>
      </c>
      <c r="O75" s="310">
        <f>Tabelle1!BH19</f>
        <v>0</v>
      </c>
      <c r="P75" s="311">
        <f>Tabelle1!BJ19</f>
        <v>0</v>
      </c>
      <c r="Q75" s="309">
        <f>Tabelle1!BK19</f>
        <v>0</v>
      </c>
      <c r="R75" s="309">
        <f>Tabelle1!BL19</f>
        <v>0</v>
      </c>
      <c r="S75" s="309">
        <f>Tabelle1!BM19</f>
        <v>0</v>
      </c>
      <c r="T75" s="310">
        <f>Tabelle1!BN19</f>
        <v>0</v>
      </c>
      <c r="U75" s="172"/>
      <c r="V75" s="172"/>
      <c r="W75" s="171"/>
      <c r="X75" s="171"/>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9.5" hidden="1" customHeight="1" thickBot="1">
      <c r="A76" s="878"/>
      <c r="B76" s="312"/>
      <c r="C76" s="313" t="s">
        <v>636</v>
      </c>
      <c r="D76" s="314"/>
      <c r="E76" s="315"/>
      <c r="F76" s="316">
        <f t="shared" ref="F76:T76" si="25">SUM(F61:F75)</f>
        <v>0</v>
      </c>
      <c r="G76" s="317">
        <f t="shared" si="25"/>
        <v>0</v>
      </c>
      <c r="H76" s="317">
        <f t="shared" si="25"/>
        <v>0</v>
      </c>
      <c r="I76" s="317">
        <f t="shared" si="25"/>
        <v>0</v>
      </c>
      <c r="J76" s="318">
        <f t="shared" si="25"/>
        <v>0</v>
      </c>
      <c r="K76" s="316">
        <f t="shared" si="25"/>
        <v>0</v>
      </c>
      <c r="L76" s="317">
        <f t="shared" si="25"/>
        <v>0</v>
      </c>
      <c r="M76" s="317">
        <f t="shared" si="25"/>
        <v>0</v>
      </c>
      <c r="N76" s="317">
        <f t="shared" si="25"/>
        <v>0</v>
      </c>
      <c r="O76" s="318">
        <f t="shared" si="25"/>
        <v>0</v>
      </c>
      <c r="P76" s="316">
        <f t="shared" si="25"/>
        <v>0</v>
      </c>
      <c r="Q76" s="317">
        <f t="shared" si="25"/>
        <v>0</v>
      </c>
      <c r="R76" s="317">
        <f t="shared" si="25"/>
        <v>0</v>
      </c>
      <c r="S76" s="317">
        <f t="shared" si="25"/>
        <v>0</v>
      </c>
      <c r="T76" s="318">
        <f t="shared" si="25"/>
        <v>0</v>
      </c>
      <c r="U76" s="172"/>
      <c r="V76" s="172"/>
      <c r="W76" s="171"/>
      <c r="X76" s="171"/>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8" hidden="1" customHeight="1">
      <c r="A77" s="878"/>
      <c r="B77" s="319"/>
      <c r="C77" s="319"/>
      <c r="D77" s="320"/>
      <c r="E77" s="321" t="s">
        <v>637</v>
      </c>
      <c r="F77" s="322">
        <f>Tabelle1!AS28</f>
        <v>0</v>
      </c>
      <c r="G77" s="323">
        <f>Tabelle1!AT28</f>
        <v>0</v>
      </c>
      <c r="H77" s="323">
        <f>Tabelle1!AU28</f>
        <v>0</v>
      </c>
      <c r="I77" s="323">
        <f>Tabelle1!AV28</f>
        <v>0</v>
      </c>
      <c r="J77" s="324">
        <f>Tabelle1!AW28</f>
        <v>0</v>
      </c>
      <c r="K77" s="322">
        <f>Tabelle1!BD28</f>
        <v>0</v>
      </c>
      <c r="L77" s="323">
        <f>Tabelle1!BE28</f>
        <v>0</v>
      </c>
      <c r="M77" s="323">
        <f>Tabelle1!BF28</f>
        <v>0</v>
      </c>
      <c r="N77" s="323">
        <f>Tabelle1!BG28</f>
        <v>0</v>
      </c>
      <c r="O77" s="324">
        <f>Tabelle1!BH28</f>
        <v>0</v>
      </c>
      <c r="P77" s="322">
        <f>Tabelle1!BJ28</f>
        <v>0</v>
      </c>
      <c r="Q77" s="323">
        <f>Tabelle1!BK28</f>
        <v>0</v>
      </c>
      <c r="R77" s="323">
        <f>Tabelle1!BL28</f>
        <v>0</v>
      </c>
      <c r="S77" s="323">
        <f>Tabelle1!BM28</f>
        <v>0</v>
      </c>
      <c r="T77" s="324">
        <f>Tabelle1!BN28</f>
        <v>0</v>
      </c>
      <c r="U77" s="172"/>
      <c r="V77" s="172"/>
      <c r="W77" s="171"/>
      <c r="X77" s="171"/>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5.6" hidden="1" customHeight="1" thickBot="1">
      <c r="A78" s="878"/>
      <c r="B78" s="172"/>
      <c r="C78" s="172"/>
      <c r="D78" s="172"/>
      <c r="E78" s="325" t="s">
        <v>638</v>
      </c>
      <c r="F78" s="322">
        <f>Tabelle1!AS35</f>
        <v>0</v>
      </c>
      <c r="G78" s="323">
        <f>Tabelle1!AT35</f>
        <v>0</v>
      </c>
      <c r="H78" s="323">
        <f>Tabelle1!AU35</f>
        <v>0</v>
      </c>
      <c r="I78" s="323">
        <f>Tabelle1!AV35</f>
        <v>0</v>
      </c>
      <c r="J78" s="324">
        <f>Tabelle1!AW35</f>
        <v>0</v>
      </c>
      <c r="K78" s="322">
        <f>Tabelle1!BD29</f>
        <v>0</v>
      </c>
      <c r="L78" s="323">
        <f>Tabelle1!BE29</f>
        <v>0</v>
      </c>
      <c r="M78" s="323">
        <f>Tabelle1!BF29</f>
        <v>0</v>
      </c>
      <c r="N78" s="323">
        <f>Tabelle1!BG29</f>
        <v>0</v>
      </c>
      <c r="O78" s="324">
        <f>Tabelle1!BH29</f>
        <v>0</v>
      </c>
      <c r="P78" s="322">
        <f>Tabelle1!BJ29</f>
        <v>0</v>
      </c>
      <c r="Q78" s="323">
        <f>Tabelle1!BK29</f>
        <v>0</v>
      </c>
      <c r="R78" s="323">
        <f>Tabelle1!BL29</f>
        <v>0</v>
      </c>
      <c r="S78" s="323">
        <f>Tabelle1!BM29</f>
        <v>0</v>
      </c>
      <c r="T78" s="324">
        <f>Tabelle1!BN29</f>
        <v>0</v>
      </c>
      <c r="U78" s="172"/>
      <c r="V78" s="172"/>
      <c r="W78" s="171"/>
      <c r="X78" s="171"/>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21.75" hidden="1" customHeight="1" thickBot="1">
      <c r="A79" s="878"/>
      <c r="B79" s="172"/>
      <c r="C79" s="172"/>
      <c r="D79" s="172"/>
      <c r="E79" s="325" t="s">
        <v>639</v>
      </c>
      <c r="F79" s="326">
        <f>Tabelle1!AS36</f>
        <v>0</v>
      </c>
      <c r="G79" s="327">
        <f>Tabelle1!AT36</f>
        <v>0</v>
      </c>
      <c r="H79" s="327">
        <f>Tabelle1!AU36</f>
        <v>0</v>
      </c>
      <c r="I79" s="327">
        <f>Tabelle1!AV36</f>
        <v>0</v>
      </c>
      <c r="J79" s="327">
        <f>Tabelle1!AW36</f>
        <v>0</v>
      </c>
      <c r="K79" s="327">
        <f>Tabelle1!BD30</f>
        <v>0</v>
      </c>
      <c r="L79" s="327">
        <f>Tabelle1!BE30</f>
        <v>0</v>
      </c>
      <c r="M79" s="327">
        <f>Tabelle1!BF30</f>
        <v>0</v>
      </c>
      <c r="N79" s="327">
        <f>Tabelle1!BG30</f>
        <v>0</v>
      </c>
      <c r="O79" s="327">
        <f>Tabelle1!BH30</f>
        <v>0</v>
      </c>
      <c r="P79" s="327">
        <f>Tabelle1!BJ30</f>
        <v>0</v>
      </c>
      <c r="Q79" s="327">
        <f>Tabelle1!BK30</f>
        <v>0</v>
      </c>
      <c r="R79" s="327">
        <f>Tabelle1!BL30</f>
        <v>0</v>
      </c>
      <c r="S79" s="327">
        <f>Tabelle1!BM30</f>
        <v>0</v>
      </c>
      <c r="T79" s="328">
        <f>Tabelle1!BN30</f>
        <v>0</v>
      </c>
      <c r="U79" s="172"/>
      <c r="V79" s="172"/>
      <c r="W79" s="171"/>
      <c r="X79" s="171"/>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7.850000000000001" hidden="1" customHeight="1">
      <c r="A80" s="878"/>
      <c r="B80" s="172"/>
      <c r="C80" s="172"/>
      <c r="D80" s="172"/>
      <c r="E80" s="172"/>
      <c r="F80" s="172"/>
      <c r="G80" s="172"/>
      <c r="H80" s="172"/>
      <c r="I80" s="172"/>
      <c r="J80" s="172"/>
      <c r="K80" s="172"/>
      <c r="L80" s="172"/>
      <c r="M80" s="172"/>
      <c r="N80" s="172"/>
      <c r="O80" s="172"/>
      <c r="P80" s="172"/>
      <c r="Q80" s="172"/>
      <c r="R80" s="172"/>
      <c r="S80" s="172"/>
      <c r="T80" s="172"/>
      <c r="U80" s="172"/>
      <c r="V80" s="172"/>
      <c r="W80" s="171"/>
      <c r="X80" s="171"/>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c r="AZ80" s="163"/>
      <c r="BA80" s="163"/>
    </row>
    <row r="81" spans="10:53" ht="30.75" hidden="1" customHeight="1">
      <c r="V81" s="210"/>
      <c r="AB81" s="163"/>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163"/>
      <c r="AY81" s="163"/>
      <c r="AZ81" s="163"/>
      <c r="BA81" s="163"/>
    </row>
    <row r="82" spans="10:53" ht="15.75" customHeight="1">
      <c r="U82" s="211"/>
      <c r="V82" s="210"/>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row>
    <row r="83" spans="10:53" ht="23.25" customHeight="1">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row>
    <row r="84" spans="10:53" ht="15" customHeight="1">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row>
    <row r="85" spans="10:53" ht="28.5" customHeight="1">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row>
    <row r="86" spans="10:53" ht="15.75" customHeight="1">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row>
    <row r="87" spans="10:53" ht="15" customHeight="1">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row>
    <row r="88" spans="10:53" ht="15" customHeight="1">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row>
    <row r="89" spans="10:53" ht="15.6" customHeight="1">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row>
    <row r="90" spans="10:53">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row>
    <row r="91" spans="10:53" ht="15.75" customHeight="1">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row>
    <row r="92" spans="10:53" ht="15" customHeight="1">
      <c r="J92" s="210"/>
      <c r="K92" s="210"/>
      <c r="L92" s="210"/>
      <c r="M92" s="1325"/>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row>
    <row r="93" spans="10:53" ht="17.850000000000001" customHeight="1">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row>
    <row r="94" spans="10:53" ht="15.75" customHeight="1">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row>
    <row r="95" spans="10:53" ht="14.25" customHeight="1">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row>
    <row r="96" spans="10:53">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row>
    <row r="97" spans="10:49" ht="14.25" customHeight="1">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row>
    <row r="98" spans="10:49">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row>
    <row r="99" spans="10:49" ht="15.6" customHeight="1">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row>
    <row r="101" spans="10:49" ht="14.25" customHeight="1"/>
    <row r="103" spans="10:49" ht="31.5" customHeight="1"/>
    <row r="104" spans="10:49" ht="14.25" customHeight="1"/>
    <row r="109" spans="10:49" ht="14.25" customHeight="1"/>
    <row r="113" ht="14.25" customHeight="1"/>
    <row r="114" ht="14.25" customHeight="1"/>
    <row r="117" ht="14.25" customHeight="1"/>
    <row r="119" ht="14.25" customHeight="1"/>
  </sheetData>
  <sheetProtection algorithmName="SHA-512" hashValue="tcNfTETJp/psOQ/bedNVj46T5Oou/LH8RmkW9+/HhxMk1cMTCtlfHHC5hxHfOOkk8iWM/PsI/g6/tJkrGCPMyQ==" saltValue="g7yz6ZCoRA41ZSWEL51x5g==" spinCount="100000" sheet="1" formatCells="0" formatRows="0"/>
  <mergeCells count="41">
    <mergeCell ref="T16:T19"/>
    <mergeCell ref="S16:S19"/>
    <mergeCell ref="P5:Q5"/>
    <mergeCell ref="B21:C21"/>
    <mergeCell ref="B28:B31"/>
    <mergeCell ref="P6:Q6"/>
    <mergeCell ref="L9:N9"/>
    <mergeCell ref="L10:N10"/>
    <mergeCell ref="S13:S14"/>
    <mergeCell ref="T13:T14"/>
    <mergeCell ref="B74:C74"/>
    <mergeCell ref="B75:C75"/>
    <mergeCell ref="K59:O59"/>
    <mergeCell ref="B62:C62"/>
    <mergeCell ref="B73:C73"/>
    <mergeCell ref="B61:C61"/>
    <mergeCell ref="B69:C69"/>
    <mergeCell ref="B70:C70"/>
    <mergeCell ref="B71:C71"/>
    <mergeCell ref="B63:C63"/>
    <mergeCell ref="B64:C64"/>
    <mergeCell ref="B65:C65"/>
    <mergeCell ref="B66:C66"/>
    <mergeCell ref="B67:C67"/>
    <mergeCell ref="B68:C68"/>
    <mergeCell ref="B59:C60"/>
    <mergeCell ref="N1:O1"/>
    <mergeCell ref="P1:Q1"/>
    <mergeCell ref="P4:Q4"/>
    <mergeCell ref="P7:Q7"/>
    <mergeCell ref="B13:C13"/>
    <mergeCell ref="L4:O4"/>
    <mergeCell ref="L5:N5"/>
    <mergeCell ref="L6:N6"/>
    <mergeCell ref="L7:N7"/>
    <mergeCell ref="L8:N8"/>
    <mergeCell ref="D59:D60"/>
    <mergeCell ref="E59:E60"/>
    <mergeCell ref="F59:J59"/>
    <mergeCell ref="P59:T59"/>
    <mergeCell ref="B72:C72"/>
  </mergeCells>
  <dataValidations count="2">
    <dataValidation operator="equal" allowBlank="1" showErrorMessage="1" promptTitle="Hinweis" prompt="Schätzen Sie den Jahresanfall ab und tragen ihn hier ein." sqref="G14:G19 IO14:IO19">
      <formula1>0</formula1>
      <formula2>0</formula2>
    </dataValidation>
    <dataValidation operator="equal" allowBlank="1" showErrorMessage="1" sqref="IK14:IK19">
      <formula1>0</formula1>
      <formula2>0</formula2>
    </dataValidation>
  </dataValidations>
  <hyperlinks>
    <hyperlink ref="N1" location="Organ__Dü!B4" display="◄"/>
    <hyperlink ref="P1" location="Mineral!B3" display="  ►"/>
    <hyperlink ref="P1:Q1" location="Mineral_Dü!B3" display="  ►"/>
    <hyperlink ref="N1:O1" location="Tiere!B4" display="◄"/>
    <hyperlink ref="T13:T14" location="Info2!B2" display="Orientierungswerte Nährstoffgehalte von Wirtschaftsdüngern"/>
    <hyperlink ref="T16:T19" location="Info3!B2" display="Umrechnung Düngerwirksamkeiten"/>
  </hyperlinks>
  <pageMargins left="0.43307086614173229" right="0.43307086614173229" top="0.43307086614173229" bottom="0.35433070866141736" header="0.51181102362204722" footer="0.15748031496062992"/>
  <pageSetup paperSize="9" scale="88" firstPageNumber="0" orientation="landscape" blackAndWhite="1" horizontalDpi="300" verticalDpi="300" r:id="rId1"/>
  <headerFooter alignWithMargins="0">
    <oddFooter>&amp;L&amp;11&amp;F</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5703125" style="10" hidden="1" customWidth="1"/>
    <col min="22" max="22" width="12" style="10" hidden="1" customWidth="1"/>
    <col min="23" max="23" width="17.42578125" style="10" hidden="1" customWidth="1"/>
    <col min="24" max="24" width="13.710937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1385</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Grünland!C29</f>
        <v>-</v>
      </c>
      <c r="D2" s="2626"/>
      <c r="E2" s="2627"/>
      <c r="F2" s="818"/>
      <c r="G2" s="1800" t="s">
        <v>1002</v>
      </c>
      <c r="H2" s="2635">
        <f>Grünland!D29</f>
        <v>0</v>
      </c>
      <c r="I2" s="2636"/>
      <c r="J2" s="818"/>
      <c r="K2" s="1801" t="s">
        <v>863</v>
      </c>
      <c r="L2" s="1800" t="s">
        <v>679</v>
      </c>
      <c r="M2" s="1040">
        <f>Grünland!H29</f>
        <v>0</v>
      </c>
      <c r="N2" s="2616" t="s">
        <v>1049</v>
      </c>
      <c r="O2" s="2617"/>
      <c r="P2" s="2653">
        <f>Grünland!J29</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Grünland!G29</f>
        <v>0</v>
      </c>
      <c r="F3" s="818"/>
      <c r="G3" s="1044" t="s">
        <v>1048</v>
      </c>
      <c r="H3" s="2633">
        <f>Grünland!E29</f>
        <v>0</v>
      </c>
      <c r="I3" s="2634"/>
      <c r="J3" s="818"/>
      <c r="K3" s="818"/>
      <c r="L3" s="1050" t="s">
        <v>1050</v>
      </c>
      <c r="M3" s="2618">
        <f>Grünland!F29</f>
        <v>0</v>
      </c>
      <c r="N3" s="2619"/>
      <c r="O3" s="2619"/>
      <c r="P3" s="2619"/>
      <c r="Q3" s="2620"/>
      <c r="R3" s="1859">
        <f>Grünland!AH29</f>
        <v>0</v>
      </c>
      <c r="S3" s="1859">
        <f>Grünland!AI29</f>
        <v>0</v>
      </c>
      <c r="T3" s="1859"/>
      <c r="U3" s="819"/>
      <c r="V3" s="819"/>
      <c r="W3" s="819"/>
      <c r="X3" s="819"/>
      <c r="Y3" s="819"/>
      <c r="Z3" s="819"/>
      <c r="AA3" s="835"/>
      <c r="AB3" s="1852"/>
      <c r="AC3" s="1852"/>
      <c r="AE3" s="1860">
        <f>Grünland!AP29</f>
        <v>0</v>
      </c>
      <c r="AF3" s="1861">
        <f>Grünland!AQ29</f>
        <v>0</v>
      </c>
      <c r="AG3" s="1862">
        <f>(Grünland!AR29+Grünland!AS29)</f>
        <v>0</v>
      </c>
      <c r="AH3" s="1863">
        <f>Grünland!AT29</f>
        <v>0</v>
      </c>
      <c r="AI3" s="1860">
        <f>Grünland!AU29</f>
        <v>0</v>
      </c>
      <c r="AJ3" s="1860">
        <f>Grünland!AV29</f>
        <v>0</v>
      </c>
      <c r="AK3" s="1860">
        <f>Grünland!AW29</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Grünland!R29</f>
        <v>0</v>
      </c>
      <c r="F6" s="997">
        <f>Grünland!S29</f>
        <v>0</v>
      </c>
      <c r="G6" s="996">
        <f>Grünland!T29</f>
        <v>0</v>
      </c>
      <c r="H6" s="997">
        <f>Grünland!U29</f>
        <v>0</v>
      </c>
      <c r="I6" s="996">
        <f>Grünland!V29</f>
        <v>0</v>
      </c>
      <c r="J6" s="997">
        <f>Grünland!W29</f>
        <v>0</v>
      </c>
      <c r="K6" s="996">
        <f>Grünland!X29</f>
        <v>0</v>
      </c>
      <c r="L6" s="997">
        <f>Grünland!Y29</f>
        <v>0</v>
      </c>
      <c r="M6" s="996">
        <f>Grünland!Z29</f>
        <v>0</v>
      </c>
      <c r="N6" s="997">
        <f>Grünland!AA29</f>
        <v>0</v>
      </c>
      <c r="O6" s="996">
        <f>Grünland!AB29</f>
        <v>0</v>
      </c>
      <c r="P6" s="997">
        <f>Grünland!AC29</f>
        <v>0</v>
      </c>
      <c r="Q6" s="818"/>
      <c r="R6" s="827">
        <f>Grünland!L29</f>
        <v>0</v>
      </c>
      <c r="S6" s="1111">
        <f>Grünland!M29</f>
        <v>0</v>
      </c>
      <c r="T6" s="819"/>
      <c r="U6" s="2637">
        <f>Grünland!AL29</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reduzieren",C13="unverändert"),Grünland!$H$29,S_25!AB13)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Grünland!AH$29</f>
        <v>0</v>
      </c>
      <c r="CO13" s="1882">
        <f>Grünland!AI$29</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reduzieren",C14="unverändert"),Grünland!$H$29,S_25!AB14)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Grünland!AH$29</f>
        <v>0</v>
      </c>
      <c r="CO14" s="1882">
        <f>Grünland!AI$29</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reduzieren",C15="unverändert"),Grünland!$H$29,S_25!AB15)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Grünland!AH$29</f>
        <v>0</v>
      </c>
      <c r="CO15" s="1882">
        <f>Grünland!AI$29</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Summen_GL!F$133</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Summen_GL!G$133</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Summen_GL!H$133</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Summen_GL!I$133</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Summen_GL!J$133</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Summen_GL!K$133</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Summen_GL!L$133</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Summen_GL!M$133</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Summen_GL!N$133</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Summen_GL!O$133</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Summen_GL!P$133</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Summen_GL!Q$133</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wMPShUp62ZT62e3KipfJmDHG5fY9GOg+DiHcjewzmXR6b5e21Jwm1ux5SARpF0XMD/6akyOJKaopZjtqAXlk0w==" saltValue="PkVJnPipTLYL6L+eWfwdIw=="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250" priority="55" stopIfTrue="1">
      <formula>#REF!="nein"</formula>
    </cfRule>
  </conditionalFormatting>
  <conditionalFormatting sqref="B39">
    <cfRule type="expression" dxfId="249" priority="54">
      <formula>#REF!="nein"</formula>
    </cfRule>
  </conditionalFormatting>
  <conditionalFormatting sqref="B41">
    <cfRule type="expression" dxfId="248" priority="53">
      <formula>$B$13=" "</formula>
    </cfRule>
  </conditionalFormatting>
  <conditionalFormatting sqref="A12:S12 A13:R15">
    <cfRule type="expression" dxfId="247" priority="50">
      <formula>IF($G$8="NEIN",1,0)</formula>
    </cfRule>
  </conditionalFormatting>
  <conditionalFormatting sqref="I8:K8">
    <cfRule type="expression" dxfId="246" priority="49">
      <formula>IF($G$8="NEIN",1,0)</formula>
    </cfRule>
  </conditionalFormatting>
  <conditionalFormatting sqref="B15">
    <cfRule type="expression" dxfId="245" priority="56">
      <formula>($B$13+B14)&lt;$H$2</formula>
    </cfRule>
  </conditionalFormatting>
  <conditionalFormatting sqref="C10">
    <cfRule type="expression" dxfId="244" priority="48">
      <formula>IF($G$8="JA",1,0)</formula>
    </cfRule>
  </conditionalFormatting>
  <conditionalFormatting sqref="A14 A15:R15">
    <cfRule type="expression" dxfId="243" priority="44">
      <formula>IF($K$8="",1,0)</formula>
    </cfRule>
    <cfRule type="expression" dxfId="242" priority="47">
      <formula>IF($K$8="NEIN",1,0)</formula>
    </cfRule>
  </conditionalFormatting>
  <conditionalFormatting sqref="B14:R14">
    <cfRule type="expression" dxfId="241" priority="43">
      <formula>IF($K$8="",1,0)</formula>
    </cfRule>
    <cfRule type="expression" dxfId="240" priority="46">
      <formula>IF($K$8="NEIN",1,0)</formula>
    </cfRule>
  </conditionalFormatting>
  <conditionalFormatting sqref="A10:S12 A13:R15">
    <cfRule type="expression" dxfId="239" priority="45">
      <formula>IF($G$8="",1,0)</formula>
    </cfRule>
  </conditionalFormatting>
  <conditionalFormatting sqref="B13:R13">
    <cfRule type="expression" dxfId="238" priority="42">
      <formula>IF($K$8="JA",1,0)</formula>
    </cfRule>
  </conditionalFormatting>
  <conditionalFormatting sqref="B14">
    <cfRule type="expression" dxfId="237" priority="40">
      <formula>IF($K$8="",1,0)</formula>
    </cfRule>
    <cfRule type="expression" dxfId="236" priority="41">
      <formula>IF($K$8="NEIN",1,0)</formula>
    </cfRule>
  </conditionalFormatting>
  <conditionalFormatting sqref="S14">
    <cfRule type="expression" dxfId="235" priority="34" stopIfTrue="1">
      <formula>#REF!="nein"</formula>
    </cfRule>
  </conditionalFormatting>
  <conditionalFormatting sqref="S15">
    <cfRule type="expression" dxfId="234" priority="33" stopIfTrue="1">
      <formula>#REF!="nein"</formula>
    </cfRule>
  </conditionalFormatting>
  <conditionalFormatting sqref="S13:S15">
    <cfRule type="expression" dxfId="233" priority="32">
      <formula>IF($G$8="NEIN",1,0)</formula>
    </cfRule>
  </conditionalFormatting>
  <conditionalFormatting sqref="S15">
    <cfRule type="expression" dxfId="232" priority="28">
      <formula>IF($K$8="",1,0)</formula>
    </cfRule>
    <cfRule type="expression" dxfId="231" priority="31">
      <formula>IF($K$8="NEIN",1,0)</formula>
    </cfRule>
  </conditionalFormatting>
  <conditionalFormatting sqref="S14">
    <cfRule type="expression" dxfId="230" priority="27">
      <formula>IF($K$8="",1,0)</formula>
    </cfRule>
    <cfRule type="expression" dxfId="229" priority="30">
      <formula>IF($K$8="NEIN",1,0)</formula>
    </cfRule>
  </conditionalFormatting>
  <conditionalFormatting sqref="S13:S15">
    <cfRule type="expression" dxfId="228" priority="29">
      <formula>IF($G$8="",1,0)</formula>
    </cfRule>
  </conditionalFormatting>
  <conditionalFormatting sqref="S13">
    <cfRule type="expression" dxfId="227" priority="26">
      <formula>IF($K$8="JA",1,0)</formula>
    </cfRule>
  </conditionalFormatting>
  <conditionalFormatting sqref="S14">
    <cfRule type="expression" dxfId="226" priority="24">
      <formula>IF($K$8="JA",1,0)</formula>
    </cfRule>
  </conditionalFormatting>
  <conditionalFormatting sqref="S15">
    <cfRule type="expression" dxfId="225" priority="22">
      <formula>IF($K$8="JA",1,0)</formula>
    </cfRule>
  </conditionalFormatting>
  <conditionalFormatting sqref="U13:W13">
    <cfRule type="expression" dxfId="224" priority="18">
      <formula>IF($G$8="NEIN",1,0)</formula>
    </cfRule>
    <cfRule type="expression" dxfId="223" priority="19">
      <formula>IF($G$8="",1,0)</formula>
    </cfRule>
    <cfRule type="expression" dxfId="222" priority="20">
      <formula>IF($K$8="JA",1,0)</formula>
    </cfRule>
  </conditionalFormatting>
  <conditionalFormatting sqref="U11:W13">
    <cfRule type="expression" dxfId="221" priority="17">
      <formula>IF($G$8="",1,0)</formula>
    </cfRule>
  </conditionalFormatting>
  <conditionalFormatting sqref="U11:W13">
    <cfRule type="expression" dxfId="220" priority="16">
      <formula>IF($G$8="NEIN",1,0)</formula>
    </cfRule>
  </conditionalFormatting>
  <conditionalFormatting sqref="U14:V15">
    <cfRule type="expression" dxfId="219" priority="7">
      <formula>IF($G$8="NEIN",1,0)</formula>
    </cfRule>
    <cfRule type="expression" dxfId="218" priority="8">
      <formula>IF($K$8="NEIN",1,0)</formula>
    </cfRule>
    <cfRule type="expression" dxfId="217" priority="9">
      <formula>IF($G$8="",1,0)</formula>
    </cfRule>
    <cfRule type="expression" dxfId="216" priority="10">
      <formula>IF($K$8="",1,0)</formula>
    </cfRule>
  </conditionalFormatting>
  <conditionalFormatting sqref="U14:V15">
    <cfRule type="expression" dxfId="215" priority="6">
      <formula>IF($G$8="",1,0)</formula>
    </cfRule>
  </conditionalFormatting>
  <conditionalFormatting sqref="W14:W15">
    <cfRule type="expression" dxfId="214" priority="2">
      <formula>IF($G$8="NEIN",1,0)</formula>
    </cfRule>
    <cfRule type="expression" dxfId="213" priority="3">
      <formula>IF($K$8="NEIN",1,0)</formula>
    </cfRule>
    <cfRule type="expression" dxfId="212" priority="4">
      <formula>IF($G$8="",1,0)</formula>
    </cfRule>
    <cfRule type="expression" dxfId="211" priority="5">
      <formula>IF($K$8="",1,0)</formula>
    </cfRule>
  </conditionalFormatting>
  <conditionalFormatting sqref="W14:W15">
    <cfRule type="expression" dxfId="210"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24!F13" display="◄"/>
    <hyperlink ref="R1:S1" location="S_26!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3F1C83EA-35E3-4EEA-B42F-0D01A5678888}">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5BFACB9C-284D-4526-92C7-DB64568291AB}">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59A33511-353E-46F4-AA10-6AD3AEB82BD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5F46298B-742D-4B1C-A0A9-D3FEDE74A74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7109375" style="10" hidden="1" customWidth="1"/>
    <col min="22" max="22" width="11.85546875"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1386</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Grünland!C30</f>
        <v>-</v>
      </c>
      <c r="D2" s="2626"/>
      <c r="E2" s="2627"/>
      <c r="F2" s="818"/>
      <c r="G2" s="1800" t="s">
        <v>1002</v>
      </c>
      <c r="H2" s="2635">
        <f>Grünland!D30</f>
        <v>0</v>
      </c>
      <c r="I2" s="2636"/>
      <c r="J2" s="818"/>
      <c r="K2" s="1801" t="s">
        <v>863</v>
      </c>
      <c r="L2" s="1800" t="s">
        <v>679</v>
      </c>
      <c r="M2" s="1040">
        <f>Grünland!H30</f>
        <v>0</v>
      </c>
      <c r="N2" s="2616" t="s">
        <v>1049</v>
      </c>
      <c r="O2" s="2617"/>
      <c r="P2" s="2653">
        <f>Grünland!J30</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Grünland!G30</f>
        <v>0</v>
      </c>
      <c r="F3" s="818"/>
      <c r="G3" s="1044" t="s">
        <v>1048</v>
      </c>
      <c r="H3" s="2633">
        <f>Grünland!E30</f>
        <v>0</v>
      </c>
      <c r="I3" s="2634"/>
      <c r="J3" s="818"/>
      <c r="K3" s="818"/>
      <c r="L3" s="1050" t="s">
        <v>1050</v>
      </c>
      <c r="M3" s="2618">
        <f>Grünland!F30</f>
        <v>0</v>
      </c>
      <c r="N3" s="2619"/>
      <c r="O3" s="2619"/>
      <c r="P3" s="2619"/>
      <c r="Q3" s="2620"/>
      <c r="R3" s="1859">
        <f>Grünland!AH30</f>
        <v>0</v>
      </c>
      <c r="S3" s="1859">
        <f>Grünland!AI30</f>
        <v>0</v>
      </c>
      <c r="T3" s="1859"/>
      <c r="U3" s="819"/>
      <c r="V3" s="819"/>
      <c r="W3" s="819"/>
      <c r="X3" s="819"/>
      <c r="Y3" s="819"/>
      <c r="Z3" s="819"/>
      <c r="AA3" s="835"/>
      <c r="AB3" s="1852"/>
      <c r="AC3" s="1852"/>
      <c r="AE3" s="1860">
        <f>Grünland!AP30</f>
        <v>0</v>
      </c>
      <c r="AF3" s="1861">
        <f>Grünland!AQ30</f>
        <v>0</v>
      </c>
      <c r="AG3" s="1862">
        <f>(Grünland!AR30+Grünland!AS30)</f>
        <v>0</v>
      </c>
      <c r="AH3" s="1863">
        <f>Grünland!AT30</f>
        <v>0</v>
      </c>
      <c r="AI3" s="1860">
        <f>Grünland!AU30</f>
        <v>0</v>
      </c>
      <c r="AJ3" s="1860">
        <f>Grünland!AV30</f>
        <v>0</v>
      </c>
      <c r="AK3" s="1860">
        <f>Grünland!AW30</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Grünland!R30</f>
        <v>0</v>
      </c>
      <c r="F6" s="997">
        <f>Grünland!S30</f>
        <v>0</v>
      </c>
      <c r="G6" s="996">
        <f>Grünland!T30</f>
        <v>0</v>
      </c>
      <c r="H6" s="997">
        <f>Grünland!U30</f>
        <v>0</v>
      </c>
      <c r="I6" s="996">
        <f>Grünland!V30</f>
        <v>0</v>
      </c>
      <c r="J6" s="997">
        <f>Grünland!W30</f>
        <v>0</v>
      </c>
      <c r="K6" s="996">
        <f>Grünland!X30</f>
        <v>0</v>
      </c>
      <c r="L6" s="997">
        <f>Grünland!Y30</f>
        <v>0</v>
      </c>
      <c r="M6" s="996">
        <f>Grünland!Z30</f>
        <v>0</v>
      </c>
      <c r="N6" s="997">
        <f>Grünland!AA30</f>
        <v>0</v>
      </c>
      <c r="O6" s="996">
        <f>Grünland!AB30</f>
        <v>0</v>
      </c>
      <c r="P6" s="997">
        <f>Grünland!AC30</f>
        <v>0</v>
      </c>
      <c r="Q6" s="818"/>
      <c r="R6" s="827">
        <f>Grünland!L30</f>
        <v>0</v>
      </c>
      <c r="S6" s="1111">
        <f>Grünland!M30</f>
        <v>0</v>
      </c>
      <c r="T6" s="819"/>
      <c r="U6" s="2637">
        <f>Grünland!AL30</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reduzieren",C13="unverändert"),Grünland!$H$30,S_26!AB13)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Grünland!AH$30</f>
        <v>0</v>
      </c>
      <c r="CO13" s="1882">
        <f>Grünland!AI$30</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reduzieren",C14="unverändert"),Grünland!$H$30,S_26!AB14)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Grünland!AH$30</f>
        <v>0</v>
      </c>
      <c r="CO14" s="1882">
        <f>Grünland!AI$30</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reduzieren",C15="unverändert"),Grünland!$H$30,S_26!AB15)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Grünland!AH$30</f>
        <v>0</v>
      </c>
      <c r="CO15" s="1882">
        <f>Grünland!AI$30</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Summen_GL!F$134</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Summen_GL!G$134</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Summen_GL!H$134</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Summen_GL!I$134</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Summen_GL!J$134</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Summen_GL!K$134</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Summen_GL!L$134</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Summen_GL!M$134</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Summen_GL!N$134</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Summen_GL!O$134</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Summen_GL!P$134</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Summen_GL!Q$134</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S4eni8VBCQwIuE/vKke01OoeMr0Bo56YEsbqTS2eTuxVm5WTkGfukPkqUFzvKZ17qadNl9DNCzGlrrNQ0tTNzw==" saltValue="uM7Lx3LK7DyiI59WbD6+3w=="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209" priority="55" stopIfTrue="1">
      <formula>#REF!="nein"</formula>
    </cfRule>
  </conditionalFormatting>
  <conditionalFormatting sqref="B39">
    <cfRule type="expression" dxfId="208" priority="54">
      <formula>#REF!="nein"</formula>
    </cfRule>
  </conditionalFormatting>
  <conditionalFormatting sqref="B41">
    <cfRule type="expression" dxfId="207" priority="53">
      <formula>$B$13=" "</formula>
    </cfRule>
  </conditionalFormatting>
  <conditionalFormatting sqref="A12:S12 A13:R15">
    <cfRule type="expression" dxfId="206" priority="50">
      <formula>IF($G$8="NEIN",1,0)</formula>
    </cfRule>
  </conditionalFormatting>
  <conditionalFormatting sqref="I8:K8">
    <cfRule type="expression" dxfId="205" priority="49">
      <formula>IF($G$8="NEIN",1,0)</formula>
    </cfRule>
  </conditionalFormatting>
  <conditionalFormatting sqref="B15">
    <cfRule type="expression" dxfId="204" priority="56">
      <formula>($B$13+B14)&lt;$H$2</formula>
    </cfRule>
  </conditionalFormatting>
  <conditionalFormatting sqref="C10">
    <cfRule type="expression" dxfId="203" priority="48">
      <formula>IF($G$8="JA",1,0)</formula>
    </cfRule>
  </conditionalFormatting>
  <conditionalFormatting sqref="A14 A15:R15">
    <cfRule type="expression" dxfId="202" priority="44">
      <formula>IF($K$8="",1,0)</formula>
    </cfRule>
    <cfRule type="expression" dxfId="201" priority="47">
      <formula>IF($K$8="NEIN",1,0)</formula>
    </cfRule>
  </conditionalFormatting>
  <conditionalFormatting sqref="B14:R14">
    <cfRule type="expression" dxfId="200" priority="43">
      <formula>IF($K$8="",1,0)</formula>
    </cfRule>
    <cfRule type="expression" dxfId="199" priority="46">
      <formula>IF($K$8="NEIN",1,0)</formula>
    </cfRule>
  </conditionalFormatting>
  <conditionalFormatting sqref="A10:S12 A13:R15">
    <cfRule type="expression" dxfId="198" priority="45">
      <formula>IF($G$8="",1,0)</formula>
    </cfRule>
  </conditionalFormatting>
  <conditionalFormatting sqref="B13:R13">
    <cfRule type="expression" dxfId="197" priority="42">
      <formula>IF($K$8="JA",1,0)</formula>
    </cfRule>
  </conditionalFormatting>
  <conditionalFormatting sqref="B14">
    <cfRule type="expression" dxfId="196" priority="40">
      <formula>IF($K$8="",1,0)</formula>
    </cfRule>
    <cfRule type="expression" dxfId="195" priority="41">
      <formula>IF($K$8="NEIN",1,0)</formula>
    </cfRule>
  </conditionalFormatting>
  <conditionalFormatting sqref="S14">
    <cfRule type="expression" dxfId="194" priority="34" stopIfTrue="1">
      <formula>#REF!="nein"</formula>
    </cfRule>
  </conditionalFormatting>
  <conditionalFormatting sqref="S15">
    <cfRule type="expression" dxfId="193" priority="33" stopIfTrue="1">
      <formula>#REF!="nein"</formula>
    </cfRule>
  </conditionalFormatting>
  <conditionalFormatting sqref="S13:S15">
    <cfRule type="expression" dxfId="192" priority="32">
      <formula>IF($G$8="NEIN",1,0)</formula>
    </cfRule>
  </conditionalFormatting>
  <conditionalFormatting sqref="S15">
    <cfRule type="expression" dxfId="191" priority="28">
      <formula>IF($K$8="",1,0)</formula>
    </cfRule>
    <cfRule type="expression" dxfId="190" priority="31">
      <formula>IF($K$8="NEIN",1,0)</formula>
    </cfRule>
  </conditionalFormatting>
  <conditionalFormatting sqref="S14">
    <cfRule type="expression" dxfId="189" priority="27">
      <formula>IF($K$8="",1,0)</formula>
    </cfRule>
    <cfRule type="expression" dxfId="188" priority="30">
      <formula>IF($K$8="NEIN",1,0)</formula>
    </cfRule>
  </conditionalFormatting>
  <conditionalFormatting sqref="S13:S15">
    <cfRule type="expression" dxfId="187" priority="29">
      <formula>IF($G$8="",1,0)</formula>
    </cfRule>
  </conditionalFormatting>
  <conditionalFormatting sqref="S13">
    <cfRule type="expression" dxfId="186" priority="26">
      <formula>IF($K$8="JA",1,0)</formula>
    </cfRule>
  </conditionalFormatting>
  <conditionalFormatting sqref="S14">
    <cfRule type="expression" dxfId="185" priority="24">
      <formula>IF($K$8="JA",1,0)</formula>
    </cfRule>
  </conditionalFormatting>
  <conditionalFormatting sqref="S15">
    <cfRule type="expression" dxfId="184" priority="22">
      <formula>IF($K$8="JA",1,0)</formula>
    </cfRule>
  </conditionalFormatting>
  <conditionalFormatting sqref="U13:W13">
    <cfRule type="expression" dxfId="183" priority="18">
      <formula>IF($G$8="NEIN",1,0)</formula>
    </cfRule>
    <cfRule type="expression" dxfId="182" priority="19">
      <formula>IF($G$8="",1,0)</formula>
    </cfRule>
    <cfRule type="expression" dxfId="181" priority="20">
      <formula>IF($K$8="JA",1,0)</formula>
    </cfRule>
  </conditionalFormatting>
  <conditionalFormatting sqref="U11:W13">
    <cfRule type="expression" dxfId="180" priority="17">
      <formula>IF($G$8="",1,0)</formula>
    </cfRule>
  </conditionalFormatting>
  <conditionalFormatting sqref="U11:W13">
    <cfRule type="expression" dxfId="179" priority="16">
      <formula>IF($G$8="NEIN",1,0)</formula>
    </cfRule>
  </conditionalFormatting>
  <conditionalFormatting sqref="U14:V15">
    <cfRule type="expression" dxfId="178" priority="7">
      <formula>IF($G$8="NEIN",1,0)</formula>
    </cfRule>
    <cfRule type="expression" dxfId="177" priority="8">
      <formula>IF($K$8="NEIN",1,0)</formula>
    </cfRule>
    <cfRule type="expression" dxfId="176" priority="9">
      <formula>IF($G$8="",1,0)</formula>
    </cfRule>
    <cfRule type="expression" dxfId="175" priority="10">
      <formula>IF($K$8="",1,0)</formula>
    </cfRule>
  </conditionalFormatting>
  <conditionalFormatting sqref="U14:V15">
    <cfRule type="expression" dxfId="174" priority="6">
      <formula>IF($G$8="",1,0)</formula>
    </cfRule>
  </conditionalFormatting>
  <conditionalFormatting sqref="W14:W15">
    <cfRule type="expression" dxfId="173" priority="2">
      <formula>IF($G$8="NEIN",1,0)</formula>
    </cfRule>
    <cfRule type="expression" dxfId="172" priority="3">
      <formula>IF($K$8="NEIN",1,0)</formula>
    </cfRule>
    <cfRule type="expression" dxfId="171" priority="4">
      <formula>IF($G$8="",1,0)</formula>
    </cfRule>
    <cfRule type="expression" dxfId="170" priority="5">
      <formula>IF($K$8="",1,0)</formula>
    </cfRule>
  </conditionalFormatting>
  <conditionalFormatting sqref="W14:W15">
    <cfRule type="expression" dxfId="169"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25!F13" display="◄"/>
    <hyperlink ref="R1:S1" location="S_27!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CB89D82C-0D1F-4B01-AB6D-DA9D02E072CB}">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B30AD04B-4C1A-4443-9C94-245314698108}">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BD495E43-4DC8-43BC-9780-6A6420BA732A}">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11986BA3-3985-4CD1-978D-11CF7D2D9EFD}">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1387</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Grünland!C31</f>
        <v>-</v>
      </c>
      <c r="D2" s="2626"/>
      <c r="E2" s="2627"/>
      <c r="F2" s="818"/>
      <c r="G2" s="1800" t="s">
        <v>1002</v>
      </c>
      <c r="H2" s="2635">
        <f>Grünland!D31</f>
        <v>0</v>
      </c>
      <c r="I2" s="2636"/>
      <c r="J2" s="818"/>
      <c r="K2" s="1801" t="s">
        <v>863</v>
      </c>
      <c r="L2" s="1800" t="s">
        <v>679</v>
      </c>
      <c r="M2" s="1040">
        <f>Grünland!H31</f>
        <v>0</v>
      </c>
      <c r="N2" s="2616" t="s">
        <v>1049</v>
      </c>
      <c r="O2" s="2617"/>
      <c r="P2" s="2653">
        <f>Grünland!J31</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Grünland!G31</f>
        <v>0</v>
      </c>
      <c r="F3" s="818"/>
      <c r="G3" s="1044" t="s">
        <v>1048</v>
      </c>
      <c r="H3" s="2633">
        <f>Grünland!E31</f>
        <v>0</v>
      </c>
      <c r="I3" s="2634"/>
      <c r="J3" s="818"/>
      <c r="K3" s="818"/>
      <c r="L3" s="1050" t="s">
        <v>1050</v>
      </c>
      <c r="M3" s="2618">
        <f>Grünland!F31</f>
        <v>0</v>
      </c>
      <c r="N3" s="2619"/>
      <c r="O3" s="2619"/>
      <c r="P3" s="2619"/>
      <c r="Q3" s="2620"/>
      <c r="R3" s="1859">
        <f>Grünland!AH31</f>
        <v>0</v>
      </c>
      <c r="S3" s="1859">
        <f>Grünland!AI31</f>
        <v>0</v>
      </c>
      <c r="T3" s="1859"/>
      <c r="U3" s="819"/>
      <c r="V3" s="819"/>
      <c r="W3" s="819"/>
      <c r="X3" s="819"/>
      <c r="Y3" s="819"/>
      <c r="Z3" s="819"/>
      <c r="AA3" s="835"/>
      <c r="AB3" s="1852"/>
      <c r="AC3" s="1852"/>
      <c r="AE3" s="1860">
        <f>Grünland!AP31</f>
        <v>0</v>
      </c>
      <c r="AF3" s="1861">
        <f>Grünland!AQ31</f>
        <v>0</v>
      </c>
      <c r="AG3" s="1862">
        <f>(Grünland!AR31+Grünland!AS31)</f>
        <v>0</v>
      </c>
      <c r="AH3" s="1863">
        <f>Grünland!AT31</f>
        <v>0</v>
      </c>
      <c r="AI3" s="1860">
        <f>Grünland!AU31</f>
        <v>0</v>
      </c>
      <c r="AJ3" s="1860">
        <f>Grünland!AV31</f>
        <v>0</v>
      </c>
      <c r="AK3" s="1860">
        <f>Grünland!AW31</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Grünland!R31</f>
        <v>0</v>
      </c>
      <c r="F6" s="997">
        <f>Grünland!S31</f>
        <v>0</v>
      </c>
      <c r="G6" s="996">
        <f>Grünland!T31</f>
        <v>0</v>
      </c>
      <c r="H6" s="997">
        <f>Grünland!U31</f>
        <v>0</v>
      </c>
      <c r="I6" s="996">
        <f>Grünland!V31</f>
        <v>0</v>
      </c>
      <c r="J6" s="997">
        <f>Grünland!W31</f>
        <v>0</v>
      </c>
      <c r="K6" s="996">
        <f>Grünland!X31</f>
        <v>0</v>
      </c>
      <c r="L6" s="997">
        <f>Grünland!Y31</f>
        <v>0</v>
      </c>
      <c r="M6" s="996">
        <f>Grünland!Z31</f>
        <v>0</v>
      </c>
      <c r="N6" s="997">
        <f>Grünland!AA31</f>
        <v>0</v>
      </c>
      <c r="O6" s="996">
        <f>Grünland!AB31</f>
        <v>0</v>
      </c>
      <c r="P6" s="997">
        <f>Grünland!AC31</f>
        <v>0</v>
      </c>
      <c r="Q6" s="818"/>
      <c r="R6" s="827">
        <f>Grünland!L31</f>
        <v>0</v>
      </c>
      <c r="S6" s="1111">
        <f>Grünland!M31</f>
        <v>0</v>
      </c>
      <c r="T6" s="819"/>
      <c r="U6" s="2637">
        <f>Grünland!AL31</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reduzieren",C13="unverändert"),Grünland!$H$31,S_27!AB13)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Grünland!AH$31</f>
        <v>0</v>
      </c>
      <c r="CO13" s="1882">
        <f>Grünland!AI$31</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reduzieren",C14="unverändert"),Grünland!$H$31,S_27!AB14)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Grünland!AH$31</f>
        <v>0</v>
      </c>
      <c r="CO14" s="1882">
        <f>Grünland!AI$31</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reduzieren",C15="unverändert"),Grünland!$H$31,S_27!AB15)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Grünland!AH$31</f>
        <v>0</v>
      </c>
      <c r="CO15" s="1882">
        <f>Grünland!AI$31</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Summen_GL!F$135</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Summen_GL!G$135</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Summen_GL!H$135</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Summen_GL!I$135</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Summen_GL!J$135</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Summen_GL!K$135</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Summen_GL!L$135</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Summen_GL!M$135</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Summen_GL!N$135</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Summen_GL!O$135</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Summen_GL!P$135</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Summen_GL!Q$135</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OlH2+vCrUEaiMEvsGHtg4ZJbAijq31T8KCEUgvrsZ9284AdEYlA6qosSdsndPjPCTQDoEgt+BYiTEU8h7TOfzg==" saltValue="/6bEdFjw0DIh4389o7R1r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168" priority="55" stopIfTrue="1">
      <formula>#REF!="nein"</formula>
    </cfRule>
  </conditionalFormatting>
  <conditionalFormatting sqref="B39">
    <cfRule type="expression" dxfId="167" priority="54">
      <formula>#REF!="nein"</formula>
    </cfRule>
  </conditionalFormatting>
  <conditionalFormatting sqref="B41">
    <cfRule type="expression" dxfId="166" priority="53">
      <formula>$B$13=" "</formula>
    </cfRule>
  </conditionalFormatting>
  <conditionalFormatting sqref="A12:S12 A13:R15">
    <cfRule type="expression" dxfId="165" priority="50">
      <formula>IF($G$8="NEIN",1,0)</formula>
    </cfRule>
  </conditionalFormatting>
  <conditionalFormatting sqref="I8:K8">
    <cfRule type="expression" dxfId="164" priority="49">
      <formula>IF($G$8="NEIN",1,0)</formula>
    </cfRule>
  </conditionalFormatting>
  <conditionalFormatting sqref="B15">
    <cfRule type="expression" dxfId="163" priority="56">
      <formula>($B$13+B14)&lt;$H$2</formula>
    </cfRule>
  </conditionalFormatting>
  <conditionalFormatting sqref="C10">
    <cfRule type="expression" dxfId="162" priority="48">
      <formula>IF($G$8="JA",1,0)</formula>
    </cfRule>
  </conditionalFormatting>
  <conditionalFormatting sqref="A14 A15:R15">
    <cfRule type="expression" dxfId="161" priority="44">
      <formula>IF($K$8="",1,0)</formula>
    </cfRule>
    <cfRule type="expression" dxfId="160" priority="47">
      <formula>IF($K$8="NEIN",1,0)</formula>
    </cfRule>
  </conditionalFormatting>
  <conditionalFormatting sqref="B14:R14">
    <cfRule type="expression" dxfId="159" priority="43">
      <formula>IF($K$8="",1,0)</formula>
    </cfRule>
    <cfRule type="expression" dxfId="158" priority="46">
      <formula>IF($K$8="NEIN",1,0)</formula>
    </cfRule>
  </conditionalFormatting>
  <conditionalFormatting sqref="A10:S12 A13:R15">
    <cfRule type="expression" dxfId="157" priority="45">
      <formula>IF($G$8="",1,0)</formula>
    </cfRule>
  </conditionalFormatting>
  <conditionalFormatting sqref="B13:R13">
    <cfRule type="expression" dxfId="156" priority="42">
      <formula>IF($K$8="JA",1,0)</formula>
    </cfRule>
  </conditionalFormatting>
  <conditionalFormatting sqref="B14">
    <cfRule type="expression" dxfId="155" priority="40">
      <formula>IF($K$8="",1,0)</formula>
    </cfRule>
    <cfRule type="expression" dxfId="154" priority="41">
      <formula>IF($K$8="NEIN",1,0)</formula>
    </cfRule>
  </conditionalFormatting>
  <conditionalFormatting sqref="S14">
    <cfRule type="expression" dxfId="153" priority="34" stopIfTrue="1">
      <formula>#REF!="nein"</formula>
    </cfRule>
  </conditionalFormatting>
  <conditionalFormatting sqref="S15">
    <cfRule type="expression" dxfId="152" priority="33" stopIfTrue="1">
      <formula>#REF!="nein"</formula>
    </cfRule>
  </conditionalFormatting>
  <conditionalFormatting sqref="S13:S15">
    <cfRule type="expression" dxfId="151" priority="32">
      <formula>IF($G$8="NEIN",1,0)</formula>
    </cfRule>
  </conditionalFormatting>
  <conditionalFormatting sqref="S15">
    <cfRule type="expression" dxfId="150" priority="28">
      <formula>IF($K$8="",1,0)</formula>
    </cfRule>
    <cfRule type="expression" dxfId="149" priority="31">
      <formula>IF($K$8="NEIN",1,0)</formula>
    </cfRule>
  </conditionalFormatting>
  <conditionalFormatting sqref="S14">
    <cfRule type="expression" dxfId="148" priority="27">
      <formula>IF($K$8="",1,0)</formula>
    </cfRule>
    <cfRule type="expression" dxfId="147" priority="30">
      <formula>IF($K$8="NEIN",1,0)</formula>
    </cfRule>
  </conditionalFormatting>
  <conditionalFormatting sqref="S13:S15">
    <cfRule type="expression" dxfId="146" priority="29">
      <formula>IF($G$8="",1,0)</formula>
    </cfRule>
  </conditionalFormatting>
  <conditionalFormatting sqref="S13">
    <cfRule type="expression" dxfId="145" priority="26">
      <formula>IF($K$8="JA",1,0)</formula>
    </cfRule>
  </conditionalFormatting>
  <conditionalFormatting sqref="S14">
    <cfRule type="expression" dxfId="144" priority="24">
      <formula>IF($K$8="JA",1,0)</formula>
    </cfRule>
  </conditionalFormatting>
  <conditionalFormatting sqref="S15">
    <cfRule type="expression" dxfId="143" priority="22">
      <formula>IF($K$8="JA",1,0)</formula>
    </cfRule>
  </conditionalFormatting>
  <conditionalFormatting sqref="U13:W13">
    <cfRule type="expression" dxfId="142" priority="18">
      <formula>IF($G$8="NEIN",1,0)</formula>
    </cfRule>
    <cfRule type="expression" dxfId="141" priority="19">
      <formula>IF($G$8="",1,0)</formula>
    </cfRule>
    <cfRule type="expression" dxfId="140" priority="20">
      <formula>IF($K$8="JA",1,0)</formula>
    </cfRule>
  </conditionalFormatting>
  <conditionalFormatting sqref="U11:W13">
    <cfRule type="expression" dxfId="139" priority="17">
      <formula>IF($G$8="",1,0)</formula>
    </cfRule>
  </conditionalFormatting>
  <conditionalFormatting sqref="U11:W13">
    <cfRule type="expression" dxfId="138" priority="16">
      <formula>IF($G$8="NEIN",1,0)</formula>
    </cfRule>
  </conditionalFormatting>
  <conditionalFormatting sqref="U14:V15">
    <cfRule type="expression" dxfId="137" priority="7">
      <formula>IF($G$8="NEIN",1,0)</formula>
    </cfRule>
    <cfRule type="expression" dxfId="136" priority="8">
      <formula>IF($K$8="NEIN",1,0)</formula>
    </cfRule>
    <cfRule type="expression" dxfId="135" priority="9">
      <formula>IF($G$8="",1,0)</formula>
    </cfRule>
    <cfRule type="expression" dxfId="134" priority="10">
      <formula>IF($K$8="",1,0)</formula>
    </cfRule>
  </conditionalFormatting>
  <conditionalFormatting sqref="U14:V15">
    <cfRule type="expression" dxfId="133" priority="6">
      <formula>IF($G$8="",1,0)</formula>
    </cfRule>
  </conditionalFormatting>
  <conditionalFormatting sqref="W14:W15">
    <cfRule type="expression" dxfId="132" priority="2">
      <formula>IF($G$8="NEIN",1,0)</formula>
    </cfRule>
    <cfRule type="expression" dxfId="131" priority="3">
      <formula>IF($K$8="NEIN",1,0)</formula>
    </cfRule>
    <cfRule type="expression" dxfId="130" priority="4">
      <formula>IF($G$8="",1,0)</formula>
    </cfRule>
    <cfRule type="expression" dxfId="129" priority="5">
      <formula>IF($K$8="",1,0)</formula>
    </cfRule>
  </conditionalFormatting>
  <conditionalFormatting sqref="W14:W15">
    <cfRule type="expression" dxfId="128"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26!F13" display="◄"/>
    <hyperlink ref="R1:S1" location="S_28!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3E0445D4-1591-48C6-9E55-60C5CCBEC80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0002206F-EFCE-4284-8293-D05C196BC18E}">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F431ECD7-3447-434E-B77D-251F8383C454}">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906476EF-8579-4869-A22D-C47545DCF4A6}">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5703125" style="10" hidden="1" customWidth="1"/>
    <col min="22" max="22" width="12"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1388</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Grünland!C32</f>
        <v>-</v>
      </c>
      <c r="D2" s="2626"/>
      <c r="E2" s="2627"/>
      <c r="F2" s="818"/>
      <c r="G2" s="1800" t="s">
        <v>1002</v>
      </c>
      <c r="H2" s="2635">
        <f>Grünland!D32</f>
        <v>0</v>
      </c>
      <c r="I2" s="2636"/>
      <c r="J2" s="818"/>
      <c r="K2" s="1801" t="s">
        <v>863</v>
      </c>
      <c r="L2" s="1800" t="s">
        <v>679</v>
      </c>
      <c r="M2" s="1040">
        <f>Grünland!H32</f>
        <v>0</v>
      </c>
      <c r="N2" s="2616" t="s">
        <v>1049</v>
      </c>
      <c r="O2" s="2617"/>
      <c r="P2" s="2653">
        <f>Grünland!J32</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Grünland!G32</f>
        <v>0</v>
      </c>
      <c r="F3" s="818"/>
      <c r="G3" s="1044" t="s">
        <v>1048</v>
      </c>
      <c r="H3" s="2633">
        <f>Grünland!E32</f>
        <v>0</v>
      </c>
      <c r="I3" s="2634"/>
      <c r="J3" s="818"/>
      <c r="K3" s="818"/>
      <c r="L3" s="1050" t="s">
        <v>1050</v>
      </c>
      <c r="M3" s="2618">
        <f>Grünland!F32</f>
        <v>0</v>
      </c>
      <c r="N3" s="2619"/>
      <c r="O3" s="2619"/>
      <c r="P3" s="2619"/>
      <c r="Q3" s="2620"/>
      <c r="R3" s="1859">
        <f>Grünland!AH32</f>
        <v>0</v>
      </c>
      <c r="S3" s="1859">
        <f>Grünland!AI32</f>
        <v>0</v>
      </c>
      <c r="T3" s="1859"/>
      <c r="U3" s="819"/>
      <c r="V3" s="819"/>
      <c r="W3" s="819"/>
      <c r="X3" s="819"/>
      <c r="Y3" s="819"/>
      <c r="Z3" s="819"/>
      <c r="AA3" s="835"/>
      <c r="AB3" s="1852"/>
      <c r="AC3" s="1852"/>
      <c r="AE3" s="1860">
        <f>Grünland!AP32</f>
        <v>0</v>
      </c>
      <c r="AF3" s="1861">
        <f>Grünland!AQ32</f>
        <v>0</v>
      </c>
      <c r="AG3" s="1862">
        <f>(Grünland!AR32+Grünland!AS32)</f>
        <v>0</v>
      </c>
      <c r="AH3" s="1863">
        <f>Grünland!AT32</f>
        <v>0</v>
      </c>
      <c r="AI3" s="1860">
        <f>Grünland!AU32</f>
        <v>0</v>
      </c>
      <c r="AJ3" s="1860">
        <f>Grünland!AV32</f>
        <v>0</v>
      </c>
      <c r="AK3" s="1860">
        <f>Grünland!AW32</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Grünland!R32</f>
        <v>0</v>
      </c>
      <c r="F6" s="997">
        <f>Grünland!S32</f>
        <v>0</v>
      </c>
      <c r="G6" s="996">
        <f>Grünland!T32</f>
        <v>0</v>
      </c>
      <c r="H6" s="997">
        <f>Grünland!U32</f>
        <v>0</v>
      </c>
      <c r="I6" s="996">
        <f>Grünland!V32</f>
        <v>0</v>
      </c>
      <c r="J6" s="997">
        <f>Grünland!W32</f>
        <v>0</v>
      </c>
      <c r="K6" s="996">
        <f>Grünland!X32</f>
        <v>0</v>
      </c>
      <c r="L6" s="997">
        <f>Grünland!Y32</f>
        <v>0</v>
      </c>
      <c r="M6" s="996">
        <f>Grünland!Z32</f>
        <v>0</v>
      </c>
      <c r="N6" s="997">
        <f>Grünland!AA32</f>
        <v>0</v>
      </c>
      <c r="O6" s="996">
        <f>Grünland!AB32</f>
        <v>0</v>
      </c>
      <c r="P6" s="997">
        <f>Grünland!AC32</f>
        <v>0</v>
      </c>
      <c r="Q6" s="818"/>
      <c r="R6" s="827">
        <f>Grünland!L32</f>
        <v>0</v>
      </c>
      <c r="S6" s="1111">
        <f>Grünland!M32</f>
        <v>0</v>
      </c>
      <c r="T6" s="819"/>
      <c r="U6" s="2637">
        <f>Grünland!AL32</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reduzieren",C13="unverändert"),Grünland!$H$32,S_28!AB13)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Grünland!AH$32</f>
        <v>0</v>
      </c>
      <c r="CO13" s="1882">
        <f>Grünland!AI$32</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reduzieren",C14="unverändert"),Grünland!$H$32,S_28!AB14)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Grünland!AH$32</f>
        <v>0</v>
      </c>
      <c r="CO14" s="1882">
        <f>Grünland!AI$32</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reduzieren",C15="unverändert"),Grünland!$H$32,S_28!AB15)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Grünland!AH$32</f>
        <v>0</v>
      </c>
      <c r="CO15" s="1882">
        <f>Grünland!AI$32</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Summen_GL!F$136</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Summen_GL!G$136</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Summen_GL!H$136</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Summen_GL!I$136</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Summen_GL!J$136</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Summen_GL!K$136</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Summen_GL!L$136</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Summen_GL!M$136</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Summen_GL!N$136</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Summen_GL!O$136</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Summen_GL!P$136</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Summen_GL!Q$136</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Zp5ygJxaxbb5WgyMJGcvcfrQGhbp7F8JXtmr9GQYudNnmnAxQ2gpWl4R9DAZOiGzrjg81XXeA5xEJppNzc5Uw==" saltValue="TybInLlPSWuEYHRYZVmZOw=="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127" priority="55" stopIfTrue="1">
      <formula>#REF!="nein"</formula>
    </cfRule>
  </conditionalFormatting>
  <conditionalFormatting sqref="B39">
    <cfRule type="expression" dxfId="126" priority="54">
      <formula>#REF!="nein"</formula>
    </cfRule>
  </conditionalFormatting>
  <conditionalFormatting sqref="B41">
    <cfRule type="expression" dxfId="125" priority="53">
      <formula>$B$13=" "</formula>
    </cfRule>
  </conditionalFormatting>
  <conditionalFormatting sqref="A12:S12 A13:R15">
    <cfRule type="expression" dxfId="124" priority="50">
      <formula>IF($G$8="NEIN",1,0)</formula>
    </cfRule>
  </conditionalFormatting>
  <conditionalFormatting sqref="I8:K8">
    <cfRule type="expression" dxfId="123" priority="49">
      <formula>IF($G$8="NEIN",1,0)</formula>
    </cfRule>
  </conditionalFormatting>
  <conditionalFormatting sqref="B15">
    <cfRule type="expression" dxfId="122" priority="56">
      <formula>($B$13+B14)&lt;$H$2</formula>
    </cfRule>
  </conditionalFormatting>
  <conditionalFormatting sqref="C10">
    <cfRule type="expression" dxfId="121" priority="48">
      <formula>IF($G$8="JA",1,0)</formula>
    </cfRule>
  </conditionalFormatting>
  <conditionalFormatting sqref="A14 A15:R15">
    <cfRule type="expression" dxfId="120" priority="44">
      <formula>IF($K$8="",1,0)</formula>
    </cfRule>
    <cfRule type="expression" dxfId="119" priority="47">
      <formula>IF($K$8="NEIN",1,0)</formula>
    </cfRule>
  </conditionalFormatting>
  <conditionalFormatting sqref="B14:R14">
    <cfRule type="expression" dxfId="118" priority="43">
      <formula>IF($K$8="",1,0)</formula>
    </cfRule>
    <cfRule type="expression" dxfId="117" priority="46">
      <formula>IF($K$8="NEIN",1,0)</formula>
    </cfRule>
  </conditionalFormatting>
  <conditionalFormatting sqref="A10:S12 A13:R15">
    <cfRule type="expression" dxfId="116" priority="45">
      <formula>IF($G$8="",1,0)</formula>
    </cfRule>
  </conditionalFormatting>
  <conditionalFormatting sqref="B13:R13">
    <cfRule type="expression" dxfId="115" priority="42">
      <formula>IF($K$8="JA",1,0)</formula>
    </cfRule>
  </conditionalFormatting>
  <conditionalFormatting sqref="B14">
    <cfRule type="expression" dxfId="114" priority="40">
      <formula>IF($K$8="",1,0)</formula>
    </cfRule>
    <cfRule type="expression" dxfId="113" priority="41">
      <formula>IF($K$8="NEIN",1,0)</formula>
    </cfRule>
  </conditionalFormatting>
  <conditionalFormatting sqref="S14">
    <cfRule type="expression" dxfId="112" priority="34" stopIfTrue="1">
      <formula>#REF!="nein"</formula>
    </cfRule>
  </conditionalFormatting>
  <conditionalFormatting sqref="S15">
    <cfRule type="expression" dxfId="111" priority="33" stopIfTrue="1">
      <formula>#REF!="nein"</formula>
    </cfRule>
  </conditionalFormatting>
  <conditionalFormatting sqref="S13:S15">
    <cfRule type="expression" dxfId="110" priority="32">
      <formula>IF($G$8="NEIN",1,0)</formula>
    </cfRule>
  </conditionalFormatting>
  <conditionalFormatting sqref="S15">
    <cfRule type="expression" dxfId="109" priority="28">
      <formula>IF($K$8="",1,0)</formula>
    </cfRule>
    <cfRule type="expression" dxfId="108" priority="31">
      <formula>IF($K$8="NEIN",1,0)</formula>
    </cfRule>
  </conditionalFormatting>
  <conditionalFormatting sqref="S14">
    <cfRule type="expression" dxfId="107" priority="27">
      <formula>IF($K$8="",1,0)</formula>
    </cfRule>
    <cfRule type="expression" dxfId="106" priority="30">
      <formula>IF($K$8="NEIN",1,0)</formula>
    </cfRule>
  </conditionalFormatting>
  <conditionalFormatting sqref="S13:S15">
    <cfRule type="expression" dxfId="105" priority="29">
      <formula>IF($G$8="",1,0)</formula>
    </cfRule>
  </conditionalFormatting>
  <conditionalFormatting sqref="S13">
    <cfRule type="expression" dxfId="104" priority="26">
      <formula>IF($K$8="JA",1,0)</formula>
    </cfRule>
  </conditionalFormatting>
  <conditionalFormatting sqref="S14">
    <cfRule type="expression" dxfId="103" priority="24">
      <formula>IF($K$8="JA",1,0)</formula>
    </cfRule>
  </conditionalFormatting>
  <conditionalFormatting sqref="S15">
    <cfRule type="expression" dxfId="102" priority="22">
      <formula>IF($K$8="JA",1,0)</formula>
    </cfRule>
  </conditionalFormatting>
  <conditionalFormatting sqref="U13:W13">
    <cfRule type="expression" dxfId="101" priority="18">
      <formula>IF($G$8="NEIN",1,0)</formula>
    </cfRule>
    <cfRule type="expression" dxfId="100" priority="19">
      <formula>IF($G$8="",1,0)</formula>
    </cfRule>
    <cfRule type="expression" dxfId="99" priority="20">
      <formula>IF($K$8="JA",1,0)</formula>
    </cfRule>
  </conditionalFormatting>
  <conditionalFormatting sqref="U11:W13">
    <cfRule type="expression" dxfId="98" priority="17">
      <formula>IF($G$8="",1,0)</formula>
    </cfRule>
  </conditionalFormatting>
  <conditionalFormatting sqref="U11:W13">
    <cfRule type="expression" dxfId="97" priority="16">
      <formula>IF($G$8="NEIN",1,0)</formula>
    </cfRule>
  </conditionalFormatting>
  <conditionalFormatting sqref="U14:V15">
    <cfRule type="expression" dxfId="96" priority="7">
      <formula>IF($G$8="NEIN",1,0)</formula>
    </cfRule>
    <cfRule type="expression" dxfId="95" priority="8">
      <formula>IF($K$8="NEIN",1,0)</formula>
    </cfRule>
    <cfRule type="expression" dxfId="94" priority="9">
      <formula>IF($G$8="",1,0)</formula>
    </cfRule>
    <cfRule type="expression" dxfId="93" priority="10">
      <formula>IF($K$8="",1,0)</formula>
    </cfRule>
  </conditionalFormatting>
  <conditionalFormatting sqref="U14:V15">
    <cfRule type="expression" dxfId="92" priority="6">
      <formula>IF($G$8="",1,0)</formula>
    </cfRule>
  </conditionalFormatting>
  <conditionalFormatting sqref="W14:W15">
    <cfRule type="expression" dxfId="91" priority="2">
      <formula>IF($G$8="NEIN",1,0)</formula>
    </cfRule>
    <cfRule type="expression" dxfId="90" priority="3">
      <formula>IF($K$8="NEIN",1,0)</formula>
    </cfRule>
    <cfRule type="expression" dxfId="89" priority="4">
      <formula>IF($G$8="",1,0)</formula>
    </cfRule>
    <cfRule type="expression" dxfId="88" priority="5">
      <formula>IF($K$8="",1,0)</formula>
    </cfRule>
  </conditionalFormatting>
  <conditionalFormatting sqref="W14:W15">
    <cfRule type="expression" dxfId="87"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27!F13" display="◄"/>
    <hyperlink ref="R1:S1" location="S_29!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D18CC3EF-6BD1-48B5-84B1-FEC0E8E4748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CE8146F6-01CE-4D90-A25B-F7C9EABBC35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529772F1-3CAE-4D39-897B-CEE1295F2949}">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5516701A-0BC1-44AA-A298-8DD89BF383F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5703125" style="10" hidden="1" customWidth="1"/>
    <col min="22" max="22" width="12.140625" style="10" hidden="1" customWidth="1"/>
    <col min="23" max="23" width="17.42578125" style="10" hidden="1" customWidth="1"/>
    <col min="24" max="24" width="13.5703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1389</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Grünland!C33</f>
        <v>-</v>
      </c>
      <c r="D2" s="2626"/>
      <c r="E2" s="2627"/>
      <c r="F2" s="818"/>
      <c r="G2" s="1800" t="s">
        <v>1002</v>
      </c>
      <c r="H2" s="2635">
        <f>Grünland!D33</f>
        <v>0</v>
      </c>
      <c r="I2" s="2636"/>
      <c r="J2" s="818"/>
      <c r="K2" s="1801" t="s">
        <v>863</v>
      </c>
      <c r="L2" s="1800" t="s">
        <v>679</v>
      </c>
      <c r="M2" s="1040">
        <f>Grünland!H33</f>
        <v>0</v>
      </c>
      <c r="N2" s="2616" t="s">
        <v>1049</v>
      </c>
      <c r="O2" s="2617"/>
      <c r="P2" s="2653">
        <f>Grünland!J33</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Grünland!G33</f>
        <v>0</v>
      </c>
      <c r="F3" s="818"/>
      <c r="G3" s="1044" t="s">
        <v>1048</v>
      </c>
      <c r="H3" s="2633">
        <f>Grünland!E33</f>
        <v>0</v>
      </c>
      <c r="I3" s="2634"/>
      <c r="J3" s="818"/>
      <c r="K3" s="818"/>
      <c r="L3" s="1050" t="s">
        <v>1050</v>
      </c>
      <c r="M3" s="2618">
        <f>Grünland!F33</f>
        <v>0</v>
      </c>
      <c r="N3" s="2619"/>
      <c r="O3" s="2619"/>
      <c r="P3" s="2619"/>
      <c r="Q3" s="2620"/>
      <c r="R3" s="1859">
        <f>Grünland!AH33</f>
        <v>0</v>
      </c>
      <c r="S3" s="1859">
        <f>Grünland!AI33</f>
        <v>0</v>
      </c>
      <c r="T3" s="1859"/>
      <c r="U3" s="819"/>
      <c r="V3" s="819"/>
      <c r="W3" s="819"/>
      <c r="X3" s="819"/>
      <c r="Y3" s="819"/>
      <c r="Z3" s="819"/>
      <c r="AA3" s="835"/>
      <c r="AB3" s="1852"/>
      <c r="AC3" s="1852"/>
      <c r="AE3" s="1860">
        <f>Grünland!AP33</f>
        <v>0</v>
      </c>
      <c r="AF3" s="1861">
        <f>Grünland!AQ33</f>
        <v>0</v>
      </c>
      <c r="AG3" s="1862">
        <f>(Grünland!AR33+Grünland!AS33)</f>
        <v>0</v>
      </c>
      <c r="AH3" s="1863">
        <f>Grünland!AT33</f>
        <v>0</v>
      </c>
      <c r="AI3" s="1860">
        <f>Grünland!AU33</f>
        <v>0</v>
      </c>
      <c r="AJ3" s="1860">
        <f>Grünland!AV33</f>
        <v>0</v>
      </c>
      <c r="AK3" s="1860">
        <f>Grünland!AW33</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Grünland!R33</f>
        <v>0</v>
      </c>
      <c r="F6" s="997">
        <f>Grünland!S33</f>
        <v>0</v>
      </c>
      <c r="G6" s="996">
        <f>Grünland!T33</f>
        <v>0</v>
      </c>
      <c r="H6" s="997">
        <f>Grünland!U33</f>
        <v>0</v>
      </c>
      <c r="I6" s="996">
        <f>Grünland!V33</f>
        <v>0</v>
      </c>
      <c r="J6" s="997">
        <f>Grünland!W33</f>
        <v>0</v>
      </c>
      <c r="K6" s="996">
        <f>Grünland!X33</f>
        <v>0</v>
      </c>
      <c r="L6" s="997">
        <f>Grünland!Y33</f>
        <v>0</v>
      </c>
      <c r="M6" s="996">
        <f>Grünland!Z33</f>
        <v>0</v>
      </c>
      <c r="N6" s="997">
        <f>Grünland!AA33</f>
        <v>0</v>
      </c>
      <c r="O6" s="996">
        <f>Grünland!AB33</f>
        <v>0</v>
      </c>
      <c r="P6" s="997">
        <f>Grünland!AC33</f>
        <v>0</v>
      </c>
      <c r="Q6" s="818"/>
      <c r="R6" s="827">
        <f>Grünland!L33</f>
        <v>0</v>
      </c>
      <c r="S6" s="1111">
        <f>Grünland!M33</f>
        <v>0</v>
      </c>
      <c r="T6" s="819"/>
      <c r="U6" s="2637">
        <f>Grünland!AL33</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reduzieren",C13="unverändert"),Grünland!$H$33,S_29!AB13)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Grünland!AH$33</f>
        <v>0</v>
      </c>
      <c r="CO13" s="1882">
        <f>Grünland!AI$33</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reduzieren",C14="unverändert"),Grünland!$H$33,S_29!AB14)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Grünland!AH$33</f>
        <v>0</v>
      </c>
      <c r="CO14" s="1882">
        <f>Grünland!AI$33</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reduzieren",C15="unverändert"),Grünland!$H$33,S_29!AB15)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Grünland!AH$33</f>
        <v>0</v>
      </c>
      <c r="CO15" s="1882">
        <f>Grünland!AI$33</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819"/>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819"/>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819"/>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Summen_GL!F$137</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819"/>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Summen_GL!G$137</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819"/>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Summen_GL!H$137</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819"/>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Summen_GL!I$137</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819"/>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Summen_GL!J$137</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819"/>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Summen_GL!K$137</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819"/>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Summen_GL!L$137</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819"/>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Summen_GL!M$137</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819"/>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Summen_GL!N$137</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819"/>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Summen_GL!O$137</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819"/>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Summen_GL!P$137</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819"/>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Summen_GL!Q$137</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o6kAiwHPpdb8JPopQt1PkPs9EU0yk+YKzGudII/RanXUU/cLPMsjNJLMYxYuTZq26/jc59mFXc/Upy0DWrL01Q==" saltValue="gRJwEXkv4DmKJRrJ4tpGf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86" priority="55" stopIfTrue="1">
      <formula>#REF!="nein"</formula>
    </cfRule>
  </conditionalFormatting>
  <conditionalFormatting sqref="B39">
    <cfRule type="expression" dxfId="85" priority="54">
      <formula>#REF!="nein"</formula>
    </cfRule>
  </conditionalFormatting>
  <conditionalFormatting sqref="B41">
    <cfRule type="expression" dxfId="84" priority="53">
      <formula>$B$13=" "</formula>
    </cfRule>
  </conditionalFormatting>
  <conditionalFormatting sqref="A12:S12 A13:R15">
    <cfRule type="expression" dxfId="83" priority="50">
      <formula>IF($G$8="NEIN",1,0)</formula>
    </cfRule>
  </conditionalFormatting>
  <conditionalFormatting sqref="I8:K8">
    <cfRule type="expression" dxfId="82" priority="49">
      <formula>IF($G$8="NEIN",1,0)</formula>
    </cfRule>
  </conditionalFormatting>
  <conditionalFormatting sqref="B15">
    <cfRule type="expression" dxfId="81" priority="56">
      <formula>($B$13+B14)&lt;$H$2</formula>
    </cfRule>
  </conditionalFormatting>
  <conditionalFormatting sqref="C10">
    <cfRule type="expression" dxfId="80" priority="48">
      <formula>IF($G$8="JA",1,0)</formula>
    </cfRule>
  </conditionalFormatting>
  <conditionalFormatting sqref="A14 A15:R15">
    <cfRule type="expression" dxfId="79" priority="44">
      <formula>IF($K$8="",1,0)</formula>
    </cfRule>
    <cfRule type="expression" dxfId="78" priority="47">
      <formula>IF($K$8="NEIN",1,0)</formula>
    </cfRule>
  </conditionalFormatting>
  <conditionalFormatting sqref="B14:R14">
    <cfRule type="expression" dxfId="77" priority="43">
      <formula>IF($K$8="",1,0)</formula>
    </cfRule>
    <cfRule type="expression" dxfId="76" priority="46">
      <formula>IF($K$8="NEIN",1,0)</formula>
    </cfRule>
  </conditionalFormatting>
  <conditionalFormatting sqref="A10:S12 A13:R15">
    <cfRule type="expression" dxfId="75" priority="45">
      <formula>IF($G$8="",1,0)</formula>
    </cfRule>
  </conditionalFormatting>
  <conditionalFormatting sqref="B13:R13">
    <cfRule type="expression" dxfId="74" priority="42">
      <formula>IF($K$8="JA",1,0)</formula>
    </cfRule>
  </conditionalFormatting>
  <conditionalFormatting sqref="B14">
    <cfRule type="expression" dxfId="73" priority="40">
      <formula>IF($K$8="",1,0)</formula>
    </cfRule>
    <cfRule type="expression" dxfId="72" priority="41">
      <formula>IF($K$8="NEIN",1,0)</formula>
    </cfRule>
  </conditionalFormatting>
  <conditionalFormatting sqref="S14">
    <cfRule type="expression" dxfId="71" priority="34" stopIfTrue="1">
      <formula>#REF!="nein"</formula>
    </cfRule>
  </conditionalFormatting>
  <conditionalFormatting sqref="S15">
    <cfRule type="expression" dxfId="70" priority="33" stopIfTrue="1">
      <formula>#REF!="nein"</formula>
    </cfRule>
  </conditionalFormatting>
  <conditionalFormatting sqref="S13:S15">
    <cfRule type="expression" dxfId="69" priority="32">
      <formula>IF($G$8="NEIN",1,0)</formula>
    </cfRule>
  </conditionalFormatting>
  <conditionalFormatting sqref="S15">
    <cfRule type="expression" dxfId="68" priority="28">
      <formula>IF($K$8="",1,0)</formula>
    </cfRule>
    <cfRule type="expression" dxfId="67" priority="31">
      <formula>IF($K$8="NEIN",1,0)</formula>
    </cfRule>
  </conditionalFormatting>
  <conditionalFormatting sqref="S14">
    <cfRule type="expression" dxfId="66" priority="27">
      <formula>IF($K$8="",1,0)</formula>
    </cfRule>
    <cfRule type="expression" dxfId="65" priority="30">
      <formula>IF($K$8="NEIN",1,0)</formula>
    </cfRule>
  </conditionalFormatting>
  <conditionalFormatting sqref="S13:S15">
    <cfRule type="expression" dxfId="64" priority="29">
      <formula>IF($G$8="",1,0)</formula>
    </cfRule>
  </conditionalFormatting>
  <conditionalFormatting sqref="S13">
    <cfRule type="expression" dxfId="63" priority="26">
      <formula>IF($K$8="JA",1,0)</formula>
    </cfRule>
  </conditionalFormatting>
  <conditionalFormatting sqref="S14">
    <cfRule type="expression" dxfId="62" priority="24">
      <formula>IF($K$8="JA",1,0)</formula>
    </cfRule>
  </conditionalFormatting>
  <conditionalFormatting sqref="S15">
    <cfRule type="expression" dxfId="61" priority="22">
      <formula>IF($K$8="JA",1,0)</formula>
    </cfRule>
  </conditionalFormatting>
  <conditionalFormatting sqref="U13:W13">
    <cfRule type="expression" dxfId="60" priority="18">
      <formula>IF($G$8="NEIN",1,0)</formula>
    </cfRule>
    <cfRule type="expression" dxfId="59" priority="19">
      <formula>IF($G$8="",1,0)</formula>
    </cfRule>
    <cfRule type="expression" dxfId="58" priority="20">
      <formula>IF($K$8="JA",1,0)</formula>
    </cfRule>
  </conditionalFormatting>
  <conditionalFormatting sqref="U11:W13">
    <cfRule type="expression" dxfId="57" priority="17">
      <formula>IF($G$8="",1,0)</formula>
    </cfRule>
  </conditionalFormatting>
  <conditionalFormatting sqref="U11:W13">
    <cfRule type="expression" dxfId="56" priority="16">
      <formula>IF($G$8="NEIN",1,0)</formula>
    </cfRule>
  </conditionalFormatting>
  <conditionalFormatting sqref="U14:V15">
    <cfRule type="expression" dxfId="55" priority="7">
      <formula>IF($G$8="NEIN",1,0)</formula>
    </cfRule>
    <cfRule type="expression" dxfId="54" priority="8">
      <formula>IF($K$8="NEIN",1,0)</formula>
    </cfRule>
    <cfRule type="expression" dxfId="53" priority="9">
      <formula>IF($G$8="",1,0)</formula>
    </cfRule>
    <cfRule type="expression" dxfId="52" priority="10">
      <formula>IF($K$8="",1,0)</formula>
    </cfRule>
  </conditionalFormatting>
  <conditionalFormatting sqref="U14:V15">
    <cfRule type="expression" dxfId="51" priority="6">
      <formula>IF($G$8="",1,0)</formula>
    </cfRule>
  </conditionalFormatting>
  <conditionalFormatting sqref="W14:W15">
    <cfRule type="expression" dxfId="50" priority="2">
      <formula>IF($G$8="NEIN",1,0)</formula>
    </cfRule>
    <cfRule type="expression" dxfId="49" priority="3">
      <formula>IF($K$8="NEIN",1,0)</formula>
    </cfRule>
    <cfRule type="expression" dxfId="48" priority="4">
      <formula>IF($G$8="",1,0)</formula>
    </cfRule>
    <cfRule type="expression" dxfId="47" priority="5">
      <formula>IF($K$8="",1,0)</formula>
    </cfRule>
  </conditionalFormatting>
  <conditionalFormatting sqref="W14:W15">
    <cfRule type="expression" dxfId="46"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28!F13" display="◄"/>
    <hyperlink ref="R1:S1" location="S_30!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B56D2261-9EC8-478F-959E-DD26526259A5}">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C0512E64-52AB-475D-A56B-F65689E1B775}">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71B1AA8B-7B11-4F86-B008-63FC6A131BA7}">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BD1D6B3E-537A-463D-8BB1-3E484BAAC983}">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V102"/>
  <sheetViews>
    <sheetView zoomScale="90" zoomScaleNormal="90" workbookViewId="0">
      <selection activeCell="H3" sqref="H3:I3"/>
    </sheetView>
  </sheetViews>
  <sheetFormatPr baseColWidth="10" defaultColWidth="12.7109375" defaultRowHeight="12.75"/>
  <cols>
    <col min="1" max="1" width="12.5703125" style="10" customWidth="1"/>
    <col min="2" max="2" width="6.7109375" style="10" customWidth="1"/>
    <col min="3" max="3" width="21.140625" style="10" customWidth="1"/>
    <col min="4" max="4" width="21" style="10" customWidth="1"/>
    <col min="5" max="5" width="16.42578125" style="10" customWidth="1"/>
    <col min="6" max="6" width="9.28515625" style="10" customWidth="1"/>
    <col min="7" max="7" width="15" style="10" customWidth="1"/>
    <col min="8" max="8" width="9.28515625" style="10" customWidth="1"/>
    <col min="9" max="9" width="15" style="10" customWidth="1"/>
    <col min="10" max="10" width="9.28515625" style="10" customWidth="1"/>
    <col min="11" max="11" width="15" style="10" customWidth="1"/>
    <col min="12" max="12" width="9.28515625" style="10" customWidth="1"/>
    <col min="13" max="13" width="15" style="10" customWidth="1"/>
    <col min="14" max="14" width="9.28515625" style="10" customWidth="1"/>
    <col min="15" max="15" width="15" style="10" customWidth="1"/>
    <col min="16" max="16" width="9.28515625" style="10" customWidth="1"/>
    <col min="17" max="17" width="11.85546875" style="10" customWidth="1"/>
    <col min="18" max="18" width="8.85546875" style="10" customWidth="1"/>
    <col min="19" max="19" width="8" style="10" customWidth="1"/>
    <col min="20" max="20" width="3.85546875" style="10" customWidth="1"/>
    <col min="21" max="21" width="6.5703125" style="10" hidden="1" customWidth="1"/>
    <col min="22" max="22" width="12" style="10" hidden="1" customWidth="1"/>
    <col min="23" max="23" width="17.42578125" style="10" hidden="1" customWidth="1"/>
    <col min="24" max="24" width="13.42578125" style="10" customWidth="1"/>
    <col min="25" max="26" width="17.7109375" style="10" customWidth="1"/>
    <col min="27" max="27" width="7.42578125" style="10" customWidth="1"/>
    <col min="28" max="28" width="14.28515625" style="10" hidden="1" customWidth="1"/>
    <col min="29" max="29" width="23.7109375" style="10" hidden="1" customWidth="1"/>
    <col min="30" max="30" width="6" style="10" hidden="1" customWidth="1"/>
    <col min="31" max="31" width="12.85546875" style="10" hidden="1" customWidth="1"/>
    <col min="32" max="41" width="12.5703125" style="10" hidden="1" customWidth="1"/>
    <col min="42" max="45" width="8.42578125" style="10" hidden="1" customWidth="1"/>
    <col min="46" max="46" width="6.5703125" style="10" hidden="1" customWidth="1"/>
    <col min="47" max="52" width="10" style="10" hidden="1" customWidth="1"/>
    <col min="53" max="53" width="6" style="10" hidden="1" customWidth="1"/>
    <col min="54" max="59" width="9" style="10" hidden="1" customWidth="1"/>
    <col min="60" max="60" width="5" style="10" hidden="1" customWidth="1"/>
    <col min="61" max="63" width="9" style="10" hidden="1" customWidth="1"/>
    <col min="64" max="64" width="16.28515625" style="10" hidden="1" customWidth="1"/>
    <col min="65" max="73" width="7.5703125" style="10" hidden="1" customWidth="1"/>
    <col min="74" max="81" width="12.7109375" style="10" hidden="1" customWidth="1"/>
    <col min="82" max="82" width="13.7109375" style="10" hidden="1" customWidth="1"/>
    <col min="83" max="83" width="28.140625" style="10" hidden="1" customWidth="1"/>
    <col min="84" max="84" width="10.85546875" style="10" hidden="1" customWidth="1"/>
    <col min="85" max="86" width="9.85546875" style="10" hidden="1" customWidth="1"/>
    <col min="87" max="87" width="10.28515625" style="10" hidden="1" customWidth="1"/>
    <col min="88" max="88" width="13.7109375" style="10" hidden="1" customWidth="1"/>
    <col min="89" max="89" width="1.42578125" style="10" hidden="1" customWidth="1"/>
    <col min="90" max="90" width="38.28515625" style="10" hidden="1" customWidth="1"/>
    <col min="91" max="91" width="10.28515625" style="10" hidden="1" customWidth="1"/>
    <col min="92" max="92" width="8.85546875" style="10" hidden="1" customWidth="1"/>
    <col min="93" max="93" width="10.28515625" style="10" hidden="1" customWidth="1"/>
    <col min="94" max="94" width="9.140625" style="10" hidden="1" customWidth="1"/>
    <col min="95" max="95" width="8.140625" style="10" hidden="1" customWidth="1"/>
    <col min="96" max="96" width="7.7109375" style="10" hidden="1" customWidth="1"/>
    <col min="97" max="97" width="8.85546875" style="10" hidden="1" customWidth="1"/>
    <col min="98" max="108" width="11.5703125" style="10" hidden="1" customWidth="1"/>
    <col min="109" max="256" width="12.7109375" style="10" hidden="1" customWidth="1"/>
    <col min="257" max="257" width="0" style="10" hidden="1" customWidth="1"/>
    <col min="258" max="16384" width="12.7109375" style="10"/>
  </cols>
  <sheetData>
    <row r="1" spans="1:256" s="760" customFormat="1" ht="26.25" customHeight="1" thickBot="1">
      <c r="A1" s="1805" t="s">
        <v>1390</v>
      </c>
      <c r="B1" s="1850"/>
      <c r="C1" s="1850"/>
      <c r="D1" s="1850"/>
      <c r="E1" s="1850"/>
      <c r="F1" s="1850"/>
      <c r="G1" s="1850"/>
      <c r="H1" s="1850"/>
      <c r="I1" s="1850"/>
      <c r="J1" s="1850"/>
      <c r="K1" s="1850"/>
      <c r="L1" s="1850"/>
      <c r="M1" s="1850"/>
      <c r="N1" s="1850"/>
      <c r="O1" s="1850"/>
      <c r="P1" s="1850"/>
      <c r="Q1" s="1791" t="s">
        <v>0</v>
      </c>
      <c r="R1" s="2452" t="s">
        <v>1</v>
      </c>
      <c r="S1" s="2454"/>
      <c r="T1" s="1850"/>
      <c r="U1" s="1850"/>
      <c r="V1" s="1850"/>
      <c r="W1" s="1850"/>
      <c r="X1" s="1849" t="s">
        <v>1440</v>
      </c>
      <c r="Y1" s="1850"/>
      <c r="Z1" s="1850"/>
      <c r="AA1" s="1851"/>
      <c r="AB1" s="1852"/>
      <c r="AC1" s="1852"/>
      <c r="AE1" s="1853" t="s">
        <v>1041</v>
      </c>
      <c r="AF1" s="10"/>
      <c r="AG1" s="10"/>
      <c r="AH1" s="10"/>
      <c r="AI1" s="10"/>
      <c r="AJ1" s="10"/>
      <c r="AK1" s="10"/>
      <c r="AL1" s="10"/>
      <c r="AM1" s="10"/>
      <c r="BK1" s="819"/>
      <c r="BL1" s="819"/>
      <c r="BN1" s="1854"/>
      <c r="BO1" s="1854"/>
      <c r="BP1" s="1854"/>
      <c r="BQ1" s="1854"/>
      <c r="BR1" s="1854"/>
      <c r="BS1" s="1854"/>
      <c r="BT1" s="1854"/>
      <c r="BU1" s="1854"/>
      <c r="BV1" s="1854"/>
      <c r="BW1" s="1854"/>
      <c r="BX1" s="1854"/>
      <c r="BY1" s="1854"/>
      <c r="BZ1" s="1854"/>
      <c r="CA1" s="1854"/>
      <c r="CB1" s="1854"/>
    </row>
    <row r="2" spans="1:256" s="760" customFormat="1" ht="19.5" customHeight="1">
      <c r="A2" s="818"/>
      <c r="B2" s="1043"/>
      <c r="C2" s="2654" t="str">
        <f>Grünland!C34</f>
        <v>-</v>
      </c>
      <c r="D2" s="2626"/>
      <c r="E2" s="2627"/>
      <c r="F2" s="818"/>
      <c r="G2" s="1800" t="s">
        <v>1002</v>
      </c>
      <c r="H2" s="2635">
        <f>Grünland!D34</f>
        <v>0</v>
      </c>
      <c r="I2" s="2636"/>
      <c r="J2" s="818"/>
      <c r="K2" s="1801" t="s">
        <v>863</v>
      </c>
      <c r="L2" s="1800" t="s">
        <v>679</v>
      </c>
      <c r="M2" s="1040">
        <f>Grünland!H34</f>
        <v>0</v>
      </c>
      <c r="N2" s="2616" t="s">
        <v>1049</v>
      </c>
      <c r="O2" s="2617"/>
      <c r="P2" s="2653">
        <f>Grünland!J34</f>
        <v>0</v>
      </c>
      <c r="Q2" s="2653"/>
      <c r="R2" s="828" t="s">
        <v>1251</v>
      </c>
      <c r="S2" s="819"/>
      <c r="T2" s="819"/>
      <c r="U2" s="819"/>
      <c r="V2" s="819"/>
      <c r="W2" s="819"/>
      <c r="X2" s="819"/>
      <c r="Y2" s="819"/>
      <c r="Z2" s="819"/>
      <c r="AA2" s="835"/>
      <c r="AB2" s="1852"/>
      <c r="AC2" s="1852"/>
      <c r="AE2" s="1855" t="s">
        <v>1014</v>
      </c>
      <c r="AF2" s="1856" t="s">
        <v>1015</v>
      </c>
      <c r="AG2" s="1857" t="s">
        <v>1016</v>
      </c>
      <c r="AH2" s="1858" t="s">
        <v>1017</v>
      </c>
      <c r="AI2" s="1855" t="s">
        <v>1018</v>
      </c>
      <c r="AJ2" s="1855" t="s">
        <v>1019</v>
      </c>
      <c r="AK2" s="1855" t="s">
        <v>1033</v>
      </c>
      <c r="AL2" s="1855" t="s">
        <v>1258</v>
      </c>
      <c r="AM2" s="1855" t="s">
        <v>1259</v>
      </c>
      <c r="AO2" s="10"/>
      <c r="BK2" s="819"/>
      <c r="BL2" s="819"/>
      <c r="BN2" s="1854"/>
      <c r="BO2" s="1854"/>
      <c r="BP2" s="1854"/>
      <c r="BQ2" s="1854"/>
      <c r="BR2" s="1854"/>
      <c r="BS2" s="1854"/>
      <c r="BT2" s="1854"/>
      <c r="BU2" s="1854"/>
      <c r="BV2" s="1854"/>
      <c r="BW2" s="1854"/>
      <c r="BX2" s="1854"/>
      <c r="BY2" s="1854"/>
      <c r="BZ2" s="1854"/>
      <c r="CA2" s="1854"/>
      <c r="CB2" s="1854"/>
    </row>
    <row r="3" spans="1:256" s="760" customFormat="1" ht="19.5" customHeight="1" thickBot="1">
      <c r="A3" s="818"/>
      <c r="B3" s="818"/>
      <c r="C3" s="2628" t="s">
        <v>862</v>
      </c>
      <c r="D3" s="2628"/>
      <c r="E3" s="1051">
        <f>Grünland!G34</f>
        <v>0</v>
      </c>
      <c r="F3" s="818"/>
      <c r="G3" s="1044" t="s">
        <v>1048</v>
      </c>
      <c r="H3" s="2633">
        <f>Grünland!E34</f>
        <v>0</v>
      </c>
      <c r="I3" s="2634"/>
      <c r="J3" s="818"/>
      <c r="K3" s="818"/>
      <c r="L3" s="1050" t="s">
        <v>1050</v>
      </c>
      <c r="M3" s="2618">
        <f>Grünland!F34</f>
        <v>0</v>
      </c>
      <c r="N3" s="2619"/>
      <c r="O3" s="2619"/>
      <c r="P3" s="2619"/>
      <c r="Q3" s="2620"/>
      <c r="R3" s="1859">
        <f>Grünland!AH34</f>
        <v>0</v>
      </c>
      <c r="S3" s="1859">
        <f>Grünland!AI34</f>
        <v>0</v>
      </c>
      <c r="T3" s="1859"/>
      <c r="U3" s="819"/>
      <c r="V3" s="819"/>
      <c r="W3" s="819"/>
      <c r="X3" s="819"/>
      <c r="Y3" s="819"/>
      <c r="Z3" s="819"/>
      <c r="AA3" s="835"/>
      <c r="AB3" s="1852"/>
      <c r="AC3" s="1852"/>
      <c r="AE3" s="1860">
        <f>Grünland!AP34</f>
        <v>0</v>
      </c>
      <c r="AF3" s="1861">
        <f>Grünland!AQ34</f>
        <v>0</v>
      </c>
      <c r="AG3" s="1862">
        <f>(Grünland!AR34+Grünland!AS34)</f>
        <v>0</v>
      </c>
      <c r="AH3" s="1863">
        <f>Grünland!AT34</f>
        <v>0</v>
      </c>
      <c r="AI3" s="1860">
        <f>Grünland!AU34</f>
        <v>0</v>
      </c>
      <c r="AJ3" s="1860">
        <f>Grünland!AV34</f>
        <v>0</v>
      </c>
      <c r="AK3" s="1860">
        <f>Grünland!AW34</f>
        <v>0</v>
      </c>
      <c r="AL3" s="1860">
        <v>0</v>
      </c>
      <c r="AM3" s="1860">
        <v>0</v>
      </c>
      <c r="BK3" s="819"/>
      <c r="BL3" s="819"/>
      <c r="BN3" s="1854"/>
      <c r="BO3" s="1854"/>
      <c r="BP3" s="1854"/>
      <c r="BQ3" s="1854"/>
      <c r="BR3" s="1854"/>
      <c r="BS3" s="1854"/>
      <c r="BT3" s="1854"/>
      <c r="BU3" s="1854"/>
      <c r="BV3" s="1854"/>
      <c r="BW3" s="1854"/>
      <c r="BX3" s="1854"/>
      <c r="BY3" s="1854"/>
      <c r="BZ3" s="1854"/>
      <c r="CA3" s="1854"/>
      <c r="CB3" s="1854"/>
    </row>
    <row r="4" spans="1:256" s="760" customFormat="1" ht="19.5" customHeight="1">
      <c r="A4" s="818"/>
      <c r="B4" s="818"/>
      <c r="C4" s="818"/>
      <c r="D4" s="818"/>
      <c r="E4" s="818"/>
      <c r="F4" s="818"/>
      <c r="G4" s="818"/>
      <c r="H4" s="818"/>
      <c r="I4" s="818"/>
      <c r="J4" s="818"/>
      <c r="K4" s="818"/>
      <c r="L4" s="818"/>
      <c r="M4" s="818"/>
      <c r="N4" s="818"/>
      <c r="O4" s="818"/>
      <c r="P4" s="818"/>
      <c r="Q4" s="818"/>
      <c r="R4" s="818"/>
      <c r="S4" s="819"/>
      <c r="T4" s="819"/>
      <c r="U4" s="2613" t="s">
        <v>1392</v>
      </c>
      <c r="V4" s="2613"/>
      <c r="W4" s="819"/>
      <c r="X4" s="819"/>
      <c r="Y4" s="819"/>
      <c r="Z4" s="819"/>
      <c r="AA4" s="835"/>
      <c r="AB4" s="1852"/>
      <c r="AC4" s="1852"/>
      <c r="AE4" s="1864" t="s">
        <v>1043</v>
      </c>
      <c r="BK4" s="819"/>
      <c r="BL4" s="819"/>
      <c r="BN4" s="1854"/>
      <c r="BO4" s="1854"/>
      <c r="BP4" s="1854"/>
      <c r="BQ4" s="1854"/>
      <c r="BR4" s="1854"/>
      <c r="BS4" s="1854"/>
      <c r="BT4" s="1854"/>
      <c r="BU4" s="1854"/>
      <c r="BV4" s="1854"/>
      <c r="BW4" s="1854"/>
      <c r="BX4" s="1854"/>
      <c r="BY4" s="1854"/>
      <c r="BZ4" s="1854"/>
      <c r="CA4" s="1854"/>
      <c r="CB4" s="1854"/>
    </row>
    <row r="5" spans="1:256" s="760" customFormat="1" ht="19.5" customHeight="1">
      <c r="A5" s="818"/>
      <c r="B5" s="818"/>
      <c r="C5" s="2621" t="s">
        <v>1164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613"/>
      <c r="V5" s="2613"/>
      <c r="W5" s="819"/>
      <c r="X5" s="819"/>
      <c r="Y5" s="819"/>
      <c r="Z5" s="819"/>
      <c r="AA5" s="835"/>
      <c r="AB5" s="1852"/>
      <c r="AC5" s="1852"/>
      <c r="AE5" s="1860">
        <f>IF($D13=1,$B13,0)</f>
        <v>0</v>
      </c>
      <c r="AF5" s="1860">
        <f>IF($D13=2,$B13,0)</f>
        <v>0</v>
      </c>
      <c r="AG5" s="1860">
        <f>IF($D13=3,$B13,0)</f>
        <v>0</v>
      </c>
      <c r="AH5" s="1860">
        <f>IF($D13=4,$B13,0)</f>
        <v>0</v>
      </c>
      <c r="AI5" s="1860">
        <f>IF($D13=5,$B13,0)</f>
        <v>0</v>
      </c>
      <c r="AJ5" s="1860">
        <f>IF($D13=6,$B13,0)</f>
        <v>0</v>
      </c>
      <c r="AK5" s="1860"/>
      <c r="AL5" s="1860" t="str">
        <f>IF($C13="Dauerweidenutzung beenden",B13,"")</f>
        <v/>
      </c>
      <c r="AM5" s="1860">
        <f>IF($C13="als Dauerweide führen",B13,0)</f>
        <v>0</v>
      </c>
      <c r="AO5" s="1865"/>
      <c r="BK5" s="819"/>
      <c r="BL5" s="819"/>
      <c r="BN5" s="1854"/>
      <c r="BO5" s="1854"/>
      <c r="BP5" s="1854"/>
      <c r="BQ5" s="1854"/>
      <c r="BR5" s="1854"/>
      <c r="BS5" s="1854"/>
      <c r="BT5" s="1854"/>
      <c r="BU5" s="1854"/>
      <c r="BV5" s="1854"/>
      <c r="BW5" s="1854"/>
      <c r="BX5" s="1854"/>
      <c r="BY5" s="1854"/>
      <c r="BZ5" s="1854"/>
      <c r="CA5" s="1854"/>
      <c r="CB5" s="1854"/>
    </row>
    <row r="6" spans="1:256" s="760" customFormat="1" ht="19.5" customHeight="1">
      <c r="A6" s="818"/>
      <c r="B6" s="818"/>
      <c r="C6" s="2623"/>
      <c r="D6" s="2624"/>
      <c r="E6" s="996">
        <f>Grünland!R34</f>
        <v>0</v>
      </c>
      <c r="F6" s="997">
        <f>Grünland!S34</f>
        <v>0</v>
      </c>
      <c r="G6" s="996">
        <f>Grünland!T34</f>
        <v>0</v>
      </c>
      <c r="H6" s="997">
        <f>Grünland!U34</f>
        <v>0</v>
      </c>
      <c r="I6" s="996">
        <f>Grünland!V34</f>
        <v>0</v>
      </c>
      <c r="J6" s="997">
        <f>Grünland!W34</f>
        <v>0</v>
      </c>
      <c r="K6" s="996">
        <f>Grünland!X34</f>
        <v>0</v>
      </c>
      <c r="L6" s="997">
        <f>Grünland!Y34</f>
        <v>0</v>
      </c>
      <c r="M6" s="996">
        <f>Grünland!Z34</f>
        <v>0</v>
      </c>
      <c r="N6" s="997">
        <f>Grünland!AA34</f>
        <v>0</v>
      </c>
      <c r="O6" s="996">
        <f>Grünland!AB34</f>
        <v>0</v>
      </c>
      <c r="P6" s="997">
        <f>Grünland!AC34</f>
        <v>0</v>
      </c>
      <c r="Q6" s="818"/>
      <c r="R6" s="827">
        <f>Grünland!L34</f>
        <v>0</v>
      </c>
      <c r="S6" s="1111">
        <f>Grünland!M34</f>
        <v>0</v>
      </c>
      <c r="T6" s="819"/>
      <c r="U6" s="2637">
        <f>Grünland!AL34</f>
        <v>0</v>
      </c>
      <c r="V6" s="2637"/>
      <c r="W6" s="819"/>
      <c r="X6" s="819"/>
      <c r="Y6" s="819"/>
      <c r="Z6" s="819"/>
      <c r="AA6" s="835"/>
      <c r="AB6" s="1852"/>
      <c r="AC6" s="1852"/>
      <c r="AE6" s="1860">
        <f>IF(OR(AND($H$3="Grünland 1 Nutzung",$C14="unverändert"),$D14=1),$B14,0)</f>
        <v>0</v>
      </c>
      <c r="AF6" s="1860">
        <f>IF(OR(AND($H$3="Grünland  2 Nutzungen",$C14="unverändert"),$D14=2),$B14,0)</f>
        <v>0</v>
      </c>
      <c r="AG6" s="1860">
        <f>IF(OR(AND(OR($H$3="GL kleebetont 3 Nutz.",$H3="GL gräserbetont 3 Nutz."),$C14="unverändert"),$D14=3),$B14,0)</f>
        <v>0</v>
      </c>
      <c r="AH6" s="1860">
        <f>IF(OR(AND($H$3="GL 4 Nutzungen",$C14="unverändert"),$D14=4),$B14,0)</f>
        <v>0</v>
      </c>
      <c r="AI6" s="1860">
        <f>IF(OR(AND($H$3="GL 5 Nutzungen",$C14="unverändert"),$D14=5),$B14,0)</f>
        <v>0</v>
      </c>
      <c r="AJ6" s="1860">
        <f>IF(OR(AND($H$3="GL 6 Nutzungen",$C14="unverändert"),$D14=6),$B14,0)</f>
        <v>0</v>
      </c>
      <c r="AK6" s="1860"/>
      <c r="AL6" s="1860" t="str">
        <f>IF($C14="Dauerweidenutzung beenden",B14,"")</f>
        <v/>
      </c>
      <c r="AM6" s="1860" t="str">
        <f>IF($C14="als Dauerweide führen",B14,"")</f>
        <v/>
      </c>
      <c r="BK6" s="819"/>
      <c r="BL6" s="819"/>
      <c r="BN6" s="1854"/>
      <c r="BO6" s="1854"/>
      <c r="BP6" s="1854"/>
      <c r="BQ6" s="1854"/>
      <c r="BR6" s="1854"/>
      <c r="BS6" s="1854"/>
      <c r="BT6" s="1854"/>
      <c r="BU6" s="1854"/>
      <c r="BV6" s="1854"/>
      <c r="BW6" s="1854"/>
      <c r="BX6" s="1854"/>
      <c r="BY6" s="1854"/>
      <c r="BZ6" s="1854"/>
      <c r="CA6" s="1854"/>
      <c r="CB6" s="1854"/>
    </row>
    <row r="7" spans="1:256" s="760" customFormat="1" ht="19.5" customHeight="1" thickBot="1">
      <c r="A7" s="818"/>
      <c r="B7" s="818"/>
      <c r="C7" s="818"/>
      <c r="D7" s="818"/>
      <c r="E7" s="818"/>
      <c r="F7" s="818"/>
      <c r="G7" s="818"/>
      <c r="H7" s="818"/>
      <c r="I7" s="818"/>
      <c r="J7" s="818"/>
      <c r="K7" s="818"/>
      <c r="L7" s="818"/>
      <c r="M7" s="818"/>
      <c r="N7" s="818"/>
      <c r="O7" s="818"/>
      <c r="P7" s="818"/>
      <c r="Q7" s="818"/>
      <c r="R7" s="818"/>
      <c r="S7" s="819"/>
      <c r="T7" s="819"/>
      <c r="U7" s="819"/>
      <c r="V7" s="819"/>
      <c r="W7" s="819"/>
      <c r="X7" s="819"/>
      <c r="Y7" s="819"/>
      <c r="Z7" s="819"/>
      <c r="AA7" s="835"/>
      <c r="AB7" s="1852"/>
      <c r="AC7" s="1852"/>
      <c r="AE7" s="1860">
        <f>IF(OR(AND($H$3="Grünland 1 Nutzung",$C15="unverändert"),$D15=1),$B15,0)</f>
        <v>0</v>
      </c>
      <c r="AF7" s="1860">
        <f>IF(OR(AND($H$3="Grünland  2 Nutzungen",$C15="unverändert"),$D15=2),$B15,0)</f>
        <v>0</v>
      </c>
      <c r="AG7" s="1860">
        <f>IF(OR(AND(OR($H$3="GL kleebetont 3 Nutz.",$H4="GL gräserbetont 3 Nutz."),$C15="unverändert"),$D15=3),$B15,0)</f>
        <v>0</v>
      </c>
      <c r="AH7" s="1860">
        <f>IF(OR(AND($H$3="GL 4 Nutzungen",$C15="unverändert"),$D15=4),$B15,0)</f>
        <v>0</v>
      </c>
      <c r="AI7" s="1860">
        <f>IF(OR(AND($H$3="GL 5 Nutzungen",$C15="unverändert"),$D15=5),$B15,0)</f>
        <v>0</v>
      </c>
      <c r="AJ7" s="1860">
        <f>IF(OR(AND($H$3="GL 6 Nutzungen",$C15="unverändert"),$D15=6),$B15,0)</f>
        <v>0</v>
      </c>
      <c r="AK7" s="1860"/>
      <c r="AL7" s="1860" t="str">
        <f>IF($C15="Dauerweidenutzung beenden",B15,"")</f>
        <v/>
      </c>
      <c r="AM7" s="1860" t="str">
        <f>IF($C15="als Dauerweide führen",B15,"")</f>
        <v/>
      </c>
      <c r="BK7" s="819"/>
      <c r="BL7" s="819"/>
      <c r="BN7" s="1854"/>
      <c r="BO7" s="1854"/>
      <c r="BP7" s="1854"/>
      <c r="BQ7" s="1854"/>
      <c r="BR7" s="1854"/>
      <c r="BS7" s="1854"/>
      <c r="BT7" s="1854"/>
      <c r="BU7" s="1854"/>
      <c r="BV7" s="1854"/>
      <c r="BW7" s="1854"/>
      <c r="BX7" s="1854"/>
      <c r="BY7" s="1854"/>
      <c r="BZ7" s="1854"/>
      <c r="CA7" s="1854"/>
      <c r="CB7" s="1854"/>
    </row>
    <row r="8" spans="1:256" s="760" customFormat="1" ht="19.5" customHeight="1" thickBot="1">
      <c r="A8" s="818"/>
      <c r="B8" s="818"/>
      <c r="C8" s="1045" t="s">
        <v>1165</v>
      </c>
      <c r="D8" s="828"/>
      <c r="E8" s="829"/>
      <c r="F8" s="818"/>
      <c r="G8" s="830"/>
      <c r="H8" s="818"/>
      <c r="I8" s="2646" t="s">
        <v>872</v>
      </c>
      <c r="J8" s="2646"/>
      <c r="K8" s="830"/>
      <c r="L8" s="818"/>
      <c r="M8" s="818"/>
      <c r="N8" s="818"/>
      <c r="O8" s="818"/>
      <c r="P8" s="818"/>
      <c r="Q8" s="818"/>
      <c r="R8" s="818"/>
      <c r="S8" s="819"/>
      <c r="T8" s="819"/>
      <c r="U8" s="819"/>
      <c r="V8" s="819"/>
      <c r="W8" s="819"/>
      <c r="X8" s="819"/>
      <c r="Y8" s="819"/>
      <c r="Z8" s="819"/>
      <c r="AA8" s="835"/>
      <c r="AB8" s="1852"/>
      <c r="AC8" s="1852"/>
      <c r="AE8" s="1867">
        <f>SUM(AE5:AE7)</f>
        <v>0</v>
      </c>
      <c r="AF8" s="1867">
        <f t="shared" ref="AF8:AG8" si="0">SUM(AF5:AF7)</f>
        <v>0</v>
      </c>
      <c r="AG8" s="1867">
        <f t="shared" si="0"/>
        <v>0</v>
      </c>
      <c r="AH8" s="1867">
        <f>SUM(AH5:AH7)</f>
        <v>0</v>
      </c>
      <c r="AI8" s="1867">
        <f>SUM(AI5:AI7)</f>
        <v>0</v>
      </c>
      <c r="AJ8" s="1867">
        <f>SUM(AJ5:AJ7)</f>
        <v>0</v>
      </c>
      <c r="AL8" s="1867">
        <f>SUM(AL5:AL7)</f>
        <v>0</v>
      </c>
      <c r="AM8" s="1867">
        <f>SUM(AM5:AM7)</f>
        <v>0</v>
      </c>
      <c r="BK8" s="819"/>
      <c r="BL8" s="819"/>
      <c r="BN8" s="1854"/>
      <c r="BO8" s="1854"/>
      <c r="BP8" s="1854"/>
      <c r="BQ8" s="1854"/>
      <c r="BR8" s="1854"/>
      <c r="BS8" s="1854"/>
      <c r="BT8" s="1854"/>
      <c r="BU8" s="1854"/>
      <c r="BV8" s="1854"/>
      <c r="BW8" s="1854"/>
      <c r="BX8" s="1854"/>
      <c r="BY8" s="1854"/>
      <c r="BZ8" s="1854"/>
      <c r="CA8" s="1854"/>
      <c r="CB8" s="1854"/>
    </row>
    <row r="9" spans="1:256" s="760" customFormat="1" ht="19.5" customHeight="1">
      <c r="A9" s="819"/>
      <c r="B9" s="819"/>
      <c r="C9" s="819"/>
      <c r="D9" s="1113"/>
      <c r="E9" s="819"/>
      <c r="F9" s="819"/>
      <c r="G9" s="819"/>
      <c r="H9" s="831"/>
      <c r="I9" s="819"/>
      <c r="J9" s="819"/>
      <c r="K9" s="819"/>
      <c r="L9" s="819"/>
      <c r="M9" s="819"/>
      <c r="N9" s="819"/>
      <c r="O9" s="819"/>
      <c r="P9" s="819"/>
      <c r="Q9" s="818"/>
      <c r="R9" s="819"/>
      <c r="S9" s="819"/>
      <c r="T9" s="819"/>
      <c r="U9" s="819"/>
      <c r="V9" s="819"/>
      <c r="W9" s="819"/>
      <c r="X9" s="819"/>
      <c r="Y9" s="819"/>
      <c r="Z9" s="819"/>
      <c r="AA9" s="835"/>
      <c r="AB9" s="1852"/>
      <c r="AC9" s="1852"/>
      <c r="BK9" s="819"/>
      <c r="BL9" s="819"/>
      <c r="BN9" s="1854"/>
      <c r="BO9" s="1854"/>
      <c r="BP9" s="1854"/>
      <c r="BQ9" s="1854"/>
      <c r="BR9" s="1854"/>
      <c r="BS9" s="1854"/>
      <c r="BT9" s="1854"/>
      <c r="BU9" s="1854"/>
      <c r="BV9" s="1854"/>
      <c r="BW9" s="1854"/>
      <c r="BX9" s="1854"/>
      <c r="BY9" s="1854"/>
      <c r="BZ9" s="1854"/>
      <c r="CA9" s="1854"/>
      <c r="CB9" s="1854"/>
      <c r="CM9" s="1868"/>
      <c r="CN9" s="1869" t="s">
        <v>1251</v>
      </c>
      <c r="CO9" s="1870"/>
      <c r="CP9" s="1871" t="s">
        <v>1269</v>
      </c>
      <c r="CQ9" s="1872"/>
      <c r="CR9" s="1872"/>
      <c r="CS9" s="1872"/>
      <c r="CT9" s="1872"/>
      <c r="CU9" s="1872"/>
      <c r="CV9" s="1872"/>
      <c r="CW9" s="1872"/>
      <c r="CX9" s="1872"/>
      <c r="CY9" s="1872"/>
      <c r="CZ9" s="1872"/>
      <c r="DA9" s="1873"/>
      <c r="DB9" s="10"/>
      <c r="DC9" s="10"/>
      <c r="DD9" s="10"/>
      <c r="DE9" s="1874"/>
      <c r="DF9" s="1874"/>
      <c r="DG9" s="1874"/>
      <c r="DH9" s="1874"/>
      <c r="DI9" s="1874"/>
      <c r="DJ9" s="1874"/>
      <c r="DK9" s="10"/>
      <c r="DL9" s="10"/>
      <c r="DM9" s="10"/>
      <c r="DN9" s="10"/>
      <c r="DO9" s="10"/>
      <c r="DP9" s="10"/>
      <c r="DQ9" s="10"/>
      <c r="DR9" s="10"/>
      <c r="DS9" s="10"/>
      <c r="DT9" s="10"/>
      <c r="DU9" s="10"/>
      <c r="DV9" s="10"/>
      <c r="DW9" s="10"/>
      <c r="DX9" s="10"/>
      <c r="DY9" s="10"/>
      <c r="DZ9" s="10"/>
      <c r="EA9" s="10"/>
      <c r="EB9" s="10"/>
      <c r="EC9" s="10"/>
      <c r="ED9" s="10"/>
      <c r="EE9" s="10"/>
      <c r="EF9" s="10"/>
      <c r="EG9" s="10"/>
      <c r="EH9" s="10"/>
      <c r="EI9" s="1875"/>
      <c r="EJ9" s="10"/>
      <c r="EK9" s="10"/>
      <c r="EL9" s="10"/>
      <c r="EM9" s="10"/>
      <c r="EN9" s="10"/>
      <c r="EO9" s="10"/>
      <c r="EP9" s="10"/>
      <c r="EQ9" s="10"/>
      <c r="ER9" s="10"/>
      <c r="ES9" s="10"/>
      <c r="ET9" s="10"/>
      <c r="EU9" s="10"/>
      <c r="EV9" s="1875"/>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875"/>
      <c r="GH9" s="10"/>
      <c r="GI9" s="10"/>
      <c r="GJ9" s="10"/>
      <c r="GK9" s="10"/>
      <c r="GL9" s="10"/>
      <c r="GM9" s="10"/>
      <c r="GN9" s="10"/>
      <c r="GO9" s="10"/>
      <c r="GP9" s="10"/>
      <c r="GQ9" s="10"/>
      <c r="GR9" s="10"/>
      <c r="GS9" s="10"/>
      <c r="GT9" s="1876"/>
      <c r="GU9" s="10"/>
      <c r="GV9" s="10"/>
      <c r="GW9" s="10"/>
      <c r="GX9" s="10"/>
      <c r="GY9" s="10"/>
      <c r="GZ9" s="10"/>
      <c r="HA9" s="10"/>
      <c r="HB9" s="10"/>
      <c r="HC9" s="10"/>
      <c r="HD9" s="10"/>
      <c r="HE9" s="10"/>
      <c r="HF9" s="10"/>
      <c r="HG9" s="1875"/>
      <c r="HH9" s="10"/>
      <c r="HI9" s="10"/>
      <c r="HJ9" s="10"/>
      <c r="HK9" s="10"/>
      <c r="HL9" s="10"/>
      <c r="HM9" s="10"/>
      <c r="HN9" s="10"/>
      <c r="HO9" s="10"/>
      <c r="HP9" s="10"/>
      <c r="HQ9" s="10"/>
      <c r="HR9" s="10"/>
      <c r="HS9" s="10"/>
      <c r="HT9" s="1875"/>
      <c r="HU9" s="10"/>
      <c r="HV9" s="10"/>
      <c r="HW9" s="10"/>
      <c r="HX9" s="10"/>
      <c r="HY9" s="10"/>
      <c r="HZ9" s="10"/>
      <c r="IA9" s="10"/>
      <c r="IB9" s="10"/>
      <c r="IC9" s="10"/>
      <c r="ID9" s="10"/>
      <c r="IE9" s="10"/>
      <c r="IF9" s="10"/>
      <c r="IG9" s="10"/>
      <c r="IH9" s="10"/>
      <c r="II9" s="1874"/>
      <c r="IJ9" s="1874"/>
      <c r="IK9" s="1874"/>
      <c r="IL9" s="1874"/>
      <c r="IM9" s="1874"/>
      <c r="IN9" s="1874"/>
      <c r="IO9" s="1874"/>
      <c r="IP9" s="1874"/>
      <c r="IQ9" s="1874"/>
      <c r="IR9" s="1874"/>
      <c r="IS9" s="1874"/>
      <c r="IT9" s="1874"/>
      <c r="IU9" s="1874"/>
      <c r="IV9" s="1874"/>
    </row>
    <row r="10" spans="1:256" s="760" customFormat="1" ht="19.5" customHeight="1">
      <c r="A10" s="819"/>
      <c r="B10" s="819"/>
      <c r="C10" s="2647" t="s">
        <v>1166</v>
      </c>
      <c r="D10" s="2647"/>
      <c r="E10" s="2647"/>
      <c r="F10" s="2647"/>
      <c r="G10" s="2647"/>
      <c r="H10" s="2647"/>
      <c r="I10" s="2647"/>
      <c r="J10" s="819"/>
      <c r="K10" s="819"/>
      <c r="L10" s="819"/>
      <c r="M10" s="819"/>
      <c r="N10" s="819"/>
      <c r="O10" s="819"/>
      <c r="P10" s="819"/>
      <c r="Q10" s="818"/>
      <c r="R10" s="819"/>
      <c r="S10" s="819"/>
      <c r="T10" s="819"/>
      <c r="U10" s="819"/>
      <c r="V10" s="819"/>
      <c r="W10" s="819"/>
      <c r="X10" s="819"/>
      <c r="Y10" s="819"/>
      <c r="Z10" s="819"/>
      <c r="AA10" s="835"/>
      <c r="AB10" s="1852"/>
      <c r="AC10" s="1852"/>
      <c r="BK10" s="819"/>
      <c r="BL10" s="819"/>
      <c r="BN10" s="1854"/>
      <c r="BO10" s="1854"/>
      <c r="BP10" s="1854"/>
      <c r="BQ10" s="1854"/>
      <c r="BR10" s="1854"/>
      <c r="BS10" s="1854"/>
      <c r="BT10" s="1854"/>
      <c r="BU10" s="1854"/>
      <c r="BV10" s="1854"/>
      <c r="BW10" s="1854"/>
      <c r="BX10" s="1854"/>
      <c r="BY10" s="1854"/>
      <c r="BZ10" s="1854"/>
      <c r="CA10" s="1854"/>
      <c r="CB10" s="1854"/>
      <c r="CM10" s="1877"/>
      <c r="CO10" s="1878"/>
      <c r="CP10" s="1879"/>
      <c r="CQ10" s="1880"/>
      <c r="CR10" s="1880"/>
      <c r="CS10" s="1880"/>
      <c r="CT10" s="1880"/>
      <c r="CU10" s="1880"/>
      <c r="CV10" s="1880"/>
      <c r="CW10" s="1880"/>
      <c r="CX10" s="1880"/>
      <c r="CY10" s="1880"/>
      <c r="CZ10" s="1880"/>
      <c r="DA10" s="1881"/>
      <c r="DB10" s="10"/>
      <c r="DC10" s="10"/>
      <c r="DD10" s="10"/>
      <c r="DE10" s="10"/>
      <c r="DF10" s="1874"/>
      <c r="DG10" s="10"/>
      <c r="DH10" s="10"/>
      <c r="DI10" s="10"/>
      <c r="DJ10" s="10"/>
      <c r="DK10" s="10"/>
      <c r="DL10" s="1874"/>
      <c r="DM10" s="1874"/>
      <c r="DN10" s="1874"/>
      <c r="DO10" s="1874"/>
      <c r="DP10" s="1874"/>
      <c r="DQ10" s="1874"/>
      <c r="DR10" s="1874"/>
      <c r="DS10" s="1874"/>
      <c r="DT10" s="1874"/>
      <c r="DU10" s="1874"/>
      <c r="DV10" s="1874"/>
      <c r="DW10" s="1874"/>
      <c r="DX10" s="1874"/>
      <c r="DY10" s="1874"/>
      <c r="DZ10" s="1874"/>
      <c r="EA10" s="1874"/>
      <c r="EB10" s="1874"/>
      <c r="EC10" s="1874"/>
      <c r="ED10" s="1874"/>
      <c r="EE10" s="1874"/>
      <c r="EF10" s="10"/>
      <c r="EG10" s="10"/>
      <c r="EH10" s="10"/>
      <c r="EI10" s="1875"/>
      <c r="EJ10" s="10"/>
      <c r="EK10" s="10"/>
      <c r="EL10" s="10"/>
      <c r="EM10" s="10"/>
      <c r="EN10" s="10"/>
      <c r="EO10" s="10"/>
      <c r="EP10" s="10"/>
      <c r="EQ10" s="10"/>
      <c r="ER10" s="10"/>
      <c r="ES10" s="10"/>
      <c r="ET10" s="10"/>
      <c r="EU10" s="10"/>
      <c r="EV10" s="1875"/>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875"/>
      <c r="GH10" s="10"/>
      <c r="GI10" s="10"/>
      <c r="GJ10" s="10"/>
      <c r="GK10" s="10"/>
      <c r="GL10" s="10"/>
      <c r="GM10" s="10"/>
      <c r="GN10" s="10"/>
      <c r="GO10" s="10"/>
      <c r="GP10" s="10"/>
      <c r="GQ10" s="10"/>
      <c r="GR10" s="10"/>
      <c r="GS10" s="10"/>
      <c r="GT10" s="1876"/>
      <c r="GU10" s="10"/>
      <c r="GV10" s="10"/>
      <c r="GW10" s="10"/>
      <c r="GX10" s="10"/>
      <c r="GY10" s="10"/>
      <c r="GZ10" s="10"/>
      <c r="HA10" s="10"/>
      <c r="HB10" s="10"/>
      <c r="HC10" s="10"/>
      <c r="HD10" s="10"/>
      <c r="HE10" s="10"/>
      <c r="HF10" s="10"/>
      <c r="HG10" s="1875"/>
      <c r="HH10" s="10"/>
      <c r="HI10" s="10"/>
      <c r="HJ10" s="10"/>
      <c r="HK10" s="10"/>
      <c r="HL10" s="10"/>
      <c r="HM10" s="10"/>
      <c r="HN10" s="10"/>
      <c r="HO10" s="10"/>
      <c r="HP10" s="10"/>
      <c r="HQ10" s="10"/>
      <c r="HR10" s="10"/>
      <c r="HS10" s="10"/>
      <c r="HT10" s="1875"/>
      <c r="HU10" s="10"/>
      <c r="HV10" s="1874"/>
      <c r="HW10" s="1874"/>
      <c r="HX10" s="10"/>
      <c r="HY10" s="10"/>
      <c r="HZ10" s="10"/>
      <c r="IA10" s="10"/>
      <c r="IB10" s="10"/>
      <c r="IC10" s="10"/>
      <c r="ID10" s="10"/>
      <c r="IE10" s="10"/>
      <c r="IF10" s="10"/>
      <c r="IG10" s="10"/>
      <c r="IH10" s="10"/>
      <c r="II10" s="1874"/>
      <c r="IJ10" s="1874"/>
      <c r="IK10" s="1874"/>
      <c r="IL10" s="1874"/>
      <c r="IM10" s="1874"/>
      <c r="IN10" s="1874"/>
      <c r="IO10" s="1874"/>
      <c r="IP10" s="1874"/>
      <c r="IQ10" s="1874"/>
      <c r="IR10" s="1874"/>
      <c r="IS10" s="1874"/>
      <c r="IT10" s="1874"/>
      <c r="IU10" s="1874"/>
      <c r="IV10" s="1874"/>
    </row>
    <row r="11" spans="1:256" s="760" customFormat="1" ht="19.5" customHeight="1">
      <c r="A11" s="819"/>
      <c r="B11" s="819"/>
      <c r="C11" s="819"/>
      <c r="D11" s="1113"/>
      <c r="E11" s="819"/>
      <c r="F11" s="819"/>
      <c r="G11" s="819"/>
      <c r="H11" s="831"/>
      <c r="I11" s="819"/>
      <c r="J11" s="819"/>
      <c r="K11" s="819"/>
      <c r="L11" s="819"/>
      <c r="M11" s="819"/>
      <c r="N11" s="819"/>
      <c r="O11" s="819"/>
      <c r="P11" s="819"/>
      <c r="Q11" s="818"/>
      <c r="R11" s="819"/>
      <c r="S11" s="819"/>
      <c r="T11" s="819"/>
      <c r="U11" s="2613" t="s">
        <v>1393</v>
      </c>
      <c r="V11" s="2613"/>
      <c r="W11" s="2613" t="s">
        <v>1391</v>
      </c>
      <c r="X11" s="819"/>
      <c r="Y11" s="819"/>
      <c r="Z11" s="819"/>
      <c r="AA11" s="835"/>
      <c r="AB11" s="1852"/>
      <c r="AC11" s="1852"/>
      <c r="BK11" s="819"/>
      <c r="BL11" s="819"/>
      <c r="BN11" s="1854"/>
      <c r="BO11" s="1854"/>
      <c r="BP11" s="1854"/>
      <c r="BQ11" s="1854"/>
      <c r="BR11" s="1854"/>
      <c r="BS11" s="1854"/>
      <c r="BT11" s="1854"/>
      <c r="BU11" s="1854"/>
      <c r="BV11" s="1854"/>
      <c r="BW11" s="1854"/>
      <c r="BX11" s="1854"/>
      <c r="BY11" s="1854"/>
      <c r="BZ11" s="1854"/>
      <c r="CA11" s="1854"/>
      <c r="CB11" s="1854"/>
      <c r="CD11" s="2615" t="s">
        <v>1399</v>
      </c>
      <c r="CE11" s="2615"/>
      <c r="CF11" s="2615"/>
      <c r="CG11" s="2615"/>
      <c r="CH11" s="2615"/>
      <c r="CI11" s="2615"/>
      <c r="CJ11" s="2615"/>
      <c r="CK11" s="2615"/>
      <c r="CL11" s="2615"/>
      <c r="CM11" s="1877"/>
      <c r="CO11" s="1882"/>
      <c r="CP11" s="2508" t="s">
        <v>1358</v>
      </c>
      <c r="CQ11" s="2509"/>
      <c r="CR11" s="2509"/>
      <c r="CS11" s="2509"/>
      <c r="CT11" s="2508" t="s">
        <v>1359</v>
      </c>
      <c r="CU11" s="2509"/>
      <c r="CV11" s="2508" t="s">
        <v>1360</v>
      </c>
      <c r="CW11" s="2509"/>
      <c r="CX11" s="2509"/>
      <c r="CY11" s="2508" t="s">
        <v>1361</v>
      </c>
      <c r="CZ11" s="2509"/>
      <c r="DA11" s="2614"/>
      <c r="DB11" s="10"/>
      <c r="DC11" s="10"/>
      <c r="DD11" s="10"/>
      <c r="DE11" s="1875"/>
      <c r="DF11" s="1853" t="s">
        <v>1333</v>
      </c>
      <c r="DG11" s="10"/>
      <c r="DH11" s="10"/>
      <c r="DI11" s="10"/>
      <c r="DJ11" s="10"/>
      <c r="DK11" s="10"/>
      <c r="DL11" s="1874"/>
      <c r="DM11" s="2483" t="s">
        <v>1334</v>
      </c>
      <c r="DN11" s="2483"/>
      <c r="DO11" s="2483"/>
      <c r="DP11" s="2483"/>
      <c r="DQ11" s="2483"/>
      <c r="DR11" s="2483"/>
      <c r="DS11" s="2483"/>
      <c r="DT11" s="1874"/>
      <c r="DU11" s="1874"/>
      <c r="DV11" s="1853" t="s">
        <v>1311</v>
      </c>
      <c r="DW11" s="1853"/>
      <c r="DX11" s="1853"/>
      <c r="DY11" s="1853"/>
      <c r="DZ11" s="1853"/>
      <c r="EA11" s="1853"/>
      <c r="EB11" s="1853"/>
      <c r="EC11" s="1853"/>
      <c r="ED11" s="1853"/>
      <c r="EE11" s="1853"/>
      <c r="EF11" s="1853"/>
      <c r="EG11" s="1853"/>
      <c r="EH11" s="1853"/>
      <c r="EI11" s="1887"/>
      <c r="EJ11" s="1853"/>
      <c r="EK11" s="1853"/>
      <c r="EL11" s="1853"/>
      <c r="EM11" s="1853"/>
      <c r="EN11" s="1853"/>
      <c r="EO11" s="1853"/>
      <c r="EP11" s="1853"/>
      <c r="EQ11" s="1853"/>
      <c r="ER11" s="1853"/>
      <c r="ES11" s="1853"/>
      <c r="ET11" s="1853"/>
      <c r="EU11" s="1853"/>
      <c r="EV11" s="1887"/>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c r="GG11" s="1887"/>
      <c r="GH11" s="1853"/>
      <c r="GI11" s="1853"/>
      <c r="GJ11" s="1853"/>
      <c r="GK11" s="1853"/>
      <c r="GL11" s="1853"/>
      <c r="GM11" s="1853"/>
      <c r="GN11" s="1853"/>
      <c r="GO11" s="1853"/>
      <c r="GP11" s="1853"/>
      <c r="GQ11" s="1853"/>
      <c r="GR11" s="1853"/>
      <c r="GS11" s="1853"/>
      <c r="GT11" s="1887"/>
      <c r="GU11" s="1853"/>
      <c r="GV11" s="1853"/>
      <c r="GW11" s="1853"/>
      <c r="GX11" s="1853"/>
      <c r="GY11" s="1853"/>
      <c r="GZ11" s="1853"/>
      <c r="HA11" s="1853"/>
      <c r="HB11" s="1853"/>
      <c r="HC11" s="1853"/>
      <c r="HD11" s="1853"/>
      <c r="HE11" s="1853"/>
      <c r="HF11" s="1853"/>
      <c r="HG11" s="1887"/>
      <c r="HH11" s="1853"/>
      <c r="HI11" s="1853"/>
      <c r="HJ11" s="1853"/>
      <c r="HK11" s="1853"/>
      <c r="HL11" s="1853"/>
      <c r="HM11" s="1853"/>
      <c r="HN11" s="1853"/>
      <c r="HO11" s="1853"/>
      <c r="HP11" s="1853"/>
      <c r="HQ11" s="1853"/>
      <c r="HR11" s="1853"/>
      <c r="HS11" s="1853"/>
      <c r="HT11" s="1887"/>
      <c r="HU11" s="1853"/>
      <c r="HV11" s="2483" t="s">
        <v>1340</v>
      </c>
      <c r="HW11" s="2483"/>
      <c r="HX11" s="2483"/>
      <c r="HY11" s="2483"/>
      <c r="HZ11" s="2483"/>
      <c r="IA11" s="2483"/>
      <c r="IB11" s="2483"/>
      <c r="IC11" s="2483"/>
      <c r="ID11" s="2483"/>
      <c r="IE11" s="2483"/>
      <c r="IF11" s="2483"/>
      <c r="IG11" s="2483"/>
      <c r="IH11" s="2483"/>
      <c r="II11" s="1874"/>
      <c r="IJ11" s="2483" t="s">
        <v>1344</v>
      </c>
      <c r="IK11" s="2483"/>
      <c r="IL11" s="2483"/>
      <c r="IM11" s="2483"/>
      <c r="IN11" s="2483"/>
      <c r="IO11" s="2483"/>
      <c r="IP11" s="2483"/>
      <c r="IQ11" s="2483"/>
      <c r="IR11" s="2483"/>
      <c r="IS11" s="2483"/>
      <c r="IT11" s="2483"/>
      <c r="IU11" s="2483"/>
      <c r="IV11" s="2483"/>
    </row>
    <row r="12" spans="1:256" s="1852" customFormat="1" ht="25.5" customHeight="1" thickBot="1">
      <c r="A12" s="819"/>
      <c r="B12" s="828" t="s">
        <v>10</v>
      </c>
      <c r="C12" s="1115" t="s">
        <v>1168</v>
      </c>
      <c r="D12" s="1582" t="s">
        <v>1178</v>
      </c>
      <c r="E12" s="2632" t="s">
        <v>865</v>
      </c>
      <c r="F12" s="2632"/>
      <c r="G12" s="2632" t="s">
        <v>866</v>
      </c>
      <c r="H12" s="2632"/>
      <c r="I12" s="2632" t="s">
        <v>867</v>
      </c>
      <c r="J12" s="2632"/>
      <c r="K12" s="2632" t="s">
        <v>868</v>
      </c>
      <c r="L12" s="2632"/>
      <c r="M12" s="2632" t="s">
        <v>869</v>
      </c>
      <c r="N12" s="2632"/>
      <c r="O12" s="2632" t="s">
        <v>849</v>
      </c>
      <c r="P12" s="2632"/>
      <c r="Q12" s="1013" t="s">
        <v>1172</v>
      </c>
      <c r="R12" s="940" t="s">
        <v>985</v>
      </c>
      <c r="S12" s="995" t="s">
        <v>871</v>
      </c>
      <c r="T12" s="819"/>
      <c r="U12" s="2613"/>
      <c r="V12" s="2613"/>
      <c r="W12" s="2613"/>
      <c r="X12" s="819"/>
      <c r="Y12" s="819"/>
      <c r="Z12" s="819"/>
      <c r="AA12" s="835"/>
      <c r="AB12" s="1888" t="s">
        <v>1171</v>
      </c>
      <c r="AE12" s="1864" t="s">
        <v>1042</v>
      </c>
      <c r="AF12" s="760"/>
      <c r="AG12" s="760"/>
      <c r="AH12" s="760"/>
      <c r="AI12" s="760"/>
      <c r="AJ12" s="760"/>
      <c r="BK12" s="819"/>
      <c r="BL12" s="819"/>
      <c r="BN12" s="1889"/>
      <c r="BO12" s="1889"/>
      <c r="BP12" s="1889"/>
      <c r="BQ12" s="1889"/>
      <c r="BR12" s="1889"/>
      <c r="BS12" s="1889"/>
      <c r="BT12" s="1889"/>
      <c r="BU12" s="1889"/>
      <c r="BV12" s="1889"/>
      <c r="BW12" s="1889"/>
      <c r="BX12" s="1889"/>
      <c r="BY12" s="1889"/>
      <c r="BZ12" s="1889"/>
      <c r="CA12" s="1889"/>
      <c r="CB12" s="1889"/>
      <c r="CD12" s="1890" t="s">
        <v>875</v>
      </c>
      <c r="CE12" s="1890" t="s">
        <v>1400</v>
      </c>
      <c r="CF12" s="1890" t="s">
        <v>1401</v>
      </c>
      <c r="CG12" s="1890" t="s">
        <v>1402</v>
      </c>
      <c r="CH12" s="1890" t="s">
        <v>1403</v>
      </c>
      <c r="CI12" s="1890" t="s">
        <v>1404</v>
      </c>
      <c r="CJ12" s="1890" t="s">
        <v>1405</v>
      </c>
      <c r="CK12" s="1890" t="s">
        <v>827</v>
      </c>
      <c r="CL12" s="1890"/>
      <c r="CM12" s="1891" t="s">
        <v>1407</v>
      </c>
      <c r="CN12" s="1892" t="s">
        <v>1394</v>
      </c>
      <c r="CO12" s="1893" t="s">
        <v>1266</v>
      </c>
      <c r="CP12" s="1894" t="s">
        <v>1346</v>
      </c>
      <c r="CQ12" s="1895" t="s">
        <v>1347</v>
      </c>
      <c r="CR12" s="1895" t="s">
        <v>1302</v>
      </c>
      <c r="CS12" s="1895" t="s">
        <v>1303</v>
      </c>
      <c r="CT12" s="1894" t="s">
        <v>1309</v>
      </c>
      <c r="CU12" s="1895" t="s">
        <v>1310</v>
      </c>
      <c r="CV12" s="1896" t="s">
        <v>1338</v>
      </c>
      <c r="CW12" s="1897" t="s">
        <v>1339</v>
      </c>
      <c r="CX12" s="1897" t="s">
        <v>1335</v>
      </c>
      <c r="CY12" s="1896" t="s">
        <v>1345</v>
      </c>
      <c r="CZ12" s="1897" t="s">
        <v>1348</v>
      </c>
      <c r="DA12" s="1898" t="s">
        <v>1349</v>
      </c>
      <c r="DB12" s="10"/>
      <c r="DC12" s="10"/>
      <c r="DD12" s="10"/>
      <c r="DE12" s="1899" t="s">
        <v>1336</v>
      </c>
      <c r="DF12" s="1900" t="s">
        <v>865</v>
      </c>
      <c r="DG12" s="1900" t="s">
        <v>1222</v>
      </c>
      <c r="DH12" s="1900" t="s">
        <v>1223</v>
      </c>
      <c r="DI12" s="1900" t="s">
        <v>1224</v>
      </c>
      <c r="DJ12" s="1900" t="s">
        <v>1225</v>
      </c>
      <c r="DK12" s="1900" t="s">
        <v>849</v>
      </c>
      <c r="DL12" s="1874"/>
      <c r="DM12" s="1899" t="s">
        <v>1337</v>
      </c>
      <c r="DN12" s="1900" t="s">
        <v>865</v>
      </c>
      <c r="DO12" s="1900" t="s">
        <v>1222</v>
      </c>
      <c r="DP12" s="1900" t="s">
        <v>1223</v>
      </c>
      <c r="DQ12" s="1900" t="s">
        <v>1224</v>
      </c>
      <c r="DR12" s="1900" t="s">
        <v>1225</v>
      </c>
      <c r="DS12" s="1900" t="s">
        <v>849</v>
      </c>
      <c r="DT12" s="1874"/>
      <c r="DU12" s="1900" t="s">
        <v>1363</v>
      </c>
      <c r="DV12" s="1900" t="s">
        <v>1362</v>
      </c>
      <c r="DW12" s="2481" t="s">
        <v>1312</v>
      </c>
      <c r="DX12" s="2482"/>
      <c r="DY12" s="2482"/>
      <c r="DZ12" s="2482"/>
      <c r="EA12" s="2481" t="s">
        <v>1313</v>
      </c>
      <c r="EB12" s="2482"/>
      <c r="EC12" s="2482"/>
      <c r="ED12" s="2482"/>
      <c r="EE12" s="2481" t="s">
        <v>1314</v>
      </c>
      <c r="EF12" s="2482"/>
      <c r="EG12" s="2482"/>
      <c r="EH12" s="2482"/>
      <c r="EI12" s="1902" t="s">
        <v>1364</v>
      </c>
      <c r="EJ12" s="2481" t="s">
        <v>1315</v>
      </c>
      <c r="EK12" s="2482"/>
      <c r="EL12" s="2482"/>
      <c r="EM12" s="2482"/>
      <c r="EN12" s="2481" t="s">
        <v>1316</v>
      </c>
      <c r="EO12" s="2482"/>
      <c r="EP12" s="2482"/>
      <c r="EQ12" s="2482"/>
      <c r="ER12" s="2481" t="s">
        <v>1317</v>
      </c>
      <c r="ES12" s="2482"/>
      <c r="ET12" s="2482"/>
      <c r="EU12" s="2482"/>
      <c r="EV12" s="1902" t="s">
        <v>1364</v>
      </c>
      <c r="EW12" s="2481" t="s">
        <v>1318</v>
      </c>
      <c r="EX12" s="2482"/>
      <c r="EY12" s="2482"/>
      <c r="EZ12" s="2482"/>
      <c r="FA12" s="2481" t="s">
        <v>1319</v>
      </c>
      <c r="FB12" s="2482"/>
      <c r="FC12" s="2482"/>
      <c r="FD12" s="2482"/>
      <c r="FE12" s="2481" t="s">
        <v>1320</v>
      </c>
      <c r="FF12" s="2482"/>
      <c r="FG12" s="2482"/>
      <c r="FH12" s="2482"/>
      <c r="FI12" s="2481" t="s">
        <v>1321</v>
      </c>
      <c r="FJ12" s="2481"/>
      <c r="FK12" s="2481"/>
      <c r="FL12" s="2481"/>
      <c r="FM12" s="2481" t="s">
        <v>1322</v>
      </c>
      <c r="FN12" s="2481"/>
      <c r="FO12" s="2481"/>
      <c r="FP12" s="2481"/>
      <c r="FQ12" s="2481" t="s">
        <v>1323</v>
      </c>
      <c r="FR12" s="2481"/>
      <c r="FS12" s="2481"/>
      <c r="FT12" s="2481"/>
      <c r="FU12" s="2481" t="s">
        <v>1408</v>
      </c>
      <c r="FV12" s="2481"/>
      <c r="FW12" s="2481"/>
      <c r="FX12" s="2481"/>
      <c r="FY12" s="2481" t="s">
        <v>1410</v>
      </c>
      <c r="FZ12" s="2481"/>
      <c r="GA12" s="2481"/>
      <c r="GB12" s="2481"/>
      <c r="GC12" s="2481" t="s">
        <v>1409</v>
      </c>
      <c r="GD12" s="2481"/>
      <c r="GE12" s="2481"/>
      <c r="GF12" s="2481"/>
      <c r="GG12" s="1902" t="s">
        <v>1364</v>
      </c>
      <c r="GH12" s="2481" t="s">
        <v>1324</v>
      </c>
      <c r="GI12" s="2482"/>
      <c r="GJ12" s="2482"/>
      <c r="GK12" s="2482"/>
      <c r="GL12" s="2481" t="s">
        <v>1325</v>
      </c>
      <c r="GM12" s="2482"/>
      <c r="GN12" s="2482"/>
      <c r="GO12" s="2482"/>
      <c r="GP12" s="2481" t="s">
        <v>1326</v>
      </c>
      <c r="GQ12" s="2482"/>
      <c r="GR12" s="2482"/>
      <c r="GS12" s="2482"/>
      <c r="GT12" s="1902" t="s">
        <v>1364</v>
      </c>
      <c r="GU12" s="2481" t="s">
        <v>1327</v>
      </c>
      <c r="GV12" s="2482"/>
      <c r="GW12" s="2482"/>
      <c r="GX12" s="2482"/>
      <c r="GY12" s="2481" t="s">
        <v>1328</v>
      </c>
      <c r="GZ12" s="2482"/>
      <c r="HA12" s="2482"/>
      <c r="HB12" s="2482"/>
      <c r="HC12" s="2481" t="s">
        <v>1329</v>
      </c>
      <c r="HD12" s="2482"/>
      <c r="HE12" s="2482"/>
      <c r="HF12" s="2482"/>
      <c r="HG12" s="1902" t="s">
        <v>1364</v>
      </c>
      <c r="HH12" s="2481" t="s">
        <v>1330</v>
      </c>
      <c r="HI12" s="2482"/>
      <c r="HJ12" s="2482"/>
      <c r="HK12" s="2482"/>
      <c r="HL12" s="2481" t="s">
        <v>1331</v>
      </c>
      <c r="HM12" s="2482"/>
      <c r="HN12" s="2482"/>
      <c r="HO12" s="2482"/>
      <c r="HP12" s="2481" t="s">
        <v>1332</v>
      </c>
      <c r="HQ12" s="2482"/>
      <c r="HR12" s="2482"/>
      <c r="HS12" s="2482"/>
      <c r="HT12" s="1902" t="s">
        <v>1364</v>
      </c>
      <c r="HU12" s="1903"/>
      <c r="HV12" s="1853" t="s">
        <v>623</v>
      </c>
      <c r="HW12" s="2481" t="s">
        <v>1341</v>
      </c>
      <c r="HX12" s="2481"/>
      <c r="HY12" s="2481"/>
      <c r="HZ12" s="2481"/>
      <c r="IA12" s="2481" t="s">
        <v>1342</v>
      </c>
      <c r="IB12" s="2481"/>
      <c r="IC12" s="2481"/>
      <c r="ID12" s="2481"/>
      <c r="IE12" s="2481" t="s">
        <v>1343</v>
      </c>
      <c r="IF12" s="2481"/>
      <c r="IG12" s="2481"/>
      <c r="IH12" s="2481"/>
      <c r="II12" s="1874"/>
      <c r="IJ12" s="1853" t="s">
        <v>623</v>
      </c>
      <c r="IK12" s="2481" t="s">
        <v>1341</v>
      </c>
      <c r="IL12" s="2481"/>
      <c r="IM12" s="2481"/>
      <c r="IN12" s="2481"/>
      <c r="IO12" s="2481" t="s">
        <v>1342</v>
      </c>
      <c r="IP12" s="2481"/>
      <c r="IQ12" s="2481"/>
      <c r="IR12" s="2481"/>
      <c r="IS12" s="2481" t="s">
        <v>1343</v>
      </c>
      <c r="IT12" s="2481"/>
      <c r="IU12" s="2481"/>
      <c r="IV12" s="2481"/>
    </row>
    <row r="13" spans="1:256" s="1852" customFormat="1" ht="25.5" customHeight="1" thickBot="1">
      <c r="A13" s="832"/>
      <c r="B13" s="1598">
        <f>IF(AND(G8="JA",K8="NEIN"),H2,0)</f>
        <v>0</v>
      </c>
      <c r="C13" s="2187"/>
      <c r="D13" s="978"/>
      <c r="E13" s="979"/>
      <c r="F13" s="978"/>
      <c r="G13" s="979"/>
      <c r="H13" s="978"/>
      <c r="I13" s="979"/>
      <c r="J13" s="978"/>
      <c r="K13" s="979"/>
      <c r="L13" s="978"/>
      <c r="M13" s="979"/>
      <c r="N13" s="978"/>
      <c r="O13" s="979"/>
      <c r="P13" s="978"/>
      <c r="Q13" s="1119">
        <f>IF(OR(C13="Düngung erhöhen",C13="Düngung reduzieren",C13="unverändert"),Grünland!$H$34,S_30!AB13)</f>
        <v>0</v>
      </c>
      <c r="R13" s="977">
        <f>IFERROR(IF(ISNUMBER(B13),AE$32/B13,0),0)</f>
        <v>0</v>
      </c>
      <c r="S13" s="1602" t="str">
        <f>IF(OR(G8="NEIN",G8="",K8="",K8="JA"),"",R13-Q13)</f>
        <v/>
      </c>
      <c r="T13" s="819"/>
      <c r="U13" s="1798" t="str">
        <f>IF(DC13&lt;0,"-","+")</f>
        <v>+</v>
      </c>
      <c r="V13" s="1799">
        <f>IF(DC13&gt;0,DC13,DD13)</f>
        <v>0</v>
      </c>
      <c r="W13" s="1606">
        <f>IF(AND(G8="JA",OR(C13="",C13="unverändert")),U6,CY13+CZ13+DA13)</f>
        <v>0</v>
      </c>
      <c r="X13" s="819"/>
      <c r="Y13" s="819"/>
      <c r="Z13" s="819"/>
      <c r="AA13" s="835"/>
      <c r="AB13" s="1888">
        <f>IF($C$13="Nutzungsintensität u Düngung erhöhen",VLOOKUP($D$13,Planung!$W$6:$Y$14,3,0),IF($C$13="Nutzungsintensität u Düngung reduzieren",VLOOKUP($D$13,Planung!$W$6:$Y$14,3,0),IF($C$13="Schnittzahl reduzieren",VLOOKUP($D$13,Planung!$W$6:$Y$14,3,0),IF($C$13="als Dauerweide führen",VLOOKUP("als Dauerweide führen",Planung!$W$6:$Y$14,3,0),IF($C$13="Dauerweidenutzung beenden",VLOOKUP($D$13,Planung!$W$6:$Y$14,3,0),0)))))</f>
        <v>0</v>
      </c>
      <c r="AE13" s="1904">
        <f>AE8-AE3</f>
        <v>0</v>
      </c>
      <c r="AF13" s="1904">
        <f t="shared" ref="AF13:AI13" si="1">AF8-AF3</f>
        <v>0</v>
      </c>
      <c r="AG13" s="1904">
        <f>AG8-AG3</f>
        <v>0</v>
      </c>
      <c r="AH13" s="1904">
        <f t="shared" si="1"/>
        <v>0</v>
      </c>
      <c r="AI13" s="1904">
        <f t="shared" si="1"/>
        <v>0</v>
      </c>
      <c r="AJ13" s="1904">
        <f>AJ8-AJ3</f>
        <v>0</v>
      </c>
      <c r="AK13" s="1905"/>
      <c r="AL13" s="1904">
        <f>-AL8</f>
        <v>0</v>
      </c>
      <c r="AM13" s="1904">
        <f>AM8</f>
        <v>0</v>
      </c>
      <c r="BK13" s="819"/>
      <c r="BL13" s="819"/>
      <c r="BN13" s="1889"/>
      <c r="BO13" s="1889"/>
      <c r="BP13" s="1889"/>
      <c r="BQ13" s="1889"/>
      <c r="BR13" s="1889"/>
      <c r="BS13" s="1889"/>
      <c r="BT13" s="1889"/>
      <c r="BU13" s="1889"/>
      <c r="BV13" s="1889"/>
      <c r="BW13" s="1889"/>
      <c r="BX13" s="1889"/>
      <c r="BY13" s="1889"/>
      <c r="BZ13" s="1889"/>
      <c r="CA13" s="1889"/>
      <c r="CB13" s="1889"/>
      <c r="CD13" s="1906" t="str">
        <f>IF(AND(K8="NEIN",OR(C13="",C13="unverändert",C13="Düngung erhöhen",C13="Düngung reduzieren")),$H$3,"")</f>
        <v/>
      </c>
      <c r="CE13" s="1907">
        <f>IF($CD13="",IF($D13=1,"1",0),0)</f>
        <v>0</v>
      </c>
      <c r="CF13" s="1907">
        <f>IF($CD13="",IF($D13=2,"2",0),0)</f>
        <v>0</v>
      </c>
      <c r="CG13" s="1907">
        <f>IF($CD13="",IF($D13=3,"3",0),0)</f>
        <v>0</v>
      </c>
      <c r="CH13" s="1907">
        <f>IF($CD13="",IF($D13=4,"4",0),0)</f>
        <v>0</v>
      </c>
      <c r="CI13" s="1907">
        <f>IF($CD13="",IF($D13=5,"5",0),0)</f>
        <v>0</v>
      </c>
      <c r="CJ13" s="1907">
        <f>IF($CD13="",IF($D13=6,"6",0),0)</f>
        <v>0</v>
      </c>
      <c r="CK13" s="1907">
        <f>IF(AND(C13="als Dauerweide führen",D13=0),"7",0)</f>
        <v>0</v>
      </c>
      <c r="CL13" s="1907">
        <f>CE13+CF13+CG13+CH13+CI13+CJ13+CK13</f>
        <v>0</v>
      </c>
      <c r="CM13" s="1908" t="str">
        <f>IF(CL13&gt;0,VLOOKUP(CL13,$CD$20:$CE$26,2,0),CD13)</f>
        <v/>
      </c>
      <c r="CN13" s="1852">
        <f>Grünland!AH$34</f>
        <v>0</v>
      </c>
      <c r="CO13" s="1882">
        <f>Grünland!AI$34</f>
        <v>0</v>
      </c>
      <c r="CP13" s="1909">
        <f>DE13*B13</f>
        <v>0</v>
      </c>
      <c r="CQ13" s="1910">
        <f>DM13*B13</f>
        <v>0</v>
      </c>
      <c r="CR13" s="1911" t="e">
        <f>CP13/Betrieb!$E$23</f>
        <v>#DIV/0!</v>
      </c>
      <c r="CS13" s="1911" t="e">
        <f>CQ13/Betrieb!$E$24</f>
        <v>#DIV/0!</v>
      </c>
      <c r="CT13" s="1912">
        <f>(Betrieb!$E$21*Betrieb!$H$21)+(Betrieb!$E$23*Betrieb!$H$23)</f>
        <v>0</v>
      </c>
      <c r="CU13" s="1913">
        <f>(Betrieb!$E$22*Betrieb!$H$22)+(Betrieb!$E$24*Betrieb!$H$24)</f>
        <v>0</v>
      </c>
      <c r="CV13" s="1912">
        <f>HV13</f>
        <v>0</v>
      </c>
      <c r="CW13" s="1913">
        <f>IJ13</f>
        <v>0</v>
      </c>
      <c r="CX13" s="1914">
        <f>DV13</f>
        <v>0</v>
      </c>
      <c r="CY13" s="1915">
        <f>IFERROR((CR13/CV13)*CT13,0)</f>
        <v>0</v>
      </c>
      <c r="CZ13" s="1915">
        <f>IFERROR((CS13/CW13)*CU13,0)</f>
        <v>0</v>
      </c>
      <c r="DA13" s="1916">
        <f>IF(DU13="Weide/Hutweide",$DA$34*B13,((($DA$22+$DA$23+$DA$24)*B13)*DU13)+(((CX13*B13)*$DA$26)*DU13))</f>
        <v>0</v>
      </c>
      <c r="DB13" s="1917"/>
      <c r="DC13" s="1918">
        <f>W13-U6</f>
        <v>0</v>
      </c>
      <c r="DD13" s="1919">
        <f>U6-W13</f>
        <v>0</v>
      </c>
      <c r="DE13" s="1920">
        <f>SUM(DF13:DK13)</f>
        <v>0</v>
      </c>
      <c r="DF13" s="1921">
        <f>(IFERROR(IF(SEARCH("gülle",E13),F13),0))+(IFERROR(IF(SEARCH("jauche",E13),F13),0))</f>
        <v>0</v>
      </c>
      <c r="DG13" s="1921">
        <f>(IFERROR(IF(SEARCH("gülle",G13),H13),0))+(IFERROR(IF(SEARCH("jauche",G13),H13),0))</f>
        <v>0</v>
      </c>
      <c r="DH13" s="1921">
        <f>(IFERROR(IF(SEARCH("gülle",I13),J13),0))+(IFERROR(IF(SEARCH("jauche",I13),J13),0))</f>
        <v>0</v>
      </c>
      <c r="DI13" s="1921">
        <f>(IFERROR(IF(SEARCH("gülle",K13),L13),0))+(IFERROR(IF(SEARCH("jauche",K13),L13),0))</f>
        <v>0</v>
      </c>
      <c r="DJ13" s="1921">
        <f>(IFERROR(IF(SEARCH("gülle",M13),N13),0))+(IFERROR(IF(SEARCH("jauche",M13),N13),0))</f>
        <v>0</v>
      </c>
      <c r="DK13" s="1921">
        <f>(IFERROR(IF(SEARCH("gülle",O13),P13),0))+(IFERROR(IF(SEARCH("jauche",O13),P13),0))</f>
        <v>0</v>
      </c>
      <c r="DL13" s="1917"/>
      <c r="DM13" s="1920">
        <f>SUM(DN13:DS13)</f>
        <v>0</v>
      </c>
      <c r="DN13" s="1917">
        <f>IFERROR(IF(SEARCH("mist",E13),F13),0)</f>
        <v>0</v>
      </c>
      <c r="DO13" s="1917">
        <f>IFERROR(IF(SEARCH("mist",G13),H13),0)</f>
        <v>0</v>
      </c>
      <c r="DP13" s="1917">
        <f>IFERROR(IF(SEARCH("mist",I13),J13),0)</f>
        <v>0</v>
      </c>
      <c r="DQ13" s="1917">
        <f>IFERROR(IF(SEARCH("mist",K13),L13),0)</f>
        <v>0</v>
      </c>
      <c r="DR13" s="1917">
        <f>IFERROR(IF(SEARCH("mist",M13),N13),0)</f>
        <v>0</v>
      </c>
      <c r="DS13" s="1917">
        <f>IFERROR(IF(SEARCH("mist",O13),P13),0)</f>
        <v>0</v>
      </c>
      <c r="DT13" s="1917"/>
      <c r="DU13" s="1922">
        <f>IF(OR(CM13="Mähweide",CM13="Dauerweide",CM13="Hutweide",CM13="Hutweide mit Düngung"),"Weide/Hutweide",(EI13+EV13+GG13+GT13+HG13+HT13))</f>
        <v>0</v>
      </c>
      <c r="DV13" s="1923">
        <f>SUM(DW13:EH13)+SUM(EJ13:EU13)+SUM(EW13:GF13)+SUM(GH13:GS13)+SUM(GU13:HF13)+SUM(HH13:HS13)</f>
        <v>0</v>
      </c>
      <c r="DW13" s="1923">
        <f>IF(AND(CM13="Grünland  1 Nutzung",CN13= "günstig", CO13="bis 2,5 km"),$CO$24,0)</f>
        <v>0</v>
      </c>
      <c r="DX13" s="1923">
        <f>IF(AND(CM13="Grünland  1 Nutzung",CN13= "günstig", CO13="2,5 - 5,0 km"),$CO$25,0)</f>
        <v>0</v>
      </c>
      <c r="DY13" s="1923">
        <f>IF(AND(CM13="Grünland  1 Nutzung",CN13= "günstig", CO13="5,0 - 10 km"),$CO$26,0)</f>
        <v>0</v>
      </c>
      <c r="DZ13" s="1923">
        <f>IF(AND(CM13="Grünland  1 Nutzung",CN13= "günstig", CO13="über 10 km"),$CO$27,0)</f>
        <v>0</v>
      </c>
      <c r="EA13" s="1923">
        <f>IF(AND(CM13="Grünland  1 Nutzung",CN13= "normal", CO13="bis 2,5 km"),$CP$24,0)</f>
        <v>0</v>
      </c>
      <c r="EB13" s="1923">
        <f>IF(AND(CM13="Grünland  1 Nutzung",CN13= "normal", CO13="2,5 - 5,0 km"),$CP$25,0)</f>
        <v>0</v>
      </c>
      <c r="EC13" s="1923">
        <f>IF(AND(CM13="Grünland  1 Nutzung",CN13= "normal", CO13="5,0 - 10 km"),$CP$26,0)</f>
        <v>0</v>
      </c>
      <c r="ED13" s="1923">
        <f>IF(AND(CM13="Grünland  1 Nutzung",CN13= "normal", CO13="über 10 km"),$CP$27,0)</f>
        <v>0</v>
      </c>
      <c r="EE13" s="1923">
        <f>IF(AND(CM13="Grünland  1 Nutzung",CN13= "ungünstig", CO13="bis 2,5 km"),$CQ$24,0)</f>
        <v>0</v>
      </c>
      <c r="EF13" s="1923">
        <f>IF(AND(CM13="Grünland  1 Nutzung",CN13= "ungünstig", CO13="2,5 - 5,0 km"),$CQ$25,0)</f>
        <v>0</v>
      </c>
      <c r="EG13" s="1923">
        <f>IF(AND(CM13="Grünland  1 Nutzung",CN13= "ungünstig", CO13="5,0 - 10 km"),$CQ$26,0)</f>
        <v>0</v>
      </c>
      <c r="EH13" s="1923">
        <f>IF(AND(CM13="Grünland  1 Nutzung",CN13= "ungünstig", CO13="über 10 km"),$CQ$27,0)</f>
        <v>0</v>
      </c>
      <c r="EI13" s="1924">
        <f>IF(SUM(DW13:EH13)&gt;0,1,0)</f>
        <v>0</v>
      </c>
      <c r="EJ13" s="1923">
        <f>IF(AND(CM13="Grünland  2 Nutzungen",CN13= "günstig", CO13="bis 2,5 km"),$CR$24,0)</f>
        <v>0</v>
      </c>
      <c r="EK13" s="1923">
        <f>IF(AND(CM13="Grünland  2 Nutzungen",CN13= "günstig", CO13="2,5 - 5,0 km"),$CR$25,0)</f>
        <v>0</v>
      </c>
      <c r="EL13" s="1923">
        <f>IF(AND(CM13="Grünland  2 Nutzungen",CN13= "günstig", CO13="5,0 - 10 km"),$CR$26,0)</f>
        <v>0</v>
      </c>
      <c r="EM13" s="1923">
        <f>IF(AND(CM13="Grünland  2 Nutzungen",CN13= "günstig", CO13="über 10 km"),$CR$27,0)</f>
        <v>0</v>
      </c>
      <c r="EN13" s="1923">
        <f>IF(AND(CM13="Grünland  2 Nutzungen",CN13= "normal", CO13="bis 2,5 km"),$CS$24,0)</f>
        <v>0</v>
      </c>
      <c r="EO13" s="1923">
        <f>IF(AND(CM13="Grünland  2 Nutzungen",CN13= "normal", CO13="2,5 - 5,0 km"),$CS$25,0)</f>
        <v>0</v>
      </c>
      <c r="EP13" s="1923">
        <f>IF(AND(CM13="Grünland  2 Nutzungen",CN13= "normal", CO13="5,0 - 10 km"),$CS$26,0)</f>
        <v>0</v>
      </c>
      <c r="EQ13" s="1923">
        <f>IF(AND(CM13="Grünland  2 Nutzungen",CN13= "normal", CO13="über 10 km"),$CS$27,0)</f>
        <v>0</v>
      </c>
      <c r="ER13" s="1923">
        <f>IF(AND(CM13="Grünland  2 Nutzungen",CN13= "ungünstig", CO13="bis 2,5 km"),$CT$24,0)</f>
        <v>0</v>
      </c>
      <c r="ES13" s="1923">
        <f>IF(AND(CM13="Grünland  2 Nutzungen",CN13= "ungünstig", CO13="2,5 - 5,0 km"),$CT$25,0)</f>
        <v>0</v>
      </c>
      <c r="ET13" s="1923">
        <f>IF(AND(CM13="Grünland  2 Nutzungen",CN13= "ungünstig", CO13="5,0 - 10 km"),$CT$26,0)</f>
        <v>0</v>
      </c>
      <c r="EU13" s="1923">
        <f>IF(AND(CM13="Grünland  2 Nutzungen",CN13= "ungünstig", CO13="über 10 km"),$CT$27,0)</f>
        <v>0</v>
      </c>
      <c r="EV13" s="1925">
        <f>IF(SUM(EJ13:EU13)&gt;0,2,0)</f>
        <v>0</v>
      </c>
      <c r="EW13" s="1923">
        <f>IF(AND(CM13="GL kleebetont 3 Nutz.",CN13= "günstig", CO13="bis 2,5 km"),$CR$24,0)</f>
        <v>0</v>
      </c>
      <c r="EX13" s="1923">
        <f>IF(AND(CM13="GL kleebetont 3 Nutz.",CN13= "günstig", CM13="2,5 - 5,0 km"),$CR$25,0)</f>
        <v>0</v>
      </c>
      <c r="EY13" s="1923">
        <f>IF(AND(CM13="GL kleebetont 3 Nutz.",CN13= "günstig", CM13="5,0 - 10 km"),$CR$26,0)</f>
        <v>0</v>
      </c>
      <c r="EZ13" s="1923">
        <f>IF(AND(CM13="GL kleebetont 3 Nutz.",CN13= "günstig", CO13="über 10 km"),$CR$27,0)</f>
        <v>0</v>
      </c>
      <c r="FA13" s="1923">
        <f>IF(AND(CM13="GL kleebetont 3 Nutz.",CN13= "normal", CO13="bis 2,5 km"),$CS$24,0)</f>
        <v>0</v>
      </c>
      <c r="FB13" s="1923">
        <f>IF(AND(CM13="GL kleebetont 3 Nutz.",CN13= "normal", CO13="2,5 - 5,0 km"),$CS$25,0)</f>
        <v>0</v>
      </c>
      <c r="FC13" s="1923">
        <f>IF(AND(CM13="GL kleebetont 3 Nutz.",CN13= "normal", CO13="5,0 - 10 km"),$CS$26,0)</f>
        <v>0</v>
      </c>
      <c r="FD13" s="1923">
        <f>IF(AND(CM13="GL kleebetont 3 Nutz.",CN13= "normal", CO13="über 10 km"),$CS$27,0)</f>
        <v>0</v>
      </c>
      <c r="FE13" s="1923">
        <f>IF(AND(CM13="GL kleebetont 3 Nutz.",CN13= "ungünstig", CO13="bis 2,5 km"),$CT$24,0)</f>
        <v>0</v>
      </c>
      <c r="FF13" s="1923">
        <f>IF(AND(CM13="GL kleebetont 3 Nutz.",CN13= "ungünstig", CO13="2,5 - 5,0 km"),$CT$25,0)</f>
        <v>0</v>
      </c>
      <c r="FG13" s="1923">
        <f>IF(AND(CM13="GL kleebetont 3 Nutz.",CN13= "ungünstig", CO13="5,0 - 10 km"),$CT$26,0)</f>
        <v>0</v>
      </c>
      <c r="FH13" s="1923">
        <f>IF(AND(CM13="GL kleebetont 3 Nutz.",CN13= "ungünstig", CO13="über 10 km"),$CT$27,0)</f>
        <v>0</v>
      </c>
      <c r="FI13" s="1923">
        <f>IF(AND(CM13="GL gräserbetont 3 Nutz.",CN13= "günstig", CO13="bis 2,5 km"),$CR$24,0)</f>
        <v>0</v>
      </c>
      <c r="FJ13" s="1923">
        <f>IF(AND(CM13="GL gräserbetont 3 Nutz.",CN13= "günstig", CO13="2,5 - 5,0 km"),$CR$25,0)</f>
        <v>0</v>
      </c>
      <c r="FK13" s="1923">
        <f>IF(AND(CM13="GL gräserbetont 3 Nutz.",CN13= "günstig", CO13="5,0 - 10 km"),$CR$26,0)</f>
        <v>0</v>
      </c>
      <c r="FL13" s="1923">
        <f>IF(AND(CM13="GL gräserbetont 3 Nutz.",CN13= "günstig", CO13="über 10 km"),$CR$27,0)</f>
        <v>0</v>
      </c>
      <c r="FM13" s="1923">
        <f>IF(AND(CM13="GL gräserbetont 3 Nutz.",CN13= "normal", CO13="bis 2,5 km"),$CS$24,0)</f>
        <v>0</v>
      </c>
      <c r="FN13" s="1923">
        <f>IF(AND(CM13="GL gräserbetont 3 Nutz.",CN13= "normal", CO13="2,5 - 5,0 km"),$CS$25,0)</f>
        <v>0</v>
      </c>
      <c r="FO13" s="1923">
        <f>IF(AND(CM13="GL gräserbetont 3 Nutz.",CN13= "normal", CO13="5,0 - 10 km"),$CS$26,0)</f>
        <v>0</v>
      </c>
      <c r="FP13" s="1923">
        <f>IF(AND(CM13="GL gräserbetont 3 Nutz.",CN13= "normal", CO13="über 10 km"),$CS$27,0)</f>
        <v>0</v>
      </c>
      <c r="FQ13" s="1923">
        <f>IF(AND(CM13="GL gräserbetont 3 Nutz.",CN13= "ungünstig", CO13="bis 2,5 km"),$CT$24,0)</f>
        <v>0</v>
      </c>
      <c r="FR13" s="1923">
        <f>IF(AND(CM13="GL gräserbetont 3 Nutz.",CN13= "ungünstig", CO13="2,5 - 5,0 km"),$CT$25,0)</f>
        <v>0</v>
      </c>
      <c r="FS13" s="1923">
        <f>IF(AND(CM13="GL gräserbetont 3 Nutz.",CN13= "ungünstig", CO13="5,0 - 10 km"),$CT$26,0)</f>
        <v>0</v>
      </c>
      <c r="FT13" s="1923">
        <f>IF(AND(CM13="GL gräserbetont 3 Nutz.",CN13= "ungünstig", CO13="über 10 km"),$CT$27,0)</f>
        <v>0</v>
      </c>
      <c r="FU13" s="1923">
        <f>IF(AND(CM13="GL 3 Nutzungen",CN13= "günstig", CO13="bis 2,5 km"),$CR$24,0)</f>
        <v>0</v>
      </c>
      <c r="FV13" s="1923">
        <f>IF(AND(CM13="GL 3 Nutzungen",CN13= "günstig", CO13="2,5 - 5,0 km"),$CR$25,0)</f>
        <v>0</v>
      </c>
      <c r="FW13" s="1923">
        <f>IF(AND(CM13="GL 3 Nutzungen",CN13= "günstig", CO13="5,0 - 10 km"),$CR$26,0)</f>
        <v>0</v>
      </c>
      <c r="FX13" s="1923">
        <f>IF(AND(CM13="GL 3 Nutzungen",CN13= "günstig", CO13="über 10 km"),$CR$27,0)</f>
        <v>0</v>
      </c>
      <c r="FY13" s="1923">
        <f>IF(AND(CM13="GL 3 Nutzungen",CN13= "normal", CO13="bis 2,5 km"),$CS$24,0)</f>
        <v>0</v>
      </c>
      <c r="FZ13" s="1923">
        <f>IF(AND(CM13="GL 3 Nutzungen",CN13= "normal", CO13="2,5 - 5,0 km"),$CS$25,0)</f>
        <v>0</v>
      </c>
      <c r="GA13" s="1923">
        <f>IF(AND(CM13="GL 3 Nutzungen",CN13= "normal", CO13="5,0 - 10 km"),$CS$26,0)</f>
        <v>0</v>
      </c>
      <c r="GB13" s="1923">
        <f>IF(AND(CM13="GL 3 Nutzungen",CN13= "normal", CO13="über 10 km"),$CS$27,0)</f>
        <v>0</v>
      </c>
      <c r="GC13" s="1923">
        <f>IF(AND(CM13="GL 3 Nutzungen",CN13= "ungünstig", CO13="bis 2,5 km"),$CT$24,0)</f>
        <v>0</v>
      </c>
      <c r="GD13" s="1923">
        <f>IF(AND(CM13="GL 3 Nutzungen",CN13= "ungünstig", CO13="2,5 - 5,0 km"),$CT$25,0)</f>
        <v>0</v>
      </c>
      <c r="GE13" s="1923">
        <f>IF(AND(CM13="GL 3 Nutzungen",CN13= "ungünstig", CO13="5,0 - 10 km"),$CT$26,0)</f>
        <v>0</v>
      </c>
      <c r="GF13" s="1923">
        <f>IF(AND(CM13="GL 3 Nutzungen",CN13= "ungünstig", CO13="über 10 km"),$CT$27,0)</f>
        <v>0</v>
      </c>
      <c r="GG13" s="1925">
        <f>IF(SUM(EW13:GF13)&gt;0,3,0)</f>
        <v>0</v>
      </c>
      <c r="GH13" s="1923">
        <f>IF(AND(CM13="GL 4 Nutzungen",CN13= "günstig", CO13="bis 2,5 km"),$CR$24,0)</f>
        <v>0</v>
      </c>
      <c r="GI13" s="1923">
        <f>IF(AND(CM13="GL 4 Nutzungen",CN13= "günstig", CO13="2,5 - 5,0 km"),$CR$25,0)</f>
        <v>0</v>
      </c>
      <c r="GJ13" s="1923">
        <f>IF(AND(CM13="GL 4 Nutzungen",CN13= "günstig", CO13="5,0 - 10 km"),$CR$26,0)</f>
        <v>0</v>
      </c>
      <c r="GK13" s="1923">
        <f>IF(AND(CM13="GL 4 Nutzungen",CN13= "günstig", CO13="über 10 km"),$CR$27,0)</f>
        <v>0</v>
      </c>
      <c r="GL13" s="1923">
        <f>IF(AND(CM13="GL 4 Nutzungen",CN13= "normal", CO13="bis 2,5 km"),$CS$24,0)</f>
        <v>0</v>
      </c>
      <c r="GM13" s="1923">
        <f>IF(AND(CM13="GL 4 Nutzungen",CN13= "normal", CO13="2,5 - 5,0 km"),$CS$25,0)</f>
        <v>0</v>
      </c>
      <c r="GN13" s="1923">
        <f>IF(AND(CM13="GL 4 Nutzungen",CN13= "normal", CO13="5,0 - 10 km"),$CS$26,0)</f>
        <v>0</v>
      </c>
      <c r="GO13" s="1923">
        <f>IF(AND(CM13="GL 4 Nutzungen",CN13= "normal", CO13="über 10 km"),$CS$27,0)</f>
        <v>0</v>
      </c>
      <c r="GP13" s="1923">
        <f>IF(AND(CM13="GL 4 Nutzungen",CN13= "ungünstig", CO13="bis 2,5 km"),$CT$24,0)</f>
        <v>0</v>
      </c>
      <c r="GQ13" s="1923">
        <f>IF(AND(CM13="GL 4 Nutzungen",CN13= "ungünstig", CO13="2,5 - 5,0 km"),$CT$25,0)</f>
        <v>0</v>
      </c>
      <c r="GR13" s="1923">
        <f>IF(AND(CM13="GL 4 Nutzungen",CN13= "ungünstig", CO13="5,0 - 10 km"),$CT$26,0)</f>
        <v>0</v>
      </c>
      <c r="GS13" s="1923">
        <f>IF(AND(CM13="GL 4 Nutzungen",CN13= "ungünstig", CO13="über 10 km"),$CT$27,0)</f>
        <v>0</v>
      </c>
      <c r="GT13" s="1925">
        <f>IF(SUM(GH13:GS13)&gt;0,4,0)</f>
        <v>0</v>
      </c>
      <c r="GU13" s="1923">
        <f>IF(AND(CM13="GL 5 Nutzungen",CN13= "günstig", CO13="bis 2,5 km"),$CU$24,0)</f>
        <v>0</v>
      </c>
      <c r="GV13" s="1923">
        <f>IF(AND(CM13="GL 5 Nutzungen",CN13= "günstig", CO13="2,5 - 5,0 km"),$CU$25,0)</f>
        <v>0</v>
      </c>
      <c r="GW13" s="1923">
        <f>IF(AND(CM13="GL 5 Nutzungen",CN13= "günstig", CO13="5,0 - 10 km"),$CU$26,0)</f>
        <v>0</v>
      </c>
      <c r="GX13" s="1923">
        <f>IF(AND(CM13="GL 5 Nutzungen",CN13= "günstig", CO13="über 10 km"),$CU$27,0)</f>
        <v>0</v>
      </c>
      <c r="GY13" s="1923">
        <f>IF(AND(CM13="GL 5 Nutzungen",CN13= "normal", CO13="bis 2,5 km"),$CV$24,0)</f>
        <v>0</v>
      </c>
      <c r="GZ13" s="1923">
        <f>IF(AND(CM13="GL 5 Nutzungen",CN13= "normal", CO13="2,5 - 5,0 km"),$CV$25,0)</f>
        <v>0</v>
      </c>
      <c r="HA13" s="1923">
        <f>IF(AND(CM13="GL 5 Nutzungen",CN13= "normal", CO13="5,0 - 10 km"),$CV$26,0)</f>
        <v>0</v>
      </c>
      <c r="HB13" s="1923">
        <f>IF(AND(CM13="GL 5 Nutzungen",CN13= "normal", CO13="über 10 km"),$CV$27,0)</f>
        <v>0</v>
      </c>
      <c r="HC13" s="1923">
        <f>IF(AND(CM13="GL 5 Nutzungen",CN13= "ungünstig", CO13="bis 2,5 km"),$CW$24,0)</f>
        <v>0</v>
      </c>
      <c r="HD13" s="1923">
        <f>IF(AND(CM13="GL 5 Nutzungen",CN13= "ungünstig", CO13="2,5 - 5,0 km"),$CW$25,0)</f>
        <v>0</v>
      </c>
      <c r="HE13" s="1923">
        <f>IF(AND(CM13="GL 5 Nutzungen",CN13= "ungünstig", CO13="5,0 - 10 km"),$CW$26,0)</f>
        <v>0</v>
      </c>
      <c r="HF13" s="1923">
        <f>IF(AND(CM13="GL 5 Nutzungen",CN13= "ungünstig", CO13="über 10 km"),$CW$27,0)</f>
        <v>0</v>
      </c>
      <c r="HG13" s="1925">
        <f>IF(SUM(GU13:HF13)&gt;0,5,0)</f>
        <v>0</v>
      </c>
      <c r="HH13" s="1923">
        <f>IF(AND(CM13="GL 6 Nutzungen",CN13= "günstig", CO13="bis 2,5 km"),$CU$24,0)</f>
        <v>0</v>
      </c>
      <c r="HI13" s="1923">
        <f>IF(AND(CM13="GL 6 Nutzungen",CN13= "günstig", CO13="2,5 - 5,0 km"),$CU$25,0)</f>
        <v>0</v>
      </c>
      <c r="HJ13" s="1923">
        <f>IF(AND(CM13="GL 6 Nutzungen",CN13= "günstig", CO13="5,0 - 10 km"),$CU$26,0)</f>
        <v>0</v>
      </c>
      <c r="HK13" s="1923">
        <f>IF(AND(CM13="GL 6 Nutzungen",CN13= "günstig", CO13="über 10 km"),$CU$27,0)</f>
        <v>0</v>
      </c>
      <c r="HL13" s="1923">
        <f>IF(AND(CM13="GL 6 Nutzungen",CN13= "normal", CO13="bis 2,5 km"),$CV$24,0)</f>
        <v>0</v>
      </c>
      <c r="HM13" s="1923">
        <f>IF(AND(CM13="GL 6 Nutzungen",CN13= "normal", CO13="2,5 - 5,0 km"),$CV$25,0)</f>
        <v>0</v>
      </c>
      <c r="HN13" s="1923">
        <f>IF(AND(CM13="GL 6 Nutzungen",CN13= "normal", CO13="5,0 - 10 km"),$CV$26,0)</f>
        <v>0</v>
      </c>
      <c r="HO13" s="1923">
        <f>IF(AND(CM13="GL 6 Nutzungen",CN13= "normal", CO13="über 10 km"),$CV$27,0)</f>
        <v>0</v>
      </c>
      <c r="HP13" s="1923">
        <f>IF(AND(CM13="GL 6 Nutzungen",CN13= "ungünstig", CO13="bis 2,5 km"),$CW$24,0)</f>
        <v>0</v>
      </c>
      <c r="HQ13" s="1923">
        <f>IF(AND(CM13="GL 6 Nutzungen",CN13= "ungünstig", CO13="2,5 - 5,0 km"),$CW$25,0)</f>
        <v>0</v>
      </c>
      <c r="HR13" s="1923">
        <f>IF(AND(CM13="GL 6 Nutzungen",CN13= "ungünstig", CO13="5,0 - 10 km"),$CW$26,0)</f>
        <v>0</v>
      </c>
      <c r="HS13" s="1923">
        <f>IF(AND(CM13="GL 6 Nutzungen",CN13= "ungünstig", CO13="über 10 km"),$CW$27,0)</f>
        <v>0</v>
      </c>
      <c r="HT13" s="1925">
        <f>IF(SUM(HH13:HS13)&gt;0,6,0)</f>
        <v>0</v>
      </c>
      <c r="HU13" s="1923"/>
      <c r="HV13" s="1920">
        <f>SUM(HW13:IH13)</f>
        <v>0</v>
      </c>
      <c r="HW13" s="1917">
        <f>IF(AND(DE13&gt;0,CN13="günstig",CO13="bis 2,5 km"),$CO$38,0)</f>
        <v>0</v>
      </c>
      <c r="HX13" s="1917">
        <f>IF(AND(DE13&gt;0,CN13="günstig",CO13="2,5 - 5,0 km"),$CO$39,0)</f>
        <v>0</v>
      </c>
      <c r="HY13" s="1917">
        <f>IF(AND(DE13&gt;0,CN13="günstig",CO13="5,0 - 10 km"),$CO$40,0)</f>
        <v>0</v>
      </c>
      <c r="HZ13" s="1917">
        <f>IF(AND(DE13&gt;0,CN13="günstig",CO13="über 10 km"),$CO$41,0)</f>
        <v>0</v>
      </c>
      <c r="IA13" s="1917">
        <f>IF(AND(DE13&gt;0,CN13="normal",CO13="bis 2,5 km"),$CP$38,0)</f>
        <v>0</v>
      </c>
      <c r="IB13" s="1917">
        <f>IF(AND(DE13&gt;0,CN13="normal",CO13="2,5 - 5,0 km"),$CP$39,0)</f>
        <v>0</v>
      </c>
      <c r="IC13" s="1917">
        <f>IF(AND(DE13&gt;0,CN13="normal",CO13="5,0 - 10 km"),$CP$40,0)</f>
        <v>0</v>
      </c>
      <c r="ID13" s="1917">
        <f>IF(AND(DE13&gt;0,CN13="normal",CO13="über 10 km"),$CP$41,0)</f>
        <v>0</v>
      </c>
      <c r="IE13" s="1917">
        <f>IF(AND(DE13&gt;0,CN13="ungünstig",CO13="bis 2,5 km"),$CQ$38,0)</f>
        <v>0</v>
      </c>
      <c r="IF13" s="1917">
        <f>IF(AND(DE13&gt;0,CN13="ungünstig",CO13="2,5 - 5,0 km"),$CQ$39,0)</f>
        <v>0</v>
      </c>
      <c r="IG13" s="1917">
        <f>IF(AND(DE13&gt;0,CN13="ungünstig",CO13="5,0 - 10 km"),$CQ$40,0)</f>
        <v>0</v>
      </c>
      <c r="IH13" s="1917">
        <f>IF(AND(DE13&gt;0,CN13="ungünstig",CO13="über 10 km"),$CQ$41,0)</f>
        <v>0</v>
      </c>
      <c r="II13" s="1917"/>
      <c r="IJ13" s="1920">
        <f>SUM(IK13:IV13)</f>
        <v>0</v>
      </c>
      <c r="IK13" s="1917">
        <f>IF(AND(DM13&gt;0,CN13="günstig",CO13="bis 2,5 km"),$CO$38,0)</f>
        <v>0</v>
      </c>
      <c r="IL13" s="1917">
        <f>IF(AND(DM13&gt;0,CN13="günstig",CO13="2,5 - 5,0 km"),$CO$39,0)</f>
        <v>0</v>
      </c>
      <c r="IM13" s="1917">
        <f>IF(AND(DM13&gt;0,CN13="günstig",CO13="5,0 - 10 km"),$CO$40,0)</f>
        <v>0</v>
      </c>
      <c r="IN13" s="1917">
        <f>IF(AND(DM13&gt;0,CN13="günstig",CO13="über 10 km"),$CO$41,0)</f>
        <v>0</v>
      </c>
      <c r="IO13" s="1917">
        <f>IF(AND(DM13&gt;0,CN13="normal",CO13="bis 2,5 km"),$CP$38,0)</f>
        <v>0</v>
      </c>
      <c r="IP13" s="1917">
        <f>IF(AND(DM13&gt;0,CN13="normal",CO13="2,5 - 5,0 km"),$CP$39,0)</f>
        <v>0</v>
      </c>
      <c r="IQ13" s="1917">
        <f>IF(AND(DM13&gt;0,CN13="normal",CO13="5,0 - 10 km"),$CP$40,0)</f>
        <v>0</v>
      </c>
      <c r="IR13" s="1917">
        <f>IF(AND(DM13&gt;0,CN13="normal",CO13="über 10 km"),$CP$41,0)</f>
        <v>0</v>
      </c>
      <c r="IS13" s="1917">
        <f>IF(AND(DM13&gt;0,CN13="ungünstig",CO13="bis 2,5 km"),$CQ$38,0)</f>
        <v>0</v>
      </c>
      <c r="IT13" s="1917">
        <f>IF(AND(DM13&gt;0,CN13="ungünstig",CO13="2,5 - 5,0 km"),$CQ$39,0)</f>
        <v>0</v>
      </c>
      <c r="IU13" s="1917">
        <f>IF(AND(DM13&gt;0,CN13="ungünstig",CO13="5,0 - 10 km"),$CQ$40,0)</f>
        <v>0</v>
      </c>
      <c r="IV13" s="1917">
        <f>IF(AND(DM13&gt;0,CN13="ungünstig",CO13="über 10 km"),$CQ$41,0)</f>
        <v>0</v>
      </c>
    </row>
    <row r="14" spans="1:256" s="1852" customFormat="1" ht="25.5" customHeight="1">
      <c r="A14" s="832" t="s">
        <v>1173</v>
      </c>
      <c r="B14" s="2185"/>
      <c r="C14" s="2186"/>
      <c r="D14" s="978"/>
      <c r="E14" s="979"/>
      <c r="F14" s="978"/>
      <c r="G14" s="979"/>
      <c r="H14" s="978"/>
      <c r="I14" s="979"/>
      <c r="J14" s="978"/>
      <c r="K14" s="979"/>
      <c r="L14" s="978"/>
      <c r="M14" s="979"/>
      <c r="N14" s="978"/>
      <c r="O14" s="979"/>
      <c r="P14" s="978"/>
      <c r="Q14" s="1119">
        <f>IF(OR(C14="Düngung erhöhen",C14="Düngung reduzieren",C14="unverändert"),Grünland!$H$34,S_30!AB14)</f>
        <v>0</v>
      </c>
      <c r="R14" s="977">
        <f>IFERROR(IF(ISNUMBER(B14),AF$32/B14,0),0)</f>
        <v>0</v>
      </c>
      <c r="S14" s="1602" t="str">
        <f>IF(OR(G8="",G8="NEIN",K8="",K8="NEIN"),"",R14-Q14)</f>
        <v/>
      </c>
      <c r="T14" s="819"/>
      <c r="U14" s="2641" t="str">
        <f>IF(DC14&lt;0,"-","+")</f>
        <v>+</v>
      </c>
      <c r="V14" s="2642">
        <f>IF(DC14&gt;0,DC14,DD14)</f>
        <v>0</v>
      </c>
      <c r="W14" s="2644">
        <f>IFERROR(DB14+DB15,0)</f>
        <v>0</v>
      </c>
      <c r="X14" s="819"/>
      <c r="Y14" s="819"/>
      <c r="Z14" s="819"/>
      <c r="AA14" s="835"/>
      <c r="AB14" s="1888">
        <f>IF($C$14="Nutzungsintensität u Düngung erhöhen",VLOOKUP($D$14,Planung!$W$6:$Y$14,3,0),IF($C$14="Nutzungsintensität u Düngung reduzieren",VLOOKUP($D$14,Planung!$W$6:$Y$14,3,0),IF($C$14="Schnittzahl reduzieren",VLOOKUP($D$14,Planung!$W$6:$Y$14,3,0),IF($C$14="als Dauerweide führen",VLOOKUP("als Dauerweide führen",Planung!$W$6:$Y$14,3,0),IF($C$14="Dauerweidenutzung beenden",VLOOKUP($D$14,Planung!$W$6:$Y$14,3,0),0)))))</f>
        <v>0</v>
      </c>
      <c r="BK14" s="819"/>
      <c r="BL14" s="819"/>
      <c r="BN14" s="1889"/>
      <c r="BO14" s="1889"/>
      <c r="BP14" s="1889"/>
      <c r="BQ14" s="1889"/>
      <c r="BR14" s="1889"/>
      <c r="BS14" s="1889"/>
      <c r="BT14" s="1889"/>
      <c r="BU14" s="1889"/>
      <c r="BV14" s="1889"/>
      <c r="BW14" s="1889"/>
      <c r="BX14" s="1889"/>
      <c r="BY14" s="1889"/>
      <c r="BZ14" s="1889"/>
      <c r="CA14" s="1889"/>
      <c r="CB14" s="1889"/>
      <c r="CD14" s="1906" t="str">
        <f>IF(AND(K8="JA",OR(C14="",C14="unverändert",C14="Düngung erhöhen",C14="Düngung reduzieren")),$H$3,"")</f>
        <v/>
      </c>
      <c r="CE14" s="1907">
        <f t="shared" ref="CE14:CE15" si="2">IF($CD14="",IF($D14=1,"1",0),0)</f>
        <v>0</v>
      </c>
      <c r="CF14" s="1907">
        <f t="shared" ref="CF14:CF15" si="3">IF($CD14="",IF($D14=2,"2",0),0)</f>
        <v>0</v>
      </c>
      <c r="CG14" s="1907">
        <f t="shared" ref="CG14:CG15" si="4">IF($CD14="",IF($D14=3,"3",0),0)</f>
        <v>0</v>
      </c>
      <c r="CH14" s="1907">
        <f t="shared" ref="CH14:CH15" si="5">IF($CD14="",IF($D14=4,"4",0),0)</f>
        <v>0</v>
      </c>
      <c r="CI14" s="1907">
        <f t="shared" ref="CI14:CI15" si="6">IF($CD14="",IF($D14=5,"5",0),0)</f>
        <v>0</v>
      </c>
      <c r="CJ14" s="1907">
        <f t="shared" ref="CJ14:CJ15" si="7">IF($CD14="",IF($D14=6,"6",0),0)</f>
        <v>0</v>
      </c>
      <c r="CK14" s="1907">
        <f t="shared" ref="CK14:CK15" si="8">IF(AND(C14="als Dauerweide führen",D14=0),"7",0)</f>
        <v>0</v>
      </c>
      <c r="CL14" s="1907">
        <f t="shared" ref="CL14:CL15" si="9">CE14+CF14+CG14+CH14+CI14+CJ14+CK14</f>
        <v>0</v>
      </c>
      <c r="CM14" s="1908" t="str">
        <f t="shared" ref="CM14:CM15" si="10">IF(CL14&gt;0,VLOOKUP(CL14,$CD$20:$CE$26,2,0),CD14)</f>
        <v/>
      </c>
      <c r="CN14" s="1852">
        <f>Grünland!AH$34</f>
        <v>0</v>
      </c>
      <c r="CO14" s="1882">
        <f>Grünland!AI$34</f>
        <v>0</v>
      </c>
      <c r="CP14" s="1909">
        <f>DE14*B14</f>
        <v>0</v>
      </c>
      <c r="CQ14" s="1910">
        <f t="shared" ref="CQ14:CQ15" si="11">DM14*B14</f>
        <v>0</v>
      </c>
      <c r="CR14" s="1911" t="e">
        <f>CP14/Betrieb!$E$23</f>
        <v>#DIV/0!</v>
      </c>
      <c r="CS14" s="1911" t="e">
        <f>CQ14/Betrieb!$E$24</f>
        <v>#DIV/0!</v>
      </c>
      <c r="CT14" s="1912">
        <f>(Betrieb!$E$21*Betrieb!$H$21)+(Betrieb!$E$23*Betrieb!$H$23)</f>
        <v>0</v>
      </c>
      <c r="CU14" s="1913">
        <f>(Betrieb!$E$22*Betrieb!$H$22)+(Betrieb!$E$24*Betrieb!$H$24)</f>
        <v>0</v>
      </c>
      <c r="CV14" s="1912">
        <f t="shared" ref="CV14:CV15" si="12">HV14</f>
        <v>0</v>
      </c>
      <c r="CW14" s="1913">
        <f t="shared" ref="CW14:CW15" si="13">IJ14</f>
        <v>0</v>
      </c>
      <c r="CX14" s="1914">
        <f t="shared" ref="CX14:CX15" si="14">DV14</f>
        <v>0</v>
      </c>
      <c r="CY14" s="1915">
        <f t="shared" ref="CY14:CZ15" si="15">IFERROR((CR14/CV14)*CT14,0)</f>
        <v>0</v>
      </c>
      <c r="CZ14" s="1915">
        <f t="shared" si="15"/>
        <v>0</v>
      </c>
      <c r="DA14" s="1916">
        <f>IF(DU14="Weide/Hutweide",$DA$34*B14,((($DA$22+$DA$23+$DA$24)*B14)*DU14)+(((CX14*B14)*$DA$26)*DU14))</f>
        <v>0</v>
      </c>
      <c r="DB14" s="1926" t="e">
        <f>IF(OR(C14="unverändert",C14=""),U6/H2*B14,CY14+CZ14+DA14)</f>
        <v>#DIV/0!</v>
      </c>
      <c r="DC14" s="2609">
        <f>W14-U6</f>
        <v>0</v>
      </c>
      <c r="DD14" s="2612">
        <f>U6-W14</f>
        <v>0</v>
      </c>
      <c r="DE14" s="1920">
        <f t="shared" ref="DE14" si="16">SUM(DF14:DK14)</f>
        <v>0</v>
      </c>
      <c r="DF14" s="1921">
        <f>(IFERROR(IF(SEARCH("gülle",E14),F14),0))+(IFERROR(IF(SEARCH("jauche",E14),F14),0))</f>
        <v>0</v>
      </c>
      <c r="DG14" s="1921">
        <f t="shared" ref="DG14:DG15" si="17">(IFERROR(IF(SEARCH("gülle",G14),H14),0))+(IFERROR(IF(SEARCH("jauche",G14),H14),0))</f>
        <v>0</v>
      </c>
      <c r="DH14" s="1921">
        <f t="shared" ref="DH14:DH15" si="18">(IFERROR(IF(SEARCH("gülle",I14),J14),0))+(IFERROR(IF(SEARCH("jauche",I14),J14),0))</f>
        <v>0</v>
      </c>
      <c r="DI14" s="1921">
        <f t="shared" ref="DI14:DI15" si="19">(IFERROR(IF(SEARCH("gülle",K14),L14),0))+(IFERROR(IF(SEARCH("jauche",K14),L14),0))</f>
        <v>0</v>
      </c>
      <c r="DJ14" s="1921">
        <f t="shared" ref="DJ14:DJ15" si="20">(IFERROR(IF(SEARCH("gülle",M14),N14),0))+(IFERROR(IF(SEARCH("jauche",M14),N14),0))</f>
        <v>0</v>
      </c>
      <c r="DK14" s="1921">
        <f t="shared" ref="DK14:DK15" si="21">(IFERROR(IF(SEARCH("gülle",O14),P14),0))+(IFERROR(IF(SEARCH("jauche",O14),P14),0))</f>
        <v>0</v>
      </c>
      <c r="DM14" s="1920">
        <f t="shared" ref="DM14:DM15" si="22">SUM(DN14:DS14)</f>
        <v>0</v>
      </c>
      <c r="DN14" s="1917">
        <f t="shared" ref="DN14:DN15" si="23">IFERROR(IF(SEARCH("mist",E14),F14),0)</f>
        <v>0</v>
      </c>
      <c r="DO14" s="1917">
        <f t="shared" ref="DO14:DO15" si="24">IFERROR(IF(SEARCH("mist",G14),H14),0)</f>
        <v>0</v>
      </c>
      <c r="DP14" s="1917">
        <f t="shared" ref="DP14:DP15" si="25">IFERROR(IF(SEARCH("mist",I14),J14),0)</f>
        <v>0</v>
      </c>
      <c r="DQ14" s="1917">
        <f t="shared" ref="DQ14:DQ15" si="26">IFERROR(IF(SEARCH("mist",K14),L14),0)</f>
        <v>0</v>
      </c>
      <c r="DR14" s="1917">
        <f t="shared" ref="DR14:DR15" si="27">IFERROR(IF(SEARCH("mist",M14),N14),0)</f>
        <v>0</v>
      </c>
      <c r="DS14" s="1917">
        <f t="shared" ref="DS14:DS15" si="28">IFERROR(IF(SEARCH("mist",O14),P14),0)</f>
        <v>0</v>
      </c>
      <c r="DU14" s="1922">
        <f t="shared" ref="DU14:DU15" si="29">IF(OR(CM14="Mähweide",CM14="Dauerweide",CM14="Hutweide",CM14="Hutweide mit Düngung"),"Weide/Hutweide",(EI14+EV14+GG14+GT14+HG14+HT14))</f>
        <v>0</v>
      </c>
      <c r="DV14" s="1923">
        <f t="shared" ref="DV14:DV15" si="30">SUM(DW14:EH14)+SUM(EJ14:EU14)+SUM(EW14:GF14)+SUM(GH14:GS14)+SUM(GU14:HF14)+SUM(HH14:HS14)</f>
        <v>0</v>
      </c>
      <c r="DW14" s="1923">
        <f t="shared" ref="DW14:DW15" si="31">IF(AND(CM14="Grünland  1 Nutzung",CN14= "günstig", CO14="bis 2,5 km"),$CO$24,0)</f>
        <v>0</v>
      </c>
      <c r="DX14" s="1923">
        <f t="shared" ref="DX14:DX15" si="32">IF(AND(CM14="Grünland  1 Nutzung",CN14= "günstig", CO14="2,5 - 5,0 km"),$CO$25,0)</f>
        <v>0</v>
      </c>
      <c r="DY14" s="1923">
        <f t="shared" ref="DY14:DY15" si="33">IF(AND(CM14="Grünland  1 Nutzung",CN14= "günstig", CO14="5,0 - 10 km"),$CO$26,0)</f>
        <v>0</v>
      </c>
      <c r="DZ14" s="1923">
        <f t="shared" ref="DZ14:DZ15" si="34">IF(AND(CM14="Grünland  1 Nutzung",CN14= "günstig", CO14="über 10 km"),$CO$27,0)</f>
        <v>0</v>
      </c>
      <c r="EA14" s="1923">
        <f t="shared" ref="EA14:EA15" si="35">IF(AND(CM14="Grünland  1 Nutzung",CN14= "normal", CO14="bis 2,5 km"),$CP$24,0)</f>
        <v>0</v>
      </c>
      <c r="EB14" s="1923">
        <f t="shared" ref="EB14:EB15" si="36">IF(AND(CM14="Grünland  1 Nutzung",CN14= "normal", CO14="2,5 - 5,0 km"),$CP$25,0)</f>
        <v>0</v>
      </c>
      <c r="EC14" s="1923">
        <f t="shared" ref="EC14:EC15" si="37">IF(AND(CM14="Grünland  1 Nutzung",CN14= "normal", CO14="5,0 - 10 km"),$CP$26,0)</f>
        <v>0</v>
      </c>
      <c r="ED14" s="1923">
        <f t="shared" ref="ED14:ED15" si="38">IF(AND(CM14="Grünland  1 Nutzung",CN14= "normal", CO14="über 10 km"),$CP$27,0)</f>
        <v>0</v>
      </c>
      <c r="EE14" s="1923">
        <f t="shared" ref="EE14:EE15" si="39">IF(AND(CM14="Grünland  1 Nutzung",CN14= "ungünstig", CO14="bis 2,5 km"),$CQ$24,0)</f>
        <v>0</v>
      </c>
      <c r="EF14" s="1923">
        <f t="shared" ref="EF14:EF15" si="40">IF(AND(CM14="Grünland  1 Nutzung",CN14= "ungünstig", CO14="2,5 - 5,0 km"),$CQ$25,0)</f>
        <v>0</v>
      </c>
      <c r="EG14" s="1923">
        <f t="shared" ref="EG14:EG15" si="41">IF(AND(CM14="Grünland  1 Nutzung",CN14= "ungünstig", CO14="5,0 - 10 km"),$CQ$26,0)</f>
        <v>0</v>
      </c>
      <c r="EH14" s="1923">
        <f t="shared" ref="EH14:EH15" si="42">IF(AND(CM14="Grünland  1 Nutzung",CN14= "ungünstig", CO14="über 10 km"),$CQ$27,0)</f>
        <v>0</v>
      </c>
      <c r="EI14" s="1924">
        <f t="shared" ref="EI14:EI15" si="43">IF(SUM(DW14:EH14)&gt;0,1,0)</f>
        <v>0</v>
      </c>
      <c r="EJ14" s="1923">
        <f t="shared" ref="EJ14:EJ15" si="44">IF(AND(CM14="Grünland  2 Nutzungen",CN14= "günstig", CO14="bis 2,5 km"),$CR$24,0)</f>
        <v>0</v>
      </c>
      <c r="EK14" s="1923">
        <f t="shared" ref="EK14:EK15" si="45">IF(AND(CM14="Grünland  2 Nutzungen",CN14= "günstig", CO14="2,5 - 5,0 km"),$CR$25,0)</f>
        <v>0</v>
      </c>
      <c r="EL14" s="1923">
        <f t="shared" ref="EL14:EL15" si="46">IF(AND(CM14="Grünland  2 Nutzungen",CN14= "günstig", CO14="5,0 - 10 km"),$CR$26,0)</f>
        <v>0</v>
      </c>
      <c r="EM14" s="1923">
        <f t="shared" ref="EM14:EM15" si="47">IF(AND(CM14="Grünland  2 Nutzungen",CN14= "günstig", CO14="über 10 km"),$CR$27,0)</f>
        <v>0</v>
      </c>
      <c r="EN14" s="1923">
        <f t="shared" ref="EN14:EN15" si="48">IF(AND(CM14="Grünland  2 Nutzungen",CN14= "normal", CO14="bis 2,5 km"),$CS$24,0)</f>
        <v>0</v>
      </c>
      <c r="EO14" s="1923">
        <f t="shared" ref="EO14:EO15" si="49">IF(AND(CM14="Grünland  2 Nutzungen",CN14= "normal", CO14="2,5 - 5,0 km"),$CS$25,0)</f>
        <v>0</v>
      </c>
      <c r="EP14" s="1923">
        <f t="shared" ref="EP14:EP15" si="50">IF(AND(CM14="Grünland  2 Nutzungen",CN14= "normal", CO14="5,0 - 10 km"),$CS$26,0)</f>
        <v>0</v>
      </c>
      <c r="EQ14" s="1923">
        <f t="shared" ref="EQ14:EQ15" si="51">IF(AND(CM14="Grünland  2 Nutzungen",CN14= "normal", CO14="über 10 km"),$CS$27,0)</f>
        <v>0</v>
      </c>
      <c r="ER14" s="1923">
        <f t="shared" ref="ER14:ER15" si="52">IF(AND(CM14="Grünland  2 Nutzungen",CN14= "ungünstig", CO14="bis 2,5 km"),$CT$24,0)</f>
        <v>0</v>
      </c>
      <c r="ES14" s="1923">
        <f t="shared" ref="ES14:ES15" si="53">IF(AND(CM14="Grünland  2 Nutzungen",CN14= "ungünstig", CO14="2,5 - 5,0 km"),$CT$25,0)</f>
        <v>0</v>
      </c>
      <c r="ET14" s="1923">
        <f t="shared" ref="ET14:ET15" si="54">IF(AND(CM14="Grünland  2 Nutzungen",CN14= "ungünstig", CO14="5,0 - 10 km"),$CT$26,0)</f>
        <v>0</v>
      </c>
      <c r="EU14" s="1923">
        <f t="shared" ref="EU14:EU15" si="55">IF(AND(CM14="Grünland  2 Nutzungen",CN14= "ungünstig", CO14="über 10 km"),$CT$27,0)</f>
        <v>0</v>
      </c>
      <c r="EV14" s="1925">
        <f t="shared" ref="EV14:EV15" si="56">IF(SUM(EJ14:EU14)&gt;0,2,0)</f>
        <v>0</v>
      </c>
      <c r="EW14" s="1923">
        <f t="shared" ref="EW14:EW15" si="57">IF(AND(CM14="GL kleebetont 3 Nutz.",CN14= "günstig", CO14="bis 2,5 km"),$CR$24,0)</f>
        <v>0</v>
      </c>
      <c r="EX14" s="1923">
        <f t="shared" ref="EX14:EX15" si="58">IF(AND(CM14="GL kleebetont 3 Nutz.",CN14= "günstig", CM14="2,5 - 5,0 km"),$CR$25,0)</f>
        <v>0</v>
      </c>
      <c r="EY14" s="1923">
        <f t="shared" ref="EY14:EY15" si="59">IF(AND(CM14="GL kleebetont 3 Nutz.",CN14= "günstig", CM14="5,0 - 10 km"),$CR$26,0)</f>
        <v>0</v>
      </c>
      <c r="EZ14" s="1923">
        <f t="shared" ref="EZ14:EZ15" si="60">IF(AND(CM14="GL kleebetont 3 Nutz.",CN14= "günstig", CO14="über 10 km"),$CR$27,0)</f>
        <v>0</v>
      </c>
      <c r="FA14" s="1923">
        <f t="shared" ref="FA14:FA15" si="61">IF(AND(CM14="GL kleebetont 3 Nutz.",CN14= "normal", CO14="bis 2,5 km"),$CS$24,0)</f>
        <v>0</v>
      </c>
      <c r="FB14" s="1923">
        <f t="shared" ref="FB14:FB15" si="62">IF(AND(CM14="GL kleebetont 3 Nutz.",CN14= "normal", CO14="2,5 - 5,0 km"),$CS$25,0)</f>
        <v>0</v>
      </c>
      <c r="FC14" s="1923">
        <f t="shared" ref="FC14:FC15" si="63">IF(AND(CM14="GL kleebetont 3 Nutz.",CN14= "normal", CO14="5,0 - 10 km"),$CS$26,0)</f>
        <v>0</v>
      </c>
      <c r="FD14" s="1923">
        <f t="shared" ref="FD14:FD15" si="64">IF(AND(CM14="GL kleebetont 3 Nutz.",CN14= "normal", CO14="über 10 km"),$CS$27,0)</f>
        <v>0</v>
      </c>
      <c r="FE14" s="1923">
        <f t="shared" ref="FE14:FE15" si="65">IF(AND(CM14="GL kleebetont 3 Nutz.",CN14= "ungünstig", CO14="bis 2,5 km"),$CT$24,0)</f>
        <v>0</v>
      </c>
      <c r="FF14" s="1923">
        <f t="shared" ref="FF14:FF15" si="66">IF(AND(CM14="GL kleebetont 3 Nutz.",CN14= "ungünstig", CO14="2,5 - 5,0 km"),$CT$25,0)</f>
        <v>0</v>
      </c>
      <c r="FG14" s="1923">
        <f t="shared" ref="FG14:FG15" si="67">IF(AND(CM14="GL kleebetont 3 Nutz.",CN14= "ungünstig", CO14="5,0 - 10 km"),$CT$26,0)</f>
        <v>0</v>
      </c>
      <c r="FH14" s="1923">
        <f t="shared" ref="FH14:FH15" si="68">IF(AND(CM14="GL kleebetont 3 Nutz.",CN14= "ungünstig", CO14="über 10 km"),$CT$27,0)</f>
        <v>0</v>
      </c>
      <c r="FI14" s="1923">
        <f t="shared" ref="FI14:FI15" si="69">IF(AND(CM14="GL gräserbetont 3 Nutz.",CN14= "günstig", CO14="bis 2,5 km"),$CR$24,0)</f>
        <v>0</v>
      </c>
      <c r="FJ14" s="1923">
        <f t="shared" ref="FJ14:FJ15" si="70">IF(AND(CM14="GL gräserbetont 3 Nutz.",CN14= "günstig", CO14="2,5 - 5,0 km"),$CR$25,0)</f>
        <v>0</v>
      </c>
      <c r="FK14" s="1923">
        <f t="shared" ref="FK14:FK15" si="71">IF(AND(CM14="GL gräserbetont 3 Nutz.",CN14= "günstig", CO14="5,0 - 10 km"),$CR$26,0)</f>
        <v>0</v>
      </c>
      <c r="FL14" s="1923">
        <f t="shared" ref="FL14:FL15" si="72">IF(AND(CM14="GL gräserbetont 3 Nutz.",CN14= "günstig", CO14="über 10 km"),$CR$27,0)</f>
        <v>0</v>
      </c>
      <c r="FM14" s="1923">
        <f t="shared" ref="FM14:FM15" si="73">IF(AND(CM14="GL gräserbetont 3 Nutz.",CN14= "normal", CO14="bis 2,5 km"),$CS$24,0)</f>
        <v>0</v>
      </c>
      <c r="FN14" s="1923">
        <f t="shared" ref="FN14:FN15" si="74">IF(AND(CM14="GL gräserbetont 3 Nutz.",CN14= "normal", CO14="2,5 - 5,0 km"),$CS$25,0)</f>
        <v>0</v>
      </c>
      <c r="FO14" s="1923">
        <f t="shared" ref="FO14:FO15" si="75">IF(AND(CM14="GL gräserbetont 3 Nutz.",CN14= "normal", CO14="5,0 - 10 km"),$CS$26,0)</f>
        <v>0</v>
      </c>
      <c r="FP14" s="1923">
        <f t="shared" ref="FP14:FP15" si="76">IF(AND(CM14="GL gräserbetont 3 Nutz.",CN14= "normal", CO14="über 10 km"),$CS$27,0)</f>
        <v>0</v>
      </c>
      <c r="FQ14" s="1923">
        <f t="shared" ref="FQ14:FQ15" si="77">IF(AND(CM14="GL gräserbetont 3 Nutz.",CN14= "ungünstig", CO14="bis 2,5 km"),$CT$24,0)</f>
        <v>0</v>
      </c>
      <c r="FR14" s="1923">
        <f t="shared" ref="FR14:FR15" si="78">IF(AND(CM14="GL gräserbetont 3 Nutz.",CN14= "ungünstig", CO14="2,5 - 5,0 km"),$CT$25,0)</f>
        <v>0</v>
      </c>
      <c r="FS14" s="1923">
        <f t="shared" ref="FS14:FS15" si="79">IF(AND(CM14="GL gräserbetont 3 Nutz.",CN14= "ungünstig", CO14="5,0 - 10 km"),$CT$26,0)</f>
        <v>0</v>
      </c>
      <c r="FT14" s="1923">
        <f t="shared" ref="FT14:FT15" si="80">IF(AND(CM14="GL gräserbetont 3 Nutz.",CN14= "ungünstig", CO14="über 10 km"),$CT$27,0)</f>
        <v>0</v>
      </c>
      <c r="FU14" s="1923">
        <f t="shared" ref="FU14:FU15" si="81">IF(AND(CM14="GL 3 Nutzungen",CN14= "günstig", CO14="bis 2,5 km"),$CR$24,0)</f>
        <v>0</v>
      </c>
      <c r="FV14" s="1923">
        <f t="shared" ref="FV14:FV15" si="82">IF(AND(CM14="GL 3 Nutzungen",CN14= "günstig", CO14="2,5 - 5,0 km"),$CR$25,0)</f>
        <v>0</v>
      </c>
      <c r="FW14" s="1923">
        <f t="shared" ref="FW14:FW15" si="83">IF(AND(CM14="GL 3 Nutzungen",CN14= "günstig", CO14="5,0 - 10 km"),$CR$26,0)</f>
        <v>0</v>
      </c>
      <c r="FX14" s="1923">
        <f t="shared" ref="FX14:FX15" si="84">IF(AND(CM14="GL 3 Nutzungen",CN14= "günstig", CO14="über 10 km"),$CR$27,0)</f>
        <v>0</v>
      </c>
      <c r="FY14" s="1923">
        <f t="shared" ref="FY14:FY15" si="85">IF(AND(CM14="GL 3 Nutzungen",CN14= "normal", CO14="bis 2,5 km"),$CS$24,0)</f>
        <v>0</v>
      </c>
      <c r="FZ14" s="1923">
        <f t="shared" ref="FZ14:FZ15" si="86">IF(AND(CM14="GL 3 Nutzungen",CN14= "normal", CO14="2,5 - 5,0 km"),$CS$25,0)</f>
        <v>0</v>
      </c>
      <c r="GA14" s="1923">
        <f t="shared" ref="GA14:GA15" si="87">IF(AND(CM14="GL 3 Nutzungen",CN14= "normal", CO14="5,0 - 10 km"),$CS$26,0)</f>
        <v>0</v>
      </c>
      <c r="GB14" s="1923">
        <f t="shared" ref="GB14:GB15" si="88">IF(AND(CM14="GL 3 Nutzungen",CN14= "normal", CO14="über 10 km"),$CS$27,0)</f>
        <v>0</v>
      </c>
      <c r="GC14" s="1923">
        <f t="shared" ref="GC14:GC15" si="89">IF(AND(CM14="GL 3 Nutzungen",CN14= "ungünstig", CO14="bis 2,5 km"),$CT$24,0)</f>
        <v>0</v>
      </c>
      <c r="GD14" s="1923">
        <f t="shared" ref="GD14:GD15" si="90">IF(AND(CM14="GL 3 Nutzungen",CN14= "ungünstig", CO14="2,5 - 5,0 km"),$CT$25,0)</f>
        <v>0</v>
      </c>
      <c r="GE14" s="1923">
        <f t="shared" ref="GE14:GE15" si="91">IF(AND(CM14="GL 3 Nutzungen",CN14= "ungünstig", CO14="5,0 - 10 km"),$CT$26,0)</f>
        <v>0</v>
      </c>
      <c r="GF14" s="1923">
        <f t="shared" ref="GF14:GF15" si="92">IF(AND(CM14="GL 3 Nutzungen",CN14= "ungünstig", CO14="über 10 km"),$CT$27,0)</f>
        <v>0</v>
      </c>
      <c r="GG14" s="1925">
        <f t="shared" ref="GG14:GG15" si="93">IF(SUM(EW14:GF14)&gt;0,3,0)</f>
        <v>0</v>
      </c>
      <c r="GH14" s="1923">
        <f t="shared" ref="GH14:GH15" si="94">IF(AND(CM14="GL 4 Nutzungen",CN14= "günstig", CO14="bis 2,5 km"),$CR$24,0)</f>
        <v>0</v>
      </c>
      <c r="GI14" s="1923">
        <f t="shared" ref="GI14:GI15" si="95">IF(AND(CM14="GL 4 Nutzungen",CN14= "günstig", CO14="2,5 - 5,0 km"),$CR$25,0)</f>
        <v>0</v>
      </c>
      <c r="GJ14" s="1923">
        <f t="shared" ref="GJ14:GJ15" si="96">IF(AND(CM14="GL 4 Nutzungen",CN14= "günstig", CO14="5,0 - 10 km"),$CR$26,0)</f>
        <v>0</v>
      </c>
      <c r="GK14" s="1923">
        <f t="shared" ref="GK14:GK15" si="97">IF(AND(CM14="GL 4 Nutzungen",CN14= "günstig", CO14="über 10 km"),$CR$27,0)</f>
        <v>0</v>
      </c>
      <c r="GL14" s="1923">
        <f t="shared" ref="GL14:GL15" si="98">IF(AND(CM14="GL 4 Nutzungen",CN14= "normal", CO14="bis 2,5 km"),$CS$24,0)</f>
        <v>0</v>
      </c>
      <c r="GM14" s="1923">
        <f t="shared" ref="GM14:GM15" si="99">IF(AND(CM14="GL 4 Nutzungen",CN14= "normal", CO14="2,5 - 5,0 km"),$CS$25,0)</f>
        <v>0</v>
      </c>
      <c r="GN14" s="1923">
        <f t="shared" ref="GN14:GN15" si="100">IF(AND(CM14="GL 4 Nutzungen",CN14= "normal", CO14="5,0 - 10 km"),$CS$26,0)</f>
        <v>0</v>
      </c>
      <c r="GO14" s="1923">
        <f t="shared" ref="GO14:GO15" si="101">IF(AND(CM14="GL 4 Nutzungen",CN14= "normal", CO14="über 10 km"),$CS$27,0)</f>
        <v>0</v>
      </c>
      <c r="GP14" s="1923">
        <f t="shared" ref="GP14:GP15" si="102">IF(AND(CM14="GL 4 Nutzungen",CN14= "ungünstig", CO14="bis 2,5 km"),$CT$24,0)</f>
        <v>0</v>
      </c>
      <c r="GQ14" s="1923">
        <f t="shared" ref="GQ14:GQ15" si="103">IF(AND(CM14="GL 4 Nutzungen",CN14= "ungünstig", CO14="2,5 - 5,0 km"),$CT$25,0)</f>
        <v>0</v>
      </c>
      <c r="GR14" s="1923">
        <f t="shared" ref="GR14:GR15" si="104">IF(AND(CM14="GL 4 Nutzungen",CN14= "ungünstig", CO14="5,0 - 10 km"),$CT$26,0)</f>
        <v>0</v>
      </c>
      <c r="GS14" s="1923">
        <f t="shared" ref="GS14:GS15" si="105">IF(AND(CM14="GL 4 Nutzungen",CN14= "ungünstig", CO14="über 10 km"),$CT$27,0)</f>
        <v>0</v>
      </c>
      <c r="GT14" s="1925">
        <f t="shared" ref="GT14:GT15" si="106">IF(SUM(GH14:GS14)&gt;0,4,0)</f>
        <v>0</v>
      </c>
      <c r="GU14" s="1923">
        <f t="shared" ref="GU14:GU15" si="107">IF(AND(CM14="GL 5 Nutzungen",CN14= "günstig", CO14="bis 2,5 km"),$CU$24,0)</f>
        <v>0</v>
      </c>
      <c r="GV14" s="1923">
        <f t="shared" ref="GV14:GV15" si="108">IF(AND(CM14="GL 5 Nutzungen",CN14= "günstig", CO14="2,5 - 5,0 km"),$CU$25,0)</f>
        <v>0</v>
      </c>
      <c r="GW14" s="1923">
        <f t="shared" ref="GW14:GW15" si="109">IF(AND(CM14="GL 5 Nutzungen",CN14= "günstig", CO14="5,0 - 10 km"),$CU$26,0)</f>
        <v>0</v>
      </c>
      <c r="GX14" s="1923">
        <f t="shared" ref="GX14:GX15" si="110">IF(AND(CM14="GL 5 Nutzungen",CN14= "günstig", CO14="über 10 km"),$CU$27,0)</f>
        <v>0</v>
      </c>
      <c r="GY14" s="1923">
        <f t="shared" ref="GY14:GY15" si="111">IF(AND(CM14="GL 5 Nutzungen",CN14= "normal", CO14="bis 2,5 km"),$CV$24,0)</f>
        <v>0</v>
      </c>
      <c r="GZ14" s="1923">
        <f t="shared" ref="GZ14:GZ15" si="112">IF(AND(CM14="GL 5 Nutzungen",CN14= "normal", CO14="2,5 - 5,0 km"),$CV$25,0)</f>
        <v>0</v>
      </c>
      <c r="HA14" s="1923">
        <f t="shared" ref="HA14:HA15" si="113">IF(AND(CM14="GL 5 Nutzungen",CN14= "normal", CO14="5,0 - 10 km"),$CV$26,0)</f>
        <v>0</v>
      </c>
      <c r="HB14" s="1923">
        <f t="shared" ref="HB14:HB15" si="114">IF(AND(CM14="GL 5 Nutzungen",CN14= "normal", CO14="über 10 km"),$CV$27,0)</f>
        <v>0</v>
      </c>
      <c r="HC14" s="1923">
        <f t="shared" ref="HC14:HC15" si="115">IF(AND(CM14="GL 5 Nutzungen",CN14= "ungünstig", CO14="bis 2,5 km"),$CW$24,0)</f>
        <v>0</v>
      </c>
      <c r="HD14" s="1923">
        <f t="shared" ref="HD14:HD15" si="116">IF(AND(CM14="GL 5 Nutzungen",CN14= "ungünstig", CO14="2,5 - 5,0 km"),$CW$25,0)</f>
        <v>0</v>
      </c>
      <c r="HE14" s="1923">
        <f t="shared" ref="HE14:HE15" si="117">IF(AND(CM14="GL 5 Nutzungen",CN14= "ungünstig", CO14="5,0 - 10 km"),$CW$26,0)</f>
        <v>0</v>
      </c>
      <c r="HF14" s="1923">
        <f t="shared" ref="HF14:HF15" si="118">IF(AND(CM14="GL 5 Nutzungen",CN14= "ungünstig", CO14="über 10 km"),$CW$27,0)</f>
        <v>0</v>
      </c>
      <c r="HG14" s="1925">
        <f t="shared" ref="HG14:HG15" si="119">IF(SUM(GU14:HF14)&gt;0,5,0)</f>
        <v>0</v>
      </c>
      <c r="HH14" s="1923">
        <f t="shared" ref="HH14:HH15" si="120">IF(AND(CM14="GL 6 Nutzungen",CN14= "günstig", CO14="bis 2,5 km"),$CU$24,0)</f>
        <v>0</v>
      </c>
      <c r="HI14" s="1923">
        <f t="shared" ref="HI14:HI15" si="121">IF(AND(CM14="GL 6 Nutzungen",CN14= "günstig", CO14="2,5 - 5,0 km"),$CU$25,0)</f>
        <v>0</v>
      </c>
      <c r="HJ14" s="1923">
        <f t="shared" ref="HJ14:HJ15" si="122">IF(AND(CM14="GL 6 Nutzungen",CN14= "günstig", CO14="5,0 - 10 km"),$CU$26,0)</f>
        <v>0</v>
      </c>
      <c r="HK14" s="1923">
        <f t="shared" ref="HK14:HK15" si="123">IF(AND(CM14="GL 6 Nutzungen",CN14= "günstig", CO14="über 10 km"),$CU$27,0)</f>
        <v>0</v>
      </c>
      <c r="HL14" s="1923">
        <f t="shared" ref="HL14:HL15" si="124">IF(AND(CM14="GL 6 Nutzungen",CN14= "normal", CO14="bis 2,5 km"),$CV$24,0)</f>
        <v>0</v>
      </c>
      <c r="HM14" s="1923">
        <f t="shared" ref="HM14:HM15" si="125">IF(AND(CM14="GL 6 Nutzungen",CN14= "normal", CO14="2,5 - 5,0 km"),$CV$25,0)</f>
        <v>0</v>
      </c>
      <c r="HN14" s="1923">
        <f t="shared" ref="HN14:HN15" si="126">IF(AND(CM14="GL 6 Nutzungen",CN14= "normal", CO14="5,0 - 10 km"),$CV$26,0)</f>
        <v>0</v>
      </c>
      <c r="HO14" s="1923">
        <f t="shared" ref="HO14:HO15" si="127">IF(AND(CM14="GL 6 Nutzungen",CN14= "normal", CO14="über 10 km"),$CV$27,0)</f>
        <v>0</v>
      </c>
      <c r="HP14" s="1923">
        <f t="shared" ref="HP14:HP15" si="128">IF(AND(CM14="GL 6 Nutzungen",CN14= "ungünstig", CO14="bis 2,5 km"),$CW$24,0)</f>
        <v>0</v>
      </c>
      <c r="HQ14" s="1923">
        <f t="shared" ref="HQ14:HQ15" si="129">IF(AND(CM14="GL 6 Nutzungen",CN14= "ungünstig", CO14="2,5 - 5,0 km"),$CW$25,0)</f>
        <v>0</v>
      </c>
      <c r="HR14" s="1923">
        <f t="shared" ref="HR14:HR15" si="130">IF(AND(CM14="GL 6 Nutzungen",CN14= "ungünstig", CO14="5,0 - 10 km"),$CW$26,0)</f>
        <v>0</v>
      </c>
      <c r="HS14" s="1923">
        <f t="shared" ref="HS14:HS15" si="131">IF(AND(CM14="GL 6 Nutzungen",CN14= "ungünstig", CO14="über 10 km"),$CW$27,0)</f>
        <v>0</v>
      </c>
      <c r="HT14" s="1925">
        <f t="shared" ref="HT14:HT15" si="132">IF(SUM(HH14:HS14)&gt;0,6,0)</f>
        <v>0</v>
      </c>
      <c r="HV14" s="1920">
        <f>SUM(HW14:IH14)</f>
        <v>0</v>
      </c>
      <c r="HW14" s="1917">
        <f>IF(AND(DE14&gt;0,CN14="günstig",CO14="bis 2,5 km"),$CO$38,0)</f>
        <v>0</v>
      </c>
      <c r="HX14" s="1917">
        <f>IF(AND(DE14&gt;0,CN14="günstig",CO14="2,5 - 5,0 km"),$CO$39,0)</f>
        <v>0</v>
      </c>
      <c r="HY14" s="1917">
        <f>IF(AND(DE14&gt;0,CN14="günstig",CO14="5,0 - 10 km"),$CO$40,0)</f>
        <v>0</v>
      </c>
      <c r="HZ14" s="1917">
        <f>IF(AND(DE14&gt;0,CN14="günstig",CO14="über 10 km"),$CO$41,0)</f>
        <v>0</v>
      </c>
      <c r="IA14" s="1917">
        <f>IF(AND(DE14&gt;0,CN14="normal",CO14="bis 2,5 km"),$CP$38,0)</f>
        <v>0</v>
      </c>
      <c r="IB14" s="1917">
        <f>IF(AND(DE14&gt;0,CN14="normal",CO14="2,5 - 5,0 km"),$CP$39,0)</f>
        <v>0</v>
      </c>
      <c r="IC14" s="1917">
        <f>IF(AND(DE14&gt;0,CN14="normal",CO14="5,0 - 10 km"),$CP$40,0)</f>
        <v>0</v>
      </c>
      <c r="ID14" s="1917">
        <f>IF(AND(DE14&gt;0,CN14="normal",CO14="über 10 km"),$CP$41,0)</f>
        <v>0</v>
      </c>
      <c r="IE14" s="1917">
        <f>IF(AND(DE14&gt;0,CN14="ungünstig",CO14="bis 2,5 km"),$CQ$38,0)</f>
        <v>0</v>
      </c>
      <c r="IF14" s="1917">
        <f>IF(AND(DE14&gt;0,CN14="ungünstig",CO14="2,5 - 5,0 km"),$CQ$39,0)</f>
        <v>0</v>
      </c>
      <c r="IG14" s="1917">
        <f>IF(AND(DE14&gt;0,CN14="ungünstig",CO14="5,0 - 10 km"),$CQ$40,0)</f>
        <v>0</v>
      </c>
      <c r="IH14" s="1917">
        <f>IF(AND(DE14&gt;0,CN14="ungünstig",CO14="über 10 km"),$CQ$41,0)</f>
        <v>0</v>
      </c>
      <c r="IJ14" s="1920">
        <f t="shared" ref="IJ14" si="133">SUM(IK14:IV14)</f>
        <v>0</v>
      </c>
      <c r="IK14" s="1917">
        <f t="shared" ref="IK14:IK15" si="134">IF(AND(DM14&gt;0,CN14="günstig",CO14="bis 2,5 km"),$CO$38,0)</f>
        <v>0</v>
      </c>
      <c r="IL14" s="1917">
        <f t="shared" ref="IL14:IL15" si="135">IF(AND(DM14&gt;0,CN14="günstig",CO14="2,5 - 5,0 km"),$CO$39,0)</f>
        <v>0</v>
      </c>
      <c r="IM14" s="1917">
        <f t="shared" ref="IM14:IM15" si="136">IF(AND(DM14&gt;0,CN14="günstig",CO14="5,0 - 10 km"),$CO$40,0)</f>
        <v>0</v>
      </c>
      <c r="IN14" s="1917">
        <f t="shared" ref="IN14:IN15" si="137">IF(AND(DM14&gt;0,CN14="günstig",CO14="über 10 km"),$CO$41,0)</f>
        <v>0</v>
      </c>
      <c r="IO14" s="1917">
        <f t="shared" ref="IO14:IO15" si="138">IF(AND(DM14&gt;0,CN14="normal",CO14="bis 2,5 km"),$CP$38,0)</f>
        <v>0</v>
      </c>
      <c r="IP14" s="1917">
        <f t="shared" ref="IP14:IP15" si="139">IF(AND(DM14&gt;0,CN14="normal",CO14="2,5 - 5,0 km"),$CP$39,0)</f>
        <v>0</v>
      </c>
      <c r="IQ14" s="1917">
        <f t="shared" ref="IQ14:IQ15" si="140">IF(AND(DM14&gt;0,CN14="normal",CO14="5,0 - 10 km"),$CP$40,0)</f>
        <v>0</v>
      </c>
      <c r="IR14" s="1917">
        <f t="shared" ref="IR14:IR15" si="141">IF(AND(DM14&gt;0,CN14="normal",CO14="über 10 km"),$CP$41,0)</f>
        <v>0</v>
      </c>
      <c r="IS14" s="1917">
        <f t="shared" ref="IS14:IS15" si="142">IF(AND(DM14&gt;0,CN14="ungünstig",CO14="bis 2,5 km"),$CQ$38,0)</f>
        <v>0</v>
      </c>
      <c r="IT14" s="1917">
        <f t="shared" ref="IT14:IT15" si="143">IF(AND(DM14&gt;0,CN14="ungünstig",CO14="2,5 - 5,0 km"),$CQ$39,0)</f>
        <v>0</v>
      </c>
      <c r="IU14" s="1917">
        <f t="shared" ref="IU14:IU15" si="144">IF(AND(DM14&gt;0,CN14="ungünstig",CO14="5,0 - 10 km"),$CQ$40,0)</f>
        <v>0</v>
      </c>
      <c r="IV14" s="1917">
        <f t="shared" ref="IV14:IV15" si="145">IF(AND(DM14&gt;0,CN14="ungünstig",CO14="über 10 km"),$CQ$41,0)</f>
        <v>0</v>
      </c>
    </row>
    <row r="15" spans="1:256" s="1852" customFormat="1" ht="25.5" customHeight="1">
      <c r="A15" s="832" t="s">
        <v>1167</v>
      </c>
      <c r="B15" s="2185"/>
      <c r="C15" s="2186"/>
      <c r="D15" s="978"/>
      <c r="E15" s="979"/>
      <c r="F15" s="978"/>
      <c r="G15" s="979"/>
      <c r="H15" s="978"/>
      <c r="I15" s="979"/>
      <c r="J15" s="978"/>
      <c r="K15" s="979"/>
      <c r="L15" s="978"/>
      <c r="M15" s="979"/>
      <c r="N15" s="978"/>
      <c r="O15" s="979"/>
      <c r="P15" s="978"/>
      <c r="Q15" s="1119">
        <f>IF(OR(C15="Düngung erhöhen",C15="Düngung reduzieren",C15="unverändert"),Grünland!$H$34,S_30!AB15)</f>
        <v>0</v>
      </c>
      <c r="R15" s="977">
        <f>IFERROR(IF(ISNUMBER(B15),AG$32/B15,0),0)</f>
        <v>0</v>
      </c>
      <c r="S15" s="1602" t="str">
        <f>IF(OR(G8="",G8="NEIN",K8="",K8="NEIN"),"",R15-Q15)</f>
        <v/>
      </c>
      <c r="T15" s="819"/>
      <c r="U15" s="2641"/>
      <c r="V15" s="2643"/>
      <c r="W15" s="2645"/>
      <c r="X15" s="819"/>
      <c r="Y15" s="819"/>
      <c r="Z15" s="819"/>
      <c r="AA15" s="835"/>
      <c r="AB15" s="1888">
        <f>IF($C$15="Nutzungsintensität u Düngung erhöhen",VLOOKUP($D$15,Planung!$W$6:$Y$14,3,0),IF($C$15="Nutzungsintensität u Düngung reduzieren",VLOOKUP($D$15,Planung!$W$6:$Y$14,3,0),IF($C$15="Schnittzahl reduzieren",VLOOKUP($D$15,Planung!$W$6:$Y$14,3,0),IF($C$15="als Dauerweide führen",VLOOKUP("als Dauerweide führen",Planung!$W$6:$Y$14,3,0),IF($C$15="Dauerweidenutzung beenden",VLOOKUP($D$15,Planung!$W$6:$Y$14,3,0),0)))))</f>
        <v>0</v>
      </c>
      <c r="BK15" s="819"/>
      <c r="BL15" s="819"/>
      <c r="BN15" s="1889"/>
      <c r="BO15" s="1889"/>
      <c r="BP15" s="1889"/>
      <c r="BQ15" s="1889"/>
      <c r="BR15" s="1889"/>
      <c r="BS15" s="1889"/>
      <c r="BT15" s="1889"/>
      <c r="BU15" s="1889"/>
      <c r="BV15" s="1889"/>
      <c r="BW15" s="1889"/>
      <c r="BX15" s="1889"/>
      <c r="BY15" s="1889"/>
      <c r="BZ15" s="1889"/>
      <c r="CA15" s="1889"/>
      <c r="CB15" s="1889"/>
      <c r="CD15" s="1906" t="str">
        <f>IF(AND(K8="JA",OR(C15="",C15="unverändert",C15="Düngung erhöhen",C15="Düngung reduzieren")),$H$3,"")</f>
        <v/>
      </c>
      <c r="CE15" s="1907">
        <f t="shared" si="2"/>
        <v>0</v>
      </c>
      <c r="CF15" s="1907">
        <f t="shared" si="3"/>
        <v>0</v>
      </c>
      <c r="CG15" s="1907">
        <f t="shared" si="4"/>
        <v>0</v>
      </c>
      <c r="CH15" s="1907">
        <f t="shared" si="5"/>
        <v>0</v>
      </c>
      <c r="CI15" s="1907">
        <f t="shared" si="6"/>
        <v>0</v>
      </c>
      <c r="CJ15" s="1907">
        <f t="shared" si="7"/>
        <v>0</v>
      </c>
      <c r="CK15" s="1907">
        <f t="shared" si="8"/>
        <v>0</v>
      </c>
      <c r="CL15" s="1907">
        <f t="shared" si="9"/>
        <v>0</v>
      </c>
      <c r="CM15" s="1908" t="str">
        <f t="shared" si="10"/>
        <v/>
      </c>
      <c r="CN15" s="1852">
        <f>Grünland!AH$34</f>
        <v>0</v>
      </c>
      <c r="CO15" s="1882">
        <f>Grünland!AI$34</f>
        <v>0</v>
      </c>
      <c r="CP15" s="1909">
        <f>DE15*B15</f>
        <v>0</v>
      </c>
      <c r="CQ15" s="1910">
        <f t="shared" si="11"/>
        <v>0</v>
      </c>
      <c r="CR15" s="1911" t="e">
        <f>CP15/Betrieb!$E$23</f>
        <v>#DIV/0!</v>
      </c>
      <c r="CS15" s="1911" t="e">
        <f>CQ15/Betrieb!$E$24</f>
        <v>#DIV/0!</v>
      </c>
      <c r="CT15" s="1912">
        <f>(Betrieb!$E$21*Betrieb!$H$21)+(Betrieb!$E$23*Betrieb!$H$23)</f>
        <v>0</v>
      </c>
      <c r="CU15" s="1913">
        <f>(Betrieb!$E$22*Betrieb!$H$22)+(Betrieb!$E$24*Betrieb!$H$24)</f>
        <v>0</v>
      </c>
      <c r="CV15" s="1912">
        <f t="shared" si="12"/>
        <v>0</v>
      </c>
      <c r="CW15" s="1913">
        <f t="shared" si="13"/>
        <v>0</v>
      </c>
      <c r="CX15" s="1914">
        <f t="shared" si="14"/>
        <v>0</v>
      </c>
      <c r="CY15" s="1915">
        <f t="shared" si="15"/>
        <v>0</v>
      </c>
      <c r="CZ15" s="1915">
        <f t="shared" si="15"/>
        <v>0</v>
      </c>
      <c r="DA15" s="1916">
        <f t="shared" ref="DA15" si="146">IF(DU15="Weide/Hutweide",$DA$34*B15,((($DA$22+$DA$23+$DA$24)*B15)*DU15)+(((CX15*B15)*$DA$26)*DU15))</f>
        <v>0</v>
      </c>
      <c r="DB15" s="1926" t="e">
        <f>IF(OR(C15="unverändert",C15=""),U6/H2*B15,CY15+CZ15+DA15)</f>
        <v>#DIV/0!</v>
      </c>
      <c r="DC15" s="2610"/>
      <c r="DD15" s="2612"/>
      <c r="DE15" s="1920">
        <f>SUM(DF15:DK15)</f>
        <v>0</v>
      </c>
      <c r="DF15" s="1921">
        <f t="shared" ref="DF15" si="147">(IFERROR(IF(SEARCH("gülle",E15),F15),0))+(IFERROR(IF(SEARCH("jauche",E15),F15),0))</f>
        <v>0</v>
      </c>
      <c r="DG15" s="1921">
        <f t="shared" si="17"/>
        <v>0</v>
      </c>
      <c r="DH15" s="1921">
        <f t="shared" si="18"/>
        <v>0</v>
      </c>
      <c r="DI15" s="1921">
        <f t="shared" si="19"/>
        <v>0</v>
      </c>
      <c r="DJ15" s="1921">
        <f t="shared" si="20"/>
        <v>0</v>
      </c>
      <c r="DK15" s="1921">
        <f t="shared" si="21"/>
        <v>0</v>
      </c>
      <c r="DM15" s="1920">
        <f t="shared" si="22"/>
        <v>0</v>
      </c>
      <c r="DN15" s="1917">
        <f t="shared" si="23"/>
        <v>0</v>
      </c>
      <c r="DO15" s="1917">
        <f t="shared" si="24"/>
        <v>0</v>
      </c>
      <c r="DP15" s="1917">
        <f t="shared" si="25"/>
        <v>0</v>
      </c>
      <c r="DQ15" s="1917">
        <f t="shared" si="26"/>
        <v>0</v>
      </c>
      <c r="DR15" s="1917">
        <f t="shared" si="27"/>
        <v>0</v>
      </c>
      <c r="DS15" s="1917">
        <f t="shared" si="28"/>
        <v>0</v>
      </c>
      <c r="DU15" s="1922">
        <f t="shared" si="29"/>
        <v>0</v>
      </c>
      <c r="DV15" s="1923">
        <f t="shared" si="30"/>
        <v>0</v>
      </c>
      <c r="DW15" s="1923">
        <f t="shared" si="31"/>
        <v>0</v>
      </c>
      <c r="DX15" s="1923">
        <f t="shared" si="32"/>
        <v>0</v>
      </c>
      <c r="DY15" s="1923">
        <f t="shared" si="33"/>
        <v>0</v>
      </c>
      <c r="DZ15" s="1923">
        <f t="shared" si="34"/>
        <v>0</v>
      </c>
      <c r="EA15" s="1923">
        <f t="shared" si="35"/>
        <v>0</v>
      </c>
      <c r="EB15" s="1923">
        <f t="shared" si="36"/>
        <v>0</v>
      </c>
      <c r="EC15" s="1923">
        <f t="shared" si="37"/>
        <v>0</v>
      </c>
      <c r="ED15" s="1923">
        <f t="shared" si="38"/>
        <v>0</v>
      </c>
      <c r="EE15" s="1923">
        <f t="shared" si="39"/>
        <v>0</v>
      </c>
      <c r="EF15" s="1923">
        <f t="shared" si="40"/>
        <v>0</v>
      </c>
      <c r="EG15" s="1923">
        <f t="shared" si="41"/>
        <v>0</v>
      </c>
      <c r="EH15" s="1923">
        <f t="shared" si="42"/>
        <v>0</v>
      </c>
      <c r="EI15" s="1924">
        <f t="shared" si="43"/>
        <v>0</v>
      </c>
      <c r="EJ15" s="1923">
        <f t="shared" si="44"/>
        <v>0</v>
      </c>
      <c r="EK15" s="1923">
        <f t="shared" si="45"/>
        <v>0</v>
      </c>
      <c r="EL15" s="1923">
        <f t="shared" si="46"/>
        <v>0</v>
      </c>
      <c r="EM15" s="1923">
        <f t="shared" si="47"/>
        <v>0</v>
      </c>
      <c r="EN15" s="1923">
        <f t="shared" si="48"/>
        <v>0</v>
      </c>
      <c r="EO15" s="1923">
        <f t="shared" si="49"/>
        <v>0</v>
      </c>
      <c r="EP15" s="1923">
        <f t="shared" si="50"/>
        <v>0</v>
      </c>
      <c r="EQ15" s="1923">
        <f t="shared" si="51"/>
        <v>0</v>
      </c>
      <c r="ER15" s="1923">
        <f t="shared" si="52"/>
        <v>0</v>
      </c>
      <c r="ES15" s="1923">
        <f t="shared" si="53"/>
        <v>0</v>
      </c>
      <c r="ET15" s="1923">
        <f t="shared" si="54"/>
        <v>0</v>
      </c>
      <c r="EU15" s="1923">
        <f t="shared" si="55"/>
        <v>0</v>
      </c>
      <c r="EV15" s="1925">
        <f t="shared" si="56"/>
        <v>0</v>
      </c>
      <c r="EW15" s="1923">
        <f t="shared" si="57"/>
        <v>0</v>
      </c>
      <c r="EX15" s="1923">
        <f t="shared" si="58"/>
        <v>0</v>
      </c>
      <c r="EY15" s="1923">
        <f t="shared" si="59"/>
        <v>0</v>
      </c>
      <c r="EZ15" s="1923">
        <f t="shared" si="60"/>
        <v>0</v>
      </c>
      <c r="FA15" s="1923">
        <f t="shared" si="61"/>
        <v>0</v>
      </c>
      <c r="FB15" s="1923">
        <f t="shared" si="62"/>
        <v>0</v>
      </c>
      <c r="FC15" s="1923">
        <f t="shared" si="63"/>
        <v>0</v>
      </c>
      <c r="FD15" s="1923">
        <f t="shared" si="64"/>
        <v>0</v>
      </c>
      <c r="FE15" s="1923">
        <f t="shared" si="65"/>
        <v>0</v>
      </c>
      <c r="FF15" s="1923">
        <f t="shared" si="66"/>
        <v>0</v>
      </c>
      <c r="FG15" s="1923">
        <f t="shared" si="67"/>
        <v>0</v>
      </c>
      <c r="FH15" s="1923">
        <f t="shared" si="68"/>
        <v>0</v>
      </c>
      <c r="FI15" s="1923">
        <f t="shared" si="69"/>
        <v>0</v>
      </c>
      <c r="FJ15" s="1923">
        <f t="shared" si="70"/>
        <v>0</v>
      </c>
      <c r="FK15" s="1923">
        <f t="shared" si="71"/>
        <v>0</v>
      </c>
      <c r="FL15" s="1923">
        <f t="shared" si="72"/>
        <v>0</v>
      </c>
      <c r="FM15" s="1923">
        <f t="shared" si="73"/>
        <v>0</v>
      </c>
      <c r="FN15" s="1923">
        <f t="shared" si="74"/>
        <v>0</v>
      </c>
      <c r="FO15" s="1923">
        <f t="shared" si="75"/>
        <v>0</v>
      </c>
      <c r="FP15" s="1923">
        <f t="shared" si="76"/>
        <v>0</v>
      </c>
      <c r="FQ15" s="1923">
        <f t="shared" si="77"/>
        <v>0</v>
      </c>
      <c r="FR15" s="1923">
        <f t="shared" si="78"/>
        <v>0</v>
      </c>
      <c r="FS15" s="1923">
        <f t="shared" si="79"/>
        <v>0</v>
      </c>
      <c r="FT15" s="1923">
        <f t="shared" si="80"/>
        <v>0</v>
      </c>
      <c r="FU15" s="1923">
        <f t="shared" si="81"/>
        <v>0</v>
      </c>
      <c r="FV15" s="1923">
        <f t="shared" si="82"/>
        <v>0</v>
      </c>
      <c r="FW15" s="1923">
        <f t="shared" si="83"/>
        <v>0</v>
      </c>
      <c r="FX15" s="1923">
        <f t="shared" si="84"/>
        <v>0</v>
      </c>
      <c r="FY15" s="1923">
        <f t="shared" si="85"/>
        <v>0</v>
      </c>
      <c r="FZ15" s="1923">
        <f t="shared" si="86"/>
        <v>0</v>
      </c>
      <c r="GA15" s="1923">
        <f t="shared" si="87"/>
        <v>0</v>
      </c>
      <c r="GB15" s="1923">
        <f t="shared" si="88"/>
        <v>0</v>
      </c>
      <c r="GC15" s="1923">
        <f t="shared" si="89"/>
        <v>0</v>
      </c>
      <c r="GD15" s="1923">
        <f t="shared" si="90"/>
        <v>0</v>
      </c>
      <c r="GE15" s="1923">
        <f t="shared" si="91"/>
        <v>0</v>
      </c>
      <c r="GF15" s="1923">
        <f t="shared" si="92"/>
        <v>0</v>
      </c>
      <c r="GG15" s="1925">
        <f t="shared" si="93"/>
        <v>0</v>
      </c>
      <c r="GH15" s="1923">
        <f t="shared" si="94"/>
        <v>0</v>
      </c>
      <c r="GI15" s="1923">
        <f t="shared" si="95"/>
        <v>0</v>
      </c>
      <c r="GJ15" s="1923">
        <f t="shared" si="96"/>
        <v>0</v>
      </c>
      <c r="GK15" s="1923">
        <f t="shared" si="97"/>
        <v>0</v>
      </c>
      <c r="GL15" s="1923">
        <f t="shared" si="98"/>
        <v>0</v>
      </c>
      <c r="GM15" s="1923">
        <f t="shared" si="99"/>
        <v>0</v>
      </c>
      <c r="GN15" s="1923">
        <f t="shared" si="100"/>
        <v>0</v>
      </c>
      <c r="GO15" s="1923">
        <f t="shared" si="101"/>
        <v>0</v>
      </c>
      <c r="GP15" s="1923">
        <f t="shared" si="102"/>
        <v>0</v>
      </c>
      <c r="GQ15" s="1923">
        <f t="shared" si="103"/>
        <v>0</v>
      </c>
      <c r="GR15" s="1923">
        <f t="shared" si="104"/>
        <v>0</v>
      </c>
      <c r="GS15" s="1923">
        <f t="shared" si="105"/>
        <v>0</v>
      </c>
      <c r="GT15" s="1925">
        <f t="shared" si="106"/>
        <v>0</v>
      </c>
      <c r="GU15" s="1923">
        <f t="shared" si="107"/>
        <v>0</v>
      </c>
      <c r="GV15" s="1923">
        <f t="shared" si="108"/>
        <v>0</v>
      </c>
      <c r="GW15" s="1923">
        <f t="shared" si="109"/>
        <v>0</v>
      </c>
      <c r="GX15" s="1923">
        <f t="shared" si="110"/>
        <v>0</v>
      </c>
      <c r="GY15" s="1923">
        <f t="shared" si="111"/>
        <v>0</v>
      </c>
      <c r="GZ15" s="1923">
        <f t="shared" si="112"/>
        <v>0</v>
      </c>
      <c r="HA15" s="1923">
        <f t="shared" si="113"/>
        <v>0</v>
      </c>
      <c r="HB15" s="1923">
        <f t="shared" si="114"/>
        <v>0</v>
      </c>
      <c r="HC15" s="1923">
        <f t="shared" si="115"/>
        <v>0</v>
      </c>
      <c r="HD15" s="1923">
        <f t="shared" si="116"/>
        <v>0</v>
      </c>
      <c r="HE15" s="1923">
        <f t="shared" si="117"/>
        <v>0</v>
      </c>
      <c r="HF15" s="1923">
        <f t="shared" si="118"/>
        <v>0</v>
      </c>
      <c r="HG15" s="1925">
        <f t="shared" si="119"/>
        <v>0</v>
      </c>
      <c r="HH15" s="1923">
        <f t="shared" si="120"/>
        <v>0</v>
      </c>
      <c r="HI15" s="1923">
        <f t="shared" si="121"/>
        <v>0</v>
      </c>
      <c r="HJ15" s="1923">
        <f t="shared" si="122"/>
        <v>0</v>
      </c>
      <c r="HK15" s="1923">
        <f t="shared" si="123"/>
        <v>0</v>
      </c>
      <c r="HL15" s="1923">
        <f t="shared" si="124"/>
        <v>0</v>
      </c>
      <c r="HM15" s="1923">
        <f t="shared" si="125"/>
        <v>0</v>
      </c>
      <c r="HN15" s="1923">
        <f t="shared" si="126"/>
        <v>0</v>
      </c>
      <c r="HO15" s="1923">
        <f t="shared" si="127"/>
        <v>0</v>
      </c>
      <c r="HP15" s="1923">
        <f t="shared" si="128"/>
        <v>0</v>
      </c>
      <c r="HQ15" s="1923">
        <f t="shared" si="129"/>
        <v>0</v>
      </c>
      <c r="HR15" s="1923">
        <f t="shared" si="130"/>
        <v>0</v>
      </c>
      <c r="HS15" s="1923">
        <f t="shared" si="131"/>
        <v>0</v>
      </c>
      <c r="HT15" s="1925">
        <f t="shared" si="132"/>
        <v>0</v>
      </c>
      <c r="HV15" s="1920">
        <f>SUM(HW15:IH15)</f>
        <v>0</v>
      </c>
      <c r="HW15" s="1917">
        <f>IF(AND(DE15&gt;0,CN15="günstig",CO15="bis 2,5 km"),$CO$38,0)</f>
        <v>0</v>
      </c>
      <c r="HX15" s="1917">
        <f>IF(AND(DE15&gt;0,CN15="günstig",CO15="2,5 - 5,0 km"),$CO$39,0)</f>
        <v>0</v>
      </c>
      <c r="HY15" s="1917">
        <f>IF(AND(DE15&gt;0,CN15="günstig",CO15="5,0 - 10 km"),$CO$40,0)</f>
        <v>0</v>
      </c>
      <c r="HZ15" s="1917">
        <f>IF(AND(DE15&gt;0,CN15="günstig",CO15="über 10 km"),$CO$41,0)</f>
        <v>0</v>
      </c>
      <c r="IA15" s="1917">
        <f>IF(AND(DE15&gt;0,CN15="normal",CO15="bis 2,5 km"),$CP$38,0)</f>
        <v>0</v>
      </c>
      <c r="IB15" s="1917">
        <f>IF(AND(DE15&gt;0,CN15="normal",CO15="2,5 - 5,0 km"),$CP$39,0)</f>
        <v>0</v>
      </c>
      <c r="IC15" s="1917">
        <f>IF(AND(DE15&gt;0,CN15="normal",CO15="5,0 - 10 km"),$CP$40,0)</f>
        <v>0</v>
      </c>
      <c r="ID15" s="1917">
        <f>IF(AND(DE15&gt;0,CN15="normal",CO15="über 10 km"),$CP$41,0)</f>
        <v>0</v>
      </c>
      <c r="IE15" s="1917">
        <f>IF(AND(DE15&gt;0,CN15="ungünstig",CO15="bis 2,5 km"),$CQ$38,0)</f>
        <v>0</v>
      </c>
      <c r="IF15" s="1917">
        <f>IF(AND(DE15&gt;0,CN15="ungünstig",CO15="2,5 - 5,0 km"),$CQ$39,0)</f>
        <v>0</v>
      </c>
      <c r="IG15" s="1917">
        <f>IF(AND(DE15&gt;0,CN15="ungünstig",CO15="5,0 - 10 km"),$CQ$40,0)</f>
        <v>0</v>
      </c>
      <c r="IH15" s="1917">
        <f>IF(AND(DE15&gt;0,CN15="ungünstig",CO15="über 10 km"),$CQ$41,0)</f>
        <v>0</v>
      </c>
      <c r="IJ15" s="1920">
        <f>SUM(IK15:IV15)</f>
        <v>0</v>
      </c>
      <c r="IK15" s="1917">
        <f t="shared" si="134"/>
        <v>0</v>
      </c>
      <c r="IL15" s="1917">
        <f t="shared" si="135"/>
        <v>0</v>
      </c>
      <c r="IM15" s="1917">
        <f t="shared" si="136"/>
        <v>0</v>
      </c>
      <c r="IN15" s="1917">
        <f t="shared" si="137"/>
        <v>0</v>
      </c>
      <c r="IO15" s="1917">
        <f t="shared" si="138"/>
        <v>0</v>
      </c>
      <c r="IP15" s="1917">
        <f t="shared" si="139"/>
        <v>0</v>
      </c>
      <c r="IQ15" s="1917">
        <f t="shared" si="140"/>
        <v>0</v>
      </c>
      <c r="IR15" s="1917">
        <f t="shared" si="141"/>
        <v>0</v>
      </c>
      <c r="IS15" s="1917">
        <f t="shared" si="142"/>
        <v>0</v>
      </c>
      <c r="IT15" s="1917">
        <f t="shared" si="143"/>
        <v>0</v>
      </c>
      <c r="IU15" s="1917">
        <f t="shared" si="144"/>
        <v>0</v>
      </c>
      <c r="IV15" s="1917">
        <f t="shared" si="145"/>
        <v>0</v>
      </c>
    </row>
    <row r="16" spans="1:256" s="1852" customFormat="1" ht="5.2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35"/>
      <c r="BK16" s="819"/>
      <c r="BL16" s="819"/>
      <c r="BN16" s="1889"/>
      <c r="BO16" s="1889"/>
      <c r="BP16" s="1889"/>
      <c r="BQ16" s="1889"/>
      <c r="BR16" s="1889"/>
      <c r="BS16" s="1889"/>
      <c r="BT16" s="1889"/>
      <c r="BU16" s="1889"/>
      <c r="BV16" s="1889"/>
      <c r="BW16" s="1889"/>
      <c r="BX16" s="1889"/>
      <c r="BY16" s="1889"/>
      <c r="BZ16" s="1889"/>
      <c r="CA16" s="1889"/>
      <c r="CB16" s="1889"/>
      <c r="CM16" s="1928"/>
      <c r="CN16" s="1929"/>
      <c r="CO16" s="1930"/>
      <c r="CP16" s="1928"/>
      <c r="CQ16" s="1929"/>
      <c r="CR16" s="1929"/>
      <c r="CS16" s="1929"/>
      <c r="CT16" s="1929"/>
      <c r="CU16" s="1929"/>
      <c r="CV16" s="1929"/>
      <c r="CW16" s="1929"/>
      <c r="CX16" s="1929"/>
      <c r="CY16" s="1929"/>
      <c r="CZ16" s="1929"/>
      <c r="DA16" s="1930"/>
      <c r="DB16" s="1931"/>
      <c r="DC16" s="2611"/>
      <c r="DD16" s="2612"/>
    </row>
    <row r="17" spans="1:111" s="1852" customFormat="1" ht="5.25" customHeight="1" thickBot="1">
      <c r="A17" s="819"/>
      <c r="B17" s="819"/>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35"/>
      <c r="BK17" s="819"/>
      <c r="BL17" s="819"/>
      <c r="BN17" s="1889"/>
      <c r="BO17" s="1889"/>
      <c r="BP17" s="1889"/>
      <c r="BQ17" s="1889"/>
      <c r="BR17" s="1889"/>
      <c r="BS17" s="1889"/>
      <c r="BT17" s="1889"/>
      <c r="BU17" s="1889"/>
      <c r="BV17" s="1889"/>
      <c r="BW17" s="1889"/>
      <c r="BX17" s="1889"/>
      <c r="BY17" s="1889"/>
      <c r="BZ17" s="1889"/>
      <c r="CA17" s="1889"/>
      <c r="CB17" s="1889"/>
    </row>
    <row r="18" spans="1:111" s="1852" customFormat="1" ht="22.5" customHeight="1">
      <c r="A18" s="819"/>
      <c r="B18" s="819"/>
      <c r="C18" s="2665" t="s">
        <v>1052</v>
      </c>
      <c r="D18" s="2665"/>
      <c r="E18" s="819"/>
      <c r="F18" s="1933" t="s">
        <v>1430</v>
      </c>
      <c r="G18" s="1934"/>
      <c r="H18" s="1935"/>
      <c r="I18" s="819"/>
      <c r="J18" s="819"/>
      <c r="K18" s="819"/>
      <c r="L18" s="819"/>
      <c r="M18" s="819"/>
      <c r="N18" s="819"/>
      <c r="O18" s="1788" t="s">
        <v>1001</v>
      </c>
      <c r="P18" s="1788"/>
      <c r="Q18" s="1788"/>
      <c r="R18" s="1788"/>
      <c r="S18" s="1788"/>
      <c r="T18" s="1788"/>
      <c r="U18" s="819"/>
      <c r="V18" s="819"/>
      <c r="W18" s="819"/>
      <c r="X18" s="819"/>
      <c r="Y18" s="819"/>
      <c r="Z18" s="819"/>
      <c r="AA18" s="835"/>
      <c r="AD18" s="1936"/>
      <c r="AE18" s="2648" t="s">
        <v>987</v>
      </c>
      <c r="AF18" s="2649"/>
      <c r="AG18" s="2650"/>
      <c r="AH18" s="1937" t="s">
        <v>981</v>
      </c>
      <c r="AI18" s="1938" t="s">
        <v>982</v>
      </c>
      <c r="AJ18" s="1939" t="s">
        <v>983</v>
      </c>
      <c r="AK18" s="1940" t="s">
        <v>896</v>
      </c>
      <c r="AL18" s="1940" t="s">
        <v>896</v>
      </c>
      <c r="AM18" s="1940" t="s">
        <v>896</v>
      </c>
      <c r="AO18" s="1941" t="s">
        <v>978</v>
      </c>
      <c r="AP18" s="1942"/>
      <c r="AQ18" s="1942"/>
      <c r="AR18" s="1942"/>
      <c r="AS18" s="1942"/>
      <c r="AT18" s="1942"/>
      <c r="AV18" s="1941" t="s">
        <v>979</v>
      </c>
      <c r="AW18" s="1942"/>
      <c r="AX18" s="1942"/>
      <c r="AY18" s="1942"/>
      <c r="AZ18" s="1942"/>
      <c r="BA18" s="1942"/>
      <c r="BC18" s="1941" t="s">
        <v>980</v>
      </c>
      <c r="BD18" s="1942"/>
      <c r="BE18" s="1942"/>
      <c r="BF18" s="1942"/>
      <c r="BG18" s="1942"/>
      <c r="BH18" s="1942"/>
      <c r="BI18" s="1943"/>
      <c r="BK18" s="819"/>
      <c r="BL18" s="819"/>
      <c r="BN18" s="1889"/>
      <c r="BO18" s="1889"/>
      <c r="BP18" s="1889"/>
      <c r="BQ18" s="1889"/>
      <c r="BR18" s="1889"/>
      <c r="BS18" s="1889"/>
      <c r="BT18" s="1889"/>
      <c r="BU18" s="1889"/>
      <c r="BV18" s="1889"/>
      <c r="BW18" s="1889"/>
      <c r="BX18" s="1889"/>
      <c r="BY18" s="1889"/>
      <c r="BZ18" s="1889"/>
      <c r="CA18" s="1889"/>
      <c r="CB18" s="1889"/>
    </row>
    <row r="19" spans="1:111" s="1852" customFormat="1" ht="30" customHeight="1">
      <c r="A19" s="819"/>
      <c r="B19" s="819"/>
      <c r="C19" s="940" t="s">
        <v>1047</v>
      </c>
      <c r="D19" s="1579" t="s">
        <v>1370</v>
      </c>
      <c r="E19" s="819"/>
      <c r="F19" s="1785" t="s">
        <v>999</v>
      </c>
      <c r="G19" s="940"/>
      <c r="H19" s="1013" t="s">
        <v>1431</v>
      </c>
      <c r="I19" s="819"/>
      <c r="J19" s="819"/>
      <c r="K19" s="819"/>
      <c r="L19" s="819"/>
      <c r="M19" s="819"/>
      <c r="N19" s="819"/>
      <c r="O19" s="1788" t="s">
        <v>999</v>
      </c>
      <c r="P19" s="1788" t="s">
        <v>1000</v>
      </c>
      <c r="Q19" s="1788" t="s">
        <v>998</v>
      </c>
      <c r="R19" s="1788" t="s">
        <v>984</v>
      </c>
      <c r="S19" s="1788"/>
      <c r="T19" s="1788"/>
      <c r="U19" s="819"/>
      <c r="V19" s="819"/>
      <c r="W19" s="819"/>
      <c r="X19" s="819"/>
      <c r="Y19" s="819"/>
      <c r="Z19" s="819"/>
      <c r="AA19" s="835"/>
      <c r="AD19" s="1944"/>
      <c r="AE19" s="1945" t="s">
        <v>981</v>
      </c>
      <c r="AF19" s="1946" t="s">
        <v>982</v>
      </c>
      <c r="AG19" s="1947" t="s">
        <v>983</v>
      </c>
      <c r="AH19" s="2638" t="s">
        <v>988</v>
      </c>
      <c r="AI19" s="2639"/>
      <c r="AJ19" s="2640"/>
      <c r="AK19" s="1948" t="s">
        <v>984</v>
      </c>
      <c r="AL19" s="1948" t="s">
        <v>1180</v>
      </c>
      <c r="AM19" s="1948" t="s">
        <v>479</v>
      </c>
      <c r="AO19" s="1949" t="s">
        <v>857</v>
      </c>
      <c r="AP19" s="1949" t="s">
        <v>858</v>
      </c>
      <c r="AQ19" s="1949" t="s">
        <v>859</v>
      </c>
      <c r="AR19" s="1949" t="s">
        <v>860</v>
      </c>
      <c r="AS19" s="1949" t="s">
        <v>861</v>
      </c>
      <c r="AT19" s="1949" t="s">
        <v>849</v>
      </c>
      <c r="AV19" s="1949" t="s">
        <v>857</v>
      </c>
      <c r="AW19" s="1949" t="s">
        <v>858</v>
      </c>
      <c r="AX19" s="1949" t="s">
        <v>859</v>
      </c>
      <c r="AY19" s="1949" t="s">
        <v>860</v>
      </c>
      <c r="AZ19" s="1949" t="s">
        <v>861</v>
      </c>
      <c r="BA19" s="1949" t="s">
        <v>849</v>
      </c>
      <c r="BC19" s="1949" t="s">
        <v>857</v>
      </c>
      <c r="BD19" s="1949" t="s">
        <v>858</v>
      </c>
      <c r="BE19" s="1949" t="s">
        <v>859</v>
      </c>
      <c r="BF19" s="1949" t="s">
        <v>860</v>
      </c>
      <c r="BG19" s="1949" t="s">
        <v>861</v>
      </c>
      <c r="BH19" s="1949" t="s">
        <v>849</v>
      </c>
      <c r="BI19" s="1943"/>
      <c r="BK19" s="819"/>
      <c r="BL19" s="819"/>
      <c r="BN19" s="1889"/>
      <c r="BO19" s="1889"/>
      <c r="BP19" s="1889"/>
      <c r="BQ19" s="1889"/>
      <c r="BR19" s="1889"/>
      <c r="BS19" s="1889"/>
      <c r="BT19" s="1889"/>
      <c r="BU19" s="1889"/>
      <c r="BV19" s="1889"/>
      <c r="BW19" s="1889"/>
      <c r="BX19" s="1889"/>
      <c r="BY19" s="1889"/>
      <c r="BZ19" s="1889"/>
      <c r="CA19" s="1889"/>
      <c r="CB19" s="1889"/>
    </row>
    <row r="20" spans="1:111" s="1852" customFormat="1" ht="18.75" customHeight="1">
      <c r="A20" s="819"/>
      <c r="B20" s="819"/>
      <c r="C20" s="1792" t="s">
        <v>1014</v>
      </c>
      <c r="D20" s="1950">
        <f>Grünland!AP54</f>
        <v>0</v>
      </c>
      <c r="E20" s="819"/>
      <c r="F20" s="1580">
        <f>'meine Dünger'!C5</f>
        <v>0</v>
      </c>
      <c r="G20" s="1787"/>
      <c r="H20" s="1581">
        <f>Summen_Acker!G4</f>
        <v>0</v>
      </c>
      <c r="I20" s="819"/>
      <c r="J20" s="819"/>
      <c r="K20" s="819"/>
      <c r="L20" s="819"/>
      <c r="M20" s="819"/>
      <c r="N20" s="819"/>
      <c r="O20" s="1788">
        <f>'meine Dünger'!C5</f>
        <v>0</v>
      </c>
      <c r="P20" s="1788">
        <f>'meine Dünger'!G5</f>
        <v>0</v>
      </c>
      <c r="Q20" s="1788">
        <f>Summen_Acker!F4</f>
        <v>0</v>
      </c>
      <c r="R20" s="1788">
        <f>Summen_Acker!G4</f>
        <v>0</v>
      </c>
      <c r="S20" s="1788"/>
      <c r="T20" s="1788"/>
      <c r="U20" s="819"/>
      <c r="V20" s="819"/>
      <c r="W20" s="819"/>
      <c r="X20" s="819"/>
      <c r="Y20" s="819"/>
      <c r="Z20" s="819"/>
      <c r="AA20" s="835"/>
      <c r="AD20" s="1944">
        <v>1</v>
      </c>
      <c r="AE20" s="1951">
        <f t="shared" ref="AE20:AG31" si="148">$P20*AH20</f>
        <v>0</v>
      </c>
      <c r="AF20" s="1952">
        <f t="shared" si="148"/>
        <v>0</v>
      </c>
      <c r="AG20" s="1953">
        <f t="shared" si="148"/>
        <v>0</v>
      </c>
      <c r="AH20" s="1954">
        <f>IF(ISNA(B13),0,SUM(AO20:AT20)*$B$13)</f>
        <v>0</v>
      </c>
      <c r="AI20" s="1955">
        <f>IF(ISNA(B14),0,SUM(AV20:BA20)*$B$14)</f>
        <v>0</v>
      </c>
      <c r="AJ20" s="1956">
        <f>IF(ISNUMBER($B$15),(SUM(BC20:BH20)*$B$15),0)</f>
        <v>0</v>
      </c>
      <c r="AK20" s="1957">
        <f>SUM(AH20:AJ20)</f>
        <v>0</v>
      </c>
      <c r="AL20" s="1958">
        <f>Summen_GL!F$138</f>
        <v>0</v>
      </c>
      <c r="AM20" s="1952">
        <f>AK20-AL20</f>
        <v>0</v>
      </c>
      <c r="AO20" s="826">
        <f t="shared" ref="AO20:AO31" si="149">IF($O20=$E$13,$F$13,0)</f>
        <v>0</v>
      </c>
      <c r="AP20" s="826">
        <f t="shared" ref="AP20:AP31" si="150">IF($O20=$G$13,$H$13,0)</f>
        <v>0</v>
      </c>
      <c r="AQ20" s="826">
        <f t="shared" ref="AQ20:AQ31" si="151">IF($O20=$I$13,$J$13,0)</f>
        <v>0</v>
      </c>
      <c r="AR20" s="826">
        <f t="shared" ref="AR20:AR31" si="152">IF($O20=$K$13,$L$13,0)</f>
        <v>0</v>
      </c>
      <c r="AS20" s="826">
        <f t="shared" ref="AS20:AS31" si="153">IF($O20=$M$13,$N$13,0)</f>
        <v>0</v>
      </c>
      <c r="AT20" s="826">
        <f t="shared" ref="AT20:AT31" si="154">IF($O20=$O$13,$P$13,0)</f>
        <v>0</v>
      </c>
      <c r="AV20" s="826">
        <f t="shared" ref="AV20:AV31" si="155">IF($O20=$E$14,$F$14,0)</f>
        <v>0</v>
      </c>
      <c r="AW20" s="826">
        <f t="shared" ref="AW20:AW31" si="156">IF($O20=$G$14,$H$14,0)</f>
        <v>0</v>
      </c>
      <c r="AX20" s="826">
        <f t="shared" ref="AX20:AX31" si="157">IF($O20=$I$14,$J$14,0)</f>
        <v>0</v>
      </c>
      <c r="AY20" s="826">
        <f t="shared" ref="AY20:AY31" si="158">IF($O20=$K$14,$L$14,0)</f>
        <v>0</v>
      </c>
      <c r="AZ20" s="826">
        <f t="shared" ref="AZ20:AZ31" si="159">IF($O20=$M$14,$N$14,0)</f>
        <v>0</v>
      </c>
      <c r="BA20" s="826">
        <f t="shared" ref="BA20:BA31" si="160">IF($O20=$O$14,$P$14,0)</f>
        <v>0</v>
      </c>
      <c r="BC20" s="826">
        <f t="shared" ref="BC20:BC31" si="161">IF($O20=$E$15,$F$15,0)</f>
        <v>0</v>
      </c>
      <c r="BD20" s="826">
        <f t="shared" ref="BD20:BD31" si="162">IF($O20=$G$15,$H$15,0)</f>
        <v>0</v>
      </c>
      <c r="BE20" s="826">
        <f t="shared" ref="BE20:BE31" si="163">IF($O20=$I$15,$J$15,0)</f>
        <v>0</v>
      </c>
      <c r="BF20" s="826">
        <f t="shared" ref="BF20:BF31" si="164">IF($O20=$K$15,$L$15,0)</f>
        <v>0</v>
      </c>
      <c r="BG20" s="826">
        <f t="shared" ref="BG20:BG31" si="165">IF($O20=$M$15,$N$15,0)</f>
        <v>0</v>
      </c>
      <c r="BH20" s="826">
        <f t="shared" ref="BH20:BH31" si="166">IF($O20=$O$15,$P$15,0)</f>
        <v>0</v>
      </c>
      <c r="BI20" s="1943"/>
      <c r="BK20" s="819"/>
      <c r="BL20" s="819"/>
      <c r="BN20" s="1889"/>
      <c r="BO20" s="1889"/>
      <c r="BP20" s="1889"/>
      <c r="BQ20" s="1889"/>
      <c r="BR20" s="1889"/>
      <c r="BS20" s="1889"/>
      <c r="BT20" s="1889"/>
      <c r="BU20" s="1889"/>
      <c r="BV20" s="1889"/>
      <c r="BW20" s="1889"/>
      <c r="BX20" s="1889"/>
      <c r="BY20" s="1889"/>
      <c r="BZ20" s="1889"/>
      <c r="CA20" s="1889"/>
      <c r="CB20" s="1889"/>
      <c r="CD20" s="1852">
        <v>1</v>
      </c>
      <c r="CE20" s="1852" t="s">
        <v>830</v>
      </c>
    </row>
    <row r="21" spans="1:111" s="1852" customFormat="1" ht="18.75" customHeight="1">
      <c r="A21" s="819"/>
      <c r="B21" s="819"/>
      <c r="C21" s="1792" t="s">
        <v>1015</v>
      </c>
      <c r="D21" s="1950">
        <f>Grünland!AQ54</f>
        <v>0</v>
      </c>
      <c r="E21" s="819"/>
      <c r="F21" s="1580">
        <f>'meine Dünger'!C6</f>
        <v>0</v>
      </c>
      <c r="G21" s="1787"/>
      <c r="H21" s="1581">
        <f>Summen_Acker!G5</f>
        <v>0</v>
      </c>
      <c r="I21" s="819"/>
      <c r="J21" s="819"/>
      <c r="K21" s="819"/>
      <c r="L21" s="819"/>
      <c r="M21" s="819"/>
      <c r="N21" s="819"/>
      <c r="O21" s="1788">
        <f>'meine Dünger'!C6</f>
        <v>0</v>
      </c>
      <c r="P21" s="1788">
        <f>'meine Dünger'!G6</f>
        <v>0</v>
      </c>
      <c r="Q21" s="1788">
        <f>Summen_Acker!F5</f>
        <v>0</v>
      </c>
      <c r="R21" s="1788">
        <f>Summen_Acker!G5</f>
        <v>0</v>
      </c>
      <c r="S21" s="1788"/>
      <c r="T21" s="1788"/>
      <c r="U21" s="819"/>
      <c r="V21" s="819"/>
      <c r="W21" s="819"/>
      <c r="X21" s="819"/>
      <c r="Y21" s="819"/>
      <c r="Z21" s="819"/>
      <c r="AA21" s="835"/>
      <c r="AD21" s="1944">
        <v>2</v>
      </c>
      <c r="AE21" s="1951">
        <f t="shared" si="148"/>
        <v>0</v>
      </c>
      <c r="AF21" s="1952">
        <f t="shared" si="148"/>
        <v>0</v>
      </c>
      <c r="AG21" s="1953">
        <f t="shared" si="148"/>
        <v>0</v>
      </c>
      <c r="AH21" s="1954">
        <f>SUM(AO21:AT21)*$B$13</f>
        <v>0</v>
      </c>
      <c r="AI21" s="1955">
        <f>IF(ISNA(B15),0,SUM(AV21:BA21)*$B$14)</f>
        <v>0</v>
      </c>
      <c r="AJ21" s="1956">
        <f>IF(ISNUMBER($B$15),(SUM(BC21:BH21)*$B$15),0)</f>
        <v>0</v>
      </c>
      <c r="AK21" s="1957">
        <f t="shared" ref="AK21:AK31" si="167">SUM(AH21:AJ21)</f>
        <v>0</v>
      </c>
      <c r="AL21" s="1958">
        <f>Summen_GL!G$138</f>
        <v>0</v>
      </c>
      <c r="AM21" s="1952">
        <f t="shared" ref="AM21:AM31" si="168">AK21-AL21</f>
        <v>0</v>
      </c>
      <c r="AO21" s="826">
        <f t="shared" si="149"/>
        <v>0</v>
      </c>
      <c r="AP21" s="826">
        <f t="shared" si="150"/>
        <v>0</v>
      </c>
      <c r="AQ21" s="826">
        <f t="shared" si="151"/>
        <v>0</v>
      </c>
      <c r="AR21" s="826">
        <f t="shared" si="152"/>
        <v>0</v>
      </c>
      <c r="AS21" s="826">
        <f t="shared" si="153"/>
        <v>0</v>
      </c>
      <c r="AT21" s="826">
        <f t="shared" si="154"/>
        <v>0</v>
      </c>
      <c r="AV21" s="826">
        <f t="shared" si="155"/>
        <v>0</v>
      </c>
      <c r="AW21" s="826">
        <f t="shared" si="156"/>
        <v>0</v>
      </c>
      <c r="AX21" s="826">
        <f t="shared" si="157"/>
        <v>0</v>
      </c>
      <c r="AY21" s="826">
        <f t="shared" si="158"/>
        <v>0</v>
      </c>
      <c r="AZ21" s="826">
        <f t="shared" si="159"/>
        <v>0</v>
      </c>
      <c r="BA21" s="826">
        <f t="shared" si="160"/>
        <v>0</v>
      </c>
      <c r="BC21" s="826">
        <f t="shared" si="161"/>
        <v>0</v>
      </c>
      <c r="BD21" s="826">
        <f t="shared" si="162"/>
        <v>0</v>
      </c>
      <c r="BE21" s="826">
        <f t="shared" si="163"/>
        <v>0</v>
      </c>
      <c r="BF21" s="826">
        <f t="shared" si="164"/>
        <v>0</v>
      </c>
      <c r="BG21" s="826">
        <f t="shared" si="165"/>
        <v>0</v>
      </c>
      <c r="BH21" s="826">
        <f t="shared" si="166"/>
        <v>0</v>
      </c>
      <c r="BI21" s="1943"/>
      <c r="BK21" s="819"/>
      <c r="BL21" s="819"/>
      <c r="BN21" s="1889"/>
      <c r="BO21" s="1889"/>
      <c r="BP21" s="1889"/>
      <c r="BQ21" s="1889"/>
      <c r="BR21" s="1889"/>
      <c r="BS21" s="1889"/>
      <c r="BT21" s="1889"/>
      <c r="BU21" s="1889"/>
      <c r="BV21" s="1889"/>
      <c r="BW21" s="1889"/>
      <c r="BX21" s="1889"/>
      <c r="BY21" s="1889"/>
      <c r="BZ21" s="1889"/>
      <c r="CA21" s="1889"/>
      <c r="CB21" s="1889"/>
      <c r="CD21" s="1852">
        <v>2</v>
      </c>
      <c r="CE21" s="1852" t="s">
        <v>831</v>
      </c>
      <c r="CN21" s="1959" t="s">
        <v>1270</v>
      </c>
      <c r="CO21" s="1960" t="s">
        <v>1271</v>
      </c>
      <c r="CP21" s="1961"/>
      <c r="CQ21" s="1962"/>
      <c r="CR21" s="1960" t="s">
        <v>1271</v>
      </c>
      <c r="CS21" s="1961"/>
      <c r="CT21" s="1962"/>
      <c r="CU21" s="1960" t="s">
        <v>1271</v>
      </c>
      <c r="CV21" s="1961"/>
      <c r="CW21" s="1962"/>
      <c r="CX21" s="1874"/>
      <c r="CY21" s="1874"/>
      <c r="CZ21" s="10" t="s">
        <v>1291</v>
      </c>
      <c r="DA21" s="1963"/>
      <c r="DB21" s="10"/>
      <c r="DC21" s="10"/>
      <c r="DD21" s="10"/>
      <c r="DE21" s="10"/>
      <c r="DF21" s="1874"/>
      <c r="DG21" s="1874"/>
    </row>
    <row r="22" spans="1:111" s="1852" customFormat="1" ht="18.75" customHeight="1">
      <c r="A22" s="819"/>
      <c r="B22" s="819"/>
      <c r="C22" s="1792" t="s">
        <v>1016</v>
      </c>
      <c r="D22" s="1950">
        <f>Grünland!AR54</f>
        <v>0</v>
      </c>
      <c r="E22" s="819"/>
      <c r="F22" s="1790">
        <f>'meine Dünger'!C7</f>
        <v>0</v>
      </c>
      <c r="G22" s="1789"/>
      <c r="H22" s="1581">
        <f>Summen_Acker!G6</f>
        <v>0</v>
      </c>
      <c r="I22" s="1114"/>
      <c r="J22" s="819"/>
      <c r="K22" s="819"/>
      <c r="L22" s="819"/>
      <c r="M22" s="819"/>
      <c r="N22" s="819"/>
      <c r="O22" s="1788">
        <f>'meine Dünger'!C7</f>
        <v>0</v>
      </c>
      <c r="P22" s="1788">
        <f>'meine Dünger'!G7</f>
        <v>0</v>
      </c>
      <c r="Q22" s="1788">
        <f>Summen_Acker!F6</f>
        <v>0</v>
      </c>
      <c r="R22" s="1788">
        <f>Summen_Acker!G6</f>
        <v>0</v>
      </c>
      <c r="S22" s="1788"/>
      <c r="T22" s="1788"/>
      <c r="U22" s="819"/>
      <c r="V22" s="819"/>
      <c r="W22" s="819"/>
      <c r="X22" s="819"/>
      <c r="Y22" s="819"/>
      <c r="Z22" s="819"/>
      <c r="AA22" s="835"/>
      <c r="AD22" s="1944">
        <v>3</v>
      </c>
      <c r="AE22" s="1951">
        <f t="shared" si="148"/>
        <v>0</v>
      </c>
      <c r="AF22" s="1952">
        <f t="shared" si="148"/>
        <v>0</v>
      </c>
      <c r="AG22" s="1953">
        <f t="shared" si="148"/>
        <v>0</v>
      </c>
      <c r="AH22" s="1954">
        <f t="shared" ref="AH22:AH31" si="169">SUM(AO22:AT22)*$B$13</f>
        <v>0</v>
      </c>
      <c r="AI22" s="1955">
        <f>IF(ISNA(B16),0,SUM(AV22:BA22)*$B$14)</f>
        <v>0</v>
      </c>
      <c r="AJ22" s="1956">
        <f t="shared" ref="AJ22:AJ31" si="170">IF(ISNUMBER($B$15),(SUM(BC22:BH22)*$B$15),0)</f>
        <v>0</v>
      </c>
      <c r="AK22" s="1957">
        <f t="shared" si="167"/>
        <v>0</v>
      </c>
      <c r="AL22" s="1958">
        <f>Summen_GL!H$138</f>
        <v>0</v>
      </c>
      <c r="AM22" s="1952">
        <f t="shared" si="168"/>
        <v>0</v>
      </c>
      <c r="AO22" s="826">
        <f t="shared" si="149"/>
        <v>0</v>
      </c>
      <c r="AP22" s="826">
        <f t="shared" si="150"/>
        <v>0</v>
      </c>
      <c r="AQ22" s="826">
        <f t="shared" si="151"/>
        <v>0</v>
      </c>
      <c r="AR22" s="826">
        <f t="shared" si="152"/>
        <v>0</v>
      </c>
      <c r="AS22" s="826">
        <f t="shared" si="153"/>
        <v>0</v>
      </c>
      <c r="AT22" s="826">
        <f t="shared" si="154"/>
        <v>0</v>
      </c>
      <c r="AV22" s="826">
        <f t="shared" si="155"/>
        <v>0</v>
      </c>
      <c r="AW22" s="826">
        <f t="shared" si="156"/>
        <v>0</v>
      </c>
      <c r="AX22" s="826">
        <f t="shared" si="157"/>
        <v>0</v>
      </c>
      <c r="AY22" s="826">
        <f t="shared" si="158"/>
        <v>0</v>
      </c>
      <c r="AZ22" s="826">
        <f t="shared" si="159"/>
        <v>0</v>
      </c>
      <c r="BA22" s="826">
        <f t="shared" si="160"/>
        <v>0</v>
      </c>
      <c r="BC22" s="826">
        <f t="shared" si="161"/>
        <v>0</v>
      </c>
      <c r="BD22" s="826">
        <f t="shared" si="162"/>
        <v>0</v>
      </c>
      <c r="BE22" s="826">
        <f t="shared" si="163"/>
        <v>0</v>
      </c>
      <c r="BF22" s="826">
        <f t="shared" si="164"/>
        <v>0</v>
      </c>
      <c r="BG22" s="826">
        <f t="shared" si="165"/>
        <v>0</v>
      </c>
      <c r="BH22" s="826">
        <f t="shared" si="166"/>
        <v>0</v>
      </c>
      <c r="BI22" s="1943"/>
      <c r="BK22" s="819"/>
      <c r="BL22" s="819"/>
      <c r="BN22" s="1889"/>
      <c r="BO22" s="1889"/>
      <c r="BP22" s="1889"/>
      <c r="BQ22" s="1889"/>
      <c r="BR22" s="1889"/>
      <c r="BS22" s="1889"/>
      <c r="BT22" s="1889"/>
      <c r="BU22" s="1889"/>
      <c r="BV22" s="1889"/>
      <c r="BW22" s="1889"/>
      <c r="BX22" s="1889"/>
      <c r="BY22" s="1889"/>
      <c r="BZ22" s="1889"/>
      <c r="CA22" s="1889"/>
      <c r="CB22" s="1889"/>
      <c r="CD22" s="1852">
        <v>3</v>
      </c>
      <c r="CE22" s="1852" t="s">
        <v>1406</v>
      </c>
      <c r="CN22" s="1964" t="s">
        <v>1272</v>
      </c>
      <c r="CO22" s="1965" t="s">
        <v>1397</v>
      </c>
      <c r="CP22" s="1966" t="s">
        <v>852</v>
      </c>
      <c r="CQ22" s="1967" t="s">
        <v>1398</v>
      </c>
      <c r="CR22" s="1968" t="s">
        <v>1275</v>
      </c>
      <c r="CS22" s="1966" t="s">
        <v>852</v>
      </c>
      <c r="CT22" s="1969" t="s">
        <v>854</v>
      </c>
      <c r="CU22" s="1968" t="s">
        <v>1275</v>
      </c>
      <c r="CV22" s="1966" t="s">
        <v>852</v>
      </c>
      <c r="CW22" s="1969" t="s">
        <v>854</v>
      </c>
      <c r="CX22" s="1874"/>
      <c r="CY22" s="1874"/>
      <c r="CZ22" s="10" t="s">
        <v>1292</v>
      </c>
      <c r="DA22" s="1963">
        <v>30</v>
      </c>
      <c r="DB22" s="10"/>
      <c r="DC22" s="10"/>
      <c r="DD22" s="10"/>
      <c r="DE22" s="10"/>
      <c r="DF22" s="1874"/>
      <c r="DG22" s="1874"/>
    </row>
    <row r="23" spans="1:111" s="1852" customFormat="1" ht="18.75" customHeight="1">
      <c r="A23" s="819"/>
      <c r="B23" s="819"/>
      <c r="C23" s="1792" t="s">
        <v>1017</v>
      </c>
      <c r="D23" s="1950">
        <f>Grünland!AS54</f>
        <v>0</v>
      </c>
      <c r="E23" s="819"/>
      <c r="F23" s="1790">
        <f>'meine Dünger'!C8</f>
        <v>0</v>
      </c>
      <c r="G23" s="1789"/>
      <c r="H23" s="1581">
        <f>Summen_Acker!G7</f>
        <v>0</v>
      </c>
      <c r="I23" s="819"/>
      <c r="J23" s="819"/>
      <c r="K23" s="819"/>
      <c r="L23" s="819"/>
      <c r="M23" s="819"/>
      <c r="N23" s="819"/>
      <c r="O23" s="1788">
        <f>'meine Dünger'!C8</f>
        <v>0</v>
      </c>
      <c r="P23" s="1788">
        <f>'meine Dünger'!G8</f>
        <v>0</v>
      </c>
      <c r="Q23" s="1788">
        <f>Summen_Acker!F7</f>
        <v>0</v>
      </c>
      <c r="R23" s="1788">
        <f>Summen_Acker!G7</f>
        <v>0</v>
      </c>
      <c r="S23" s="1788"/>
      <c r="T23" s="1788"/>
      <c r="U23" s="819"/>
      <c r="V23" s="819"/>
      <c r="W23" s="819"/>
      <c r="X23" s="819"/>
      <c r="Y23" s="819"/>
      <c r="Z23" s="819"/>
      <c r="AA23" s="835"/>
      <c r="AD23" s="1944">
        <v>4</v>
      </c>
      <c r="AE23" s="1951">
        <f t="shared" si="148"/>
        <v>0</v>
      </c>
      <c r="AF23" s="1952">
        <f t="shared" si="148"/>
        <v>0</v>
      </c>
      <c r="AG23" s="1953">
        <f t="shared" si="148"/>
        <v>0</v>
      </c>
      <c r="AH23" s="1954">
        <f t="shared" si="169"/>
        <v>0</v>
      </c>
      <c r="AI23" s="1955">
        <f>IF(ISNA(#REF!),0,SUM(AV23:BA23)*$B$14)</f>
        <v>0</v>
      </c>
      <c r="AJ23" s="1956">
        <f t="shared" si="170"/>
        <v>0</v>
      </c>
      <c r="AK23" s="1957">
        <f t="shared" si="167"/>
        <v>0</v>
      </c>
      <c r="AL23" s="1958">
        <f>Summen_GL!I$138</f>
        <v>0</v>
      </c>
      <c r="AM23" s="1952">
        <f t="shared" si="168"/>
        <v>0</v>
      </c>
      <c r="AO23" s="826">
        <f t="shared" si="149"/>
        <v>0</v>
      </c>
      <c r="AP23" s="826">
        <f t="shared" si="150"/>
        <v>0</v>
      </c>
      <c r="AQ23" s="826">
        <f t="shared" si="151"/>
        <v>0</v>
      </c>
      <c r="AR23" s="826">
        <f t="shared" si="152"/>
        <v>0</v>
      </c>
      <c r="AS23" s="826">
        <f t="shared" si="153"/>
        <v>0</v>
      </c>
      <c r="AT23" s="826">
        <f t="shared" si="154"/>
        <v>0</v>
      </c>
      <c r="AV23" s="826">
        <f t="shared" si="155"/>
        <v>0</v>
      </c>
      <c r="AW23" s="826">
        <f t="shared" si="156"/>
        <v>0</v>
      </c>
      <c r="AX23" s="826">
        <f t="shared" si="157"/>
        <v>0</v>
      </c>
      <c r="AY23" s="826">
        <f t="shared" si="158"/>
        <v>0</v>
      </c>
      <c r="AZ23" s="826">
        <f t="shared" si="159"/>
        <v>0</v>
      </c>
      <c r="BA23" s="826">
        <f t="shared" si="160"/>
        <v>0</v>
      </c>
      <c r="BC23" s="826">
        <f t="shared" si="161"/>
        <v>0</v>
      </c>
      <c r="BD23" s="826">
        <f t="shared" si="162"/>
        <v>0</v>
      </c>
      <c r="BE23" s="826">
        <f t="shared" si="163"/>
        <v>0</v>
      </c>
      <c r="BF23" s="826">
        <f t="shared" si="164"/>
        <v>0</v>
      </c>
      <c r="BG23" s="826">
        <f t="shared" si="165"/>
        <v>0</v>
      </c>
      <c r="BH23" s="826">
        <f t="shared" si="166"/>
        <v>0</v>
      </c>
      <c r="BI23" s="1943"/>
      <c r="BK23" s="819"/>
      <c r="BL23" s="819"/>
      <c r="BN23" s="1889"/>
      <c r="BO23" s="1889"/>
      <c r="BP23" s="1889"/>
      <c r="BQ23" s="1889"/>
      <c r="BR23" s="1889"/>
      <c r="BS23" s="1889"/>
      <c r="BT23" s="1889"/>
      <c r="BU23" s="1889"/>
      <c r="BV23" s="1889"/>
      <c r="BW23" s="1889"/>
      <c r="BX23" s="1889"/>
      <c r="BY23" s="1889"/>
      <c r="BZ23" s="1889"/>
      <c r="CA23" s="1889"/>
      <c r="CB23" s="1889"/>
      <c r="CD23" s="1852">
        <v>4</v>
      </c>
      <c r="CE23" s="1852" t="s">
        <v>1028</v>
      </c>
      <c r="CN23" s="1964"/>
      <c r="CO23" s="2502" t="s">
        <v>1276</v>
      </c>
      <c r="CP23" s="2503"/>
      <c r="CQ23" s="2504"/>
      <c r="CR23" s="2502" t="s">
        <v>1277</v>
      </c>
      <c r="CS23" s="2503"/>
      <c r="CT23" s="2504"/>
      <c r="CU23" s="2502" t="s">
        <v>1278</v>
      </c>
      <c r="CV23" s="2503"/>
      <c r="CW23" s="2504"/>
      <c r="CX23" s="1874"/>
      <c r="CY23" s="1874"/>
      <c r="CZ23" s="10" t="s">
        <v>1293</v>
      </c>
      <c r="DA23" s="1963">
        <v>16</v>
      </c>
      <c r="DB23" s="10"/>
      <c r="DC23" s="10"/>
      <c r="DD23" s="10"/>
      <c r="DE23" s="10"/>
      <c r="DF23" s="1874"/>
      <c r="DG23" s="1874"/>
    </row>
    <row r="24" spans="1:111" s="1852" customFormat="1" ht="18.75" customHeight="1">
      <c r="A24" s="819"/>
      <c r="B24" s="819"/>
      <c r="C24" s="1792" t="s">
        <v>1018</v>
      </c>
      <c r="D24" s="1950">
        <f>Grünland!AT54</f>
        <v>0</v>
      </c>
      <c r="E24" s="819"/>
      <c r="F24" s="1790">
        <f>'meine Dünger'!C9</f>
        <v>0</v>
      </c>
      <c r="G24" s="1789"/>
      <c r="H24" s="1581">
        <f>Summen_Acker!G8</f>
        <v>0</v>
      </c>
      <c r="I24" s="819"/>
      <c r="J24" s="819"/>
      <c r="K24" s="819"/>
      <c r="L24" s="819"/>
      <c r="M24" s="819"/>
      <c r="N24" s="819"/>
      <c r="O24" s="1788">
        <f>'meine Dünger'!C9</f>
        <v>0</v>
      </c>
      <c r="P24" s="1788">
        <f>'meine Dünger'!G9</f>
        <v>0</v>
      </c>
      <c r="Q24" s="1788">
        <f>Summen_Acker!F8</f>
        <v>0</v>
      </c>
      <c r="R24" s="1788">
        <f>Summen_Acker!G8</f>
        <v>0</v>
      </c>
      <c r="S24" s="1788"/>
      <c r="T24" s="1788"/>
      <c r="U24" s="819"/>
      <c r="V24" s="819"/>
      <c r="W24" s="819"/>
      <c r="X24" s="819"/>
      <c r="Y24" s="819"/>
      <c r="Z24" s="819"/>
      <c r="AA24" s="835"/>
      <c r="AD24" s="1944">
        <v>5</v>
      </c>
      <c r="AE24" s="1951">
        <f t="shared" si="148"/>
        <v>0</v>
      </c>
      <c r="AF24" s="1952">
        <f t="shared" si="148"/>
        <v>0</v>
      </c>
      <c r="AG24" s="1953">
        <f t="shared" si="148"/>
        <v>0</v>
      </c>
      <c r="AH24" s="1954">
        <f t="shared" si="169"/>
        <v>0</v>
      </c>
      <c r="AI24" s="1973">
        <f>IF(ISNA(#REF!),0,SUM(AV24:BA24)*$B$14)</f>
        <v>0</v>
      </c>
      <c r="AJ24" s="1956">
        <f t="shared" si="170"/>
        <v>0</v>
      </c>
      <c r="AK24" s="1957">
        <f t="shared" si="167"/>
        <v>0</v>
      </c>
      <c r="AL24" s="1958">
        <f>Summen_GL!J$138</f>
        <v>0</v>
      </c>
      <c r="AM24" s="1952">
        <f t="shared" si="168"/>
        <v>0</v>
      </c>
      <c r="AO24" s="826">
        <f t="shared" si="149"/>
        <v>0</v>
      </c>
      <c r="AP24" s="826">
        <f t="shared" si="150"/>
        <v>0</v>
      </c>
      <c r="AQ24" s="826">
        <f t="shared" si="151"/>
        <v>0</v>
      </c>
      <c r="AR24" s="826">
        <f t="shared" si="152"/>
        <v>0</v>
      </c>
      <c r="AS24" s="826">
        <f t="shared" si="153"/>
        <v>0</v>
      </c>
      <c r="AT24" s="826">
        <f t="shared" si="154"/>
        <v>0</v>
      </c>
      <c r="AV24" s="826">
        <f t="shared" si="155"/>
        <v>0</v>
      </c>
      <c r="AW24" s="826">
        <f t="shared" si="156"/>
        <v>0</v>
      </c>
      <c r="AX24" s="826">
        <f t="shared" si="157"/>
        <v>0</v>
      </c>
      <c r="AY24" s="826">
        <f t="shared" si="158"/>
        <v>0</v>
      </c>
      <c r="AZ24" s="826">
        <f t="shared" si="159"/>
        <v>0</v>
      </c>
      <c r="BA24" s="826">
        <f t="shared" si="160"/>
        <v>0</v>
      </c>
      <c r="BC24" s="826">
        <f t="shared" si="161"/>
        <v>0</v>
      </c>
      <c r="BD24" s="826">
        <f t="shared" si="162"/>
        <v>0</v>
      </c>
      <c r="BE24" s="826">
        <f t="shared" si="163"/>
        <v>0</v>
      </c>
      <c r="BF24" s="826">
        <f t="shared" si="164"/>
        <v>0</v>
      </c>
      <c r="BG24" s="826">
        <f t="shared" si="165"/>
        <v>0</v>
      </c>
      <c r="BH24" s="826">
        <f t="shared" si="166"/>
        <v>0</v>
      </c>
      <c r="BI24" s="1943"/>
      <c r="BK24" s="819"/>
      <c r="BL24" s="819"/>
      <c r="BN24" s="1889"/>
      <c r="BO24" s="1889"/>
      <c r="BP24" s="1889"/>
      <c r="BQ24" s="1889"/>
      <c r="BR24" s="1889"/>
      <c r="BS24" s="1889"/>
      <c r="BT24" s="1889"/>
      <c r="BU24" s="1889"/>
      <c r="BV24" s="1889"/>
      <c r="BW24" s="1889"/>
      <c r="BX24" s="1889"/>
      <c r="BY24" s="1889"/>
      <c r="BZ24" s="1889"/>
      <c r="CA24" s="1889"/>
      <c r="CB24" s="1889"/>
      <c r="CD24" s="1852">
        <v>5</v>
      </c>
      <c r="CE24" s="1852" t="s">
        <v>1029</v>
      </c>
      <c r="CN24" s="1974" t="s">
        <v>1279</v>
      </c>
      <c r="CO24" s="1959">
        <f>CP24*0.9</f>
        <v>0.67500000000000004</v>
      </c>
      <c r="CP24" s="1959">
        <v>0.75</v>
      </c>
      <c r="CQ24" s="1959">
        <f>CP24*1.1</f>
        <v>0.82500000000000007</v>
      </c>
      <c r="CR24" s="1959">
        <f>CS24*0.9</f>
        <v>0.45</v>
      </c>
      <c r="CS24" s="1959">
        <v>0.5</v>
      </c>
      <c r="CT24" s="10">
        <f>CS24*1.1</f>
        <v>0.55000000000000004</v>
      </c>
      <c r="CU24" s="10">
        <f>CV24*0.9</f>
        <v>0.36000000000000004</v>
      </c>
      <c r="CV24" s="10">
        <v>0.4</v>
      </c>
      <c r="CW24" s="10">
        <f>CV24*1.1</f>
        <v>0.44000000000000006</v>
      </c>
      <c r="CX24" s="1874"/>
      <c r="CY24" s="1874"/>
      <c r="CZ24" s="10" t="s">
        <v>1294</v>
      </c>
      <c r="DA24" s="1963">
        <v>17</v>
      </c>
      <c r="DB24" s="10"/>
      <c r="DC24" s="10"/>
      <c r="DD24" s="10"/>
      <c r="DE24" s="10"/>
      <c r="DF24" s="1874"/>
      <c r="DG24" s="1874"/>
    </row>
    <row r="25" spans="1:111" s="1852" customFormat="1" ht="18.75" customHeight="1">
      <c r="A25" s="819"/>
      <c r="B25" s="819"/>
      <c r="C25" s="1792" t="s">
        <v>1019</v>
      </c>
      <c r="D25" s="1950">
        <f>Grünland!AU54</f>
        <v>0</v>
      </c>
      <c r="E25" s="819"/>
      <c r="F25" s="1790">
        <f>'meine Dünger'!C10</f>
        <v>0</v>
      </c>
      <c r="G25" s="1789"/>
      <c r="H25" s="1581">
        <f>Summen_Acker!G9</f>
        <v>0</v>
      </c>
      <c r="I25" s="819"/>
      <c r="J25" s="819"/>
      <c r="K25" s="819"/>
      <c r="L25" s="819"/>
      <c r="M25" s="819"/>
      <c r="N25" s="819"/>
      <c r="O25" s="1788">
        <f>'meine Dünger'!C10</f>
        <v>0</v>
      </c>
      <c r="P25" s="1788">
        <f>'meine Dünger'!G10</f>
        <v>0</v>
      </c>
      <c r="Q25" s="1788">
        <f>Summen_Acker!F9</f>
        <v>0</v>
      </c>
      <c r="R25" s="1788">
        <f>Summen_Acker!G9</f>
        <v>0</v>
      </c>
      <c r="S25" s="1788"/>
      <c r="T25" s="1788"/>
      <c r="U25" s="819"/>
      <c r="V25" s="819"/>
      <c r="W25" s="819"/>
      <c r="X25" s="819"/>
      <c r="Y25" s="819"/>
      <c r="Z25" s="819"/>
      <c r="AA25" s="835"/>
      <c r="AD25" s="1944">
        <v>6</v>
      </c>
      <c r="AE25" s="1951">
        <f t="shared" si="148"/>
        <v>0</v>
      </c>
      <c r="AF25" s="1952">
        <f t="shared" si="148"/>
        <v>0</v>
      </c>
      <c r="AG25" s="1953">
        <f t="shared" si="148"/>
        <v>0</v>
      </c>
      <c r="AH25" s="1954">
        <f t="shared" si="169"/>
        <v>0</v>
      </c>
      <c r="AI25" s="1955">
        <f>IF(ISNA(#REF!),0,SUM(AV25:BA25)*$B$14)</f>
        <v>0</v>
      </c>
      <c r="AJ25" s="1956">
        <f t="shared" si="170"/>
        <v>0</v>
      </c>
      <c r="AK25" s="1957">
        <f t="shared" si="167"/>
        <v>0</v>
      </c>
      <c r="AL25" s="1958">
        <f>Summen_GL!K$138</f>
        <v>0</v>
      </c>
      <c r="AM25" s="1952">
        <f t="shared" si="168"/>
        <v>0</v>
      </c>
      <c r="AO25" s="826">
        <f t="shared" si="149"/>
        <v>0</v>
      </c>
      <c r="AP25" s="826">
        <f t="shared" si="150"/>
        <v>0</v>
      </c>
      <c r="AQ25" s="826">
        <f t="shared" si="151"/>
        <v>0</v>
      </c>
      <c r="AR25" s="826">
        <f t="shared" si="152"/>
        <v>0</v>
      </c>
      <c r="AS25" s="826">
        <f t="shared" si="153"/>
        <v>0</v>
      </c>
      <c r="AT25" s="826">
        <f t="shared" si="154"/>
        <v>0</v>
      </c>
      <c r="AV25" s="826">
        <f t="shared" si="155"/>
        <v>0</v>
      </c>
      <c r="AW25" s="826">
        <f t="shared" si="156"/>
        <v>0</v>
      </c>
      <c r="AX25" s="826">
        <f t="shared" si="157"/>
        <v>0</v>
      </c>
      <c r="AY25" s="826">
        <f t="shared" si="158"/>
        <v>0</v>
      </c>
      <c r="AZ25" s="826">
        <f t="shared" si="159"/>
        <v>0</v>
      </c>
      <c r="BA25" s="826">
        <f t="shared" si="160"/>
        <v>0</v>
      </c>
      <c r="BC25" s="826">
        <f t="shared" si="161"/>
        <v>0</v>
      </c>
      <c r="BD25" s="826">
        <f t="shared" si="162"/>
        <v>0</v>
      </c>
      <c r="BE25" s="826">
        <f t="shared" si="163"/>
        <v>0</v>
      </c>
      <c r="BF25" s="826">
        <f t="shared" si="164"/>
        <v>0</v>
      </c>
      <c r="BG25" s="826">
        <f t="shared" si="165"/>
        <v>0</v>
      </c>
      <c r="BH25" s="826">
        <f t="shared" si="166"/>
        <v>0</v>
      </c>
      <c r="BI25" s="1943"/>
      <c r="BK25" s="819"/>
      <c r="BL25" s="819"/>
      <c r="BN25" s="1889"/>
      <c r="BO25" s="1889"/>
      <c r="BP25" s="1889"/>
      <c r="BQ25" s="1889"/>
      <c r="BR25" s="1889"/>
      <c r="BS25" s="1889"/>
      <c r="BT25" s="1889"/>
      <c r="BU25" s="1889"/>
      <c r="BV25" s="1889"/>
      <c r="BW25" s="1889"/>
      <c r="BX25" s="1889"/>
      <c r="BY25" s="1889"/>
      <c r="BZ25" s="1889"/>
      <c r="CA25" s="1889"/>
      <c r="CB25" s="1889"/>
      <c r="CD25" s="1852">
        <v>6</v>
      </c>
      <c r="CE25" s="1852" t="s">
        <v>1030</v>
      </c>
      <c r="CN25" s="1974" t="s">
        <v>1280</v>
      </c>
      <c r="CO25" s="1959">
        <f t="shared" ref="CO25:CO27" si="171">CP25*0.9</f>
        <v>0.9</v>
      </c>
      <c r="CP25" s="1959">
        <v>1</v>
      </c>
      <c r="CQ25" s="1959">
        <f t="shared" ref="CQ25:CQ27" si="172">CP25*1.1</f>
        <v>1.1000000000000001</v>
      </c>
      <c r="CR25" s="1959">
        <f t="shared" ref="CR25:CR27" si="173">CS25*0.9</f>
        <v>0.67500000000000004</v>
      </c>
      <c r="CS25" s="1959">
        <v>0.75</v>
      </c>
      <c r="CT25" s="10">
        <f t="shared" ref="CT25:CT27" si="174">CS25*1.1</f>
        <v>0.82500000000000007</v>
      </c>
      <c r="CU25" s="10">
        <f t="shared" ref="CU25:CU27" si="175">CV25*0.9</f>
        <v>0.63</v>
      </c>
      <c r="CV25" s="10">
        <v>0.7</v>
      </c>
      <c r="CW25" s="10">
        <f t="shared" ref="CW25:CW27" si="176">CV25*1.1</f>
        <v>0.77</v>
      </c>
      <c r="CX25" s="1874"/>
      <c r="CY25" s="1874"/>
      <c r="CZ25" s="10"/>
      <c r="DA25" s="1963"/>
      <c r="DB25" s="10"/>
      <c r="DC25" s="10"/>
      <c r="DD25" s="10"/>
      <c r="DE25" s="10"/>
      <c r="DF25" s="1874"/>
      <c r="DG25" s="1874"/>
    </row>
    <row r="26" spans="1:111" s="1852" customFormat="1" ht="18.75" customHeight="1">
      <c r="A26" s="819"/>
      <c r="B26" s="819"/>
      <c r="C26" s="1792" t="s">
        <v>1020</v>
      </c>
      <c r="D26" s="1950">
        <f>Grünland!AV54</f>
        <v>0</v>
      </c>
      <c r="E26" s="819"/>
      <c r="F26" s="1790">
        <f>'meine Dünger'!C11</f>
        <v>0</v>
      </c>
      <c r="G26" s="1789"/>
      <c r="H26" s="1581">
        <f>Summen_Acker!G10</f>
        <v>0</v>
      </c>
      <c r="I26" s="819"/>
      <c r="J26" s="819"/>
      <c r="K26" s="819"/>
      <c r="L26" s="819"/>
      <c r="M26" s="819"/>
      <c r="N26" s="819"/>
      <c r="O26" s="1788">
        <f>'meine Dünger'!C11</f>
        <v>0</v>
      </c>
      <c r="P26" s="1788">
        <f>'meine Dünger'!G11</f>
        <v>0</v>
      </c>
      <c r="Q26" s="1788">
        <f>Summen_Acker!F10</f>
        <v>0</v>
      </c>
      <c r="R26" s="1788">
        <f>Summen_Acker!G10</f>
        <v>0</v>
      </c>
      <c r="S26" s="1788"/>
      <c r="T26" s="1788"/>
      <c r="U26" s="819"/>
      <c r="V26" s="819"/>
      <c r="W26" s="819"/>
      <c r="X26" s="819"/>
      <c r="Y26" s="819"/>
      <c r="Z26" s="819"/>
      <c r="AA26" s="835"/>
      <c r="AD26" s="1944">
        <v>7</v>
      </c>
      <c r="AE26" s="1951">
        <f t="shared" si="148"/>
        <v>0</v>
      </c>
      <c r="AF26" s="1952">
        <f t="shared" si="148"/>
        <v>0</v>
      </c>
      <c r="AG26" s="1953">
        <f t="shared" si="148"/>
        <v>0</v>
      </c>
      <c r="AH26" s="1954">
        <f t="shared" si="169"/>
        <v>0</v>
      </c>
      <c r="AI26" s="1955">
        <f>IF(ISNA(#REF!),0,SUM(AV26:BA26)*$B$14)</f>
        <v>0</v>
      </c>
      <c r="AJ26" s="1956">
        <f t="shared" si="170"/>
        <v>0</v>
      </c>
      <c r="AK26" s="1957">
        <f t="shared" si="167"/>
        <v>0</v>
      </c>
      <c r="AL26" s="1958">
        <f>Summen_GL!L$138</f>
        <v>0</v>
      </c>
      <c r="AM26" s="1952">
        <f t="shared" si="168"/>
        <v>0</v>
      </c>
      <c r="AO26" s="826">
        <f t="shared" si="149"/>
        <v>0</v>
      </c>
      <c r="AP26" s="826">
        <f t="shared" si="150"/>
        <v>0</v>
      </c>
      <c r="AQ26" s="826">
        <f t="shared" si="151"/>
        <v>0</v>
      </c>
      <c r="AR26" s="826">
        <f t="shared" si="152"/>
        <v>0</v>
      </c>
      <c r="AS26" s="826">
        <f t="shared" si="153"/>
        <v>0</v>
      </c>
      <c r="AT26" s="826">
        <f t="shared" si="154"/>
        <v>0</v>
      </c>
      <c r="AV26" s="826">
        <f t="shared" si="155"/>
        <v>0</v>
      </c>
      <c r="AW26" s="826">
        <f t="shared" si="156"/>
        <v>0</v>
      </c>
      <c r="AX26" s="826">
        <f t="shared" si="157"/>
        <v>0</v>
      </c>
      <c r="AY26" s="826">
        <f t="shared" si="158"/>
        <v>0</v>
      </c>
      <c r="AZ26" s="826">
        <f t="shared" si="159"/>
        <v>0</v>
      </c>
      <c r="BA26" s="826">
        <f t="shared" si="160"/>
        <v>0</v>
      </c>
      <c r="BC26" s="826">
        <f t="shared" si="161"/>
        <v>0</v>
      </c>
      <c r="BD26" s="826">
        <f t="shared" si="162"/>
        <v>0</v>
      </c>
      <c r="BE26" s="826">
        <f t="shared" si="163"/>
        <v>0</v>
      </c>
      <c r="BF26" s="826">
        <f t="shared" si="164"/>
        <v>0</v>
      </c>
      <c r="BG26" s="826">
        <f t="shared" si="165"/>
        <v>0</v>
      </c>
      <c r="BH26" s="826">
        <f t="shared" si="166"/>
        <v>0</v>
      </c>
      <c r="BI26" s="1943"/>
      <c r="BK26" s="819"/>
      <c r="BL26" s="819"/>
      <c r="BN26" s="1889"/>
      <c r="BO26" s="1889"/>
      <c r="BP26" s="1889"/>
      <c r="BQ26" s="1889"/>
      <c r="BR26" s="1889"/>
      <c r="BS26" s="1889"/>
      <c r="BT26" s="1889"/>
      <c r="BU26" s="1889"/>
      <c r="BV26" s="1889"/>
      <c r="BW26" s="1889"/>
      <c r="BX26" s="1889"/>
      <c r="BY26" s="1889"/>
      <c r="BZ26" s="1889"/>
      <c r="CA26" s="1889"/>
      <c r="CB26" s="1889"/>
      <c r="CD26" s="1852">
        <v>7</v>
      </c>
      <c r="CE26" s="1852" t="s">
        <v>827</v>
      </c>
      <c r="CN26" s="1974" t="s">
        <v>1281</v>
      </c>
      <c r="CO26" s="1959">
        <f t="shared" si="171"/>
        <v>1.125</v>
      </c>
      <c r="CP26" s="1959">
        <v>1.25</v>
      </c>
      <c r="CQ26" s="1959">
        <f t="shared" si="172"/>
        <v>1.375</v>
      </c>
      <c r="CR26" s="1959">
        <f t="shared" si="173"/>
        <v>0.9</v>
      </c>
      <c r="CS26" s="1959">
        <v>1</v>
      </c>
      <c r="CT26" s="10">
        <f t="shared" si="174"/>
        <v>1.1000000000000001</v>
      </c>
      <c r="CU26" s="10">
        <f t="shared" si="175"/>
        <v>0.9</v>
      </c>
      <c r="CV26" s="10">
        <v>1</v>
      </c>
      <c r="CW26" s="10">
        <f t="shared" si="176"/>
        <v>1.1000000000000001</v>
      </c>
      <c r="CX26" s="1874"/>
      <c r="CY26" s="1874"/>
      <c r="CZ26" s="10" t="s">
        <v>1295</v>
      </c>
      <c r="DA26" s="1963">
        <v>120</v>
      </c>
      <c r="DB26" s="10"/>
      <c r="DC26" s="10" t="s">
        <v>1296</v>
      </c>
      <c r="DD26" s="10"/>
      <c r="DE26" s="10"/>
      <c r="DF26" s="1874"/>
      <c r="DG26" s="1874"/>
    </row>
    <row r="27" spans="1:111" s="1852" customFormat="1" ht="18.75" customHeight="1">
      <c r="A27" s="819"/>
      <c r="B27" s="819"/>
      <c r="C27" s="1792" t="s">
        <v>827</v>
      </c>
      <c r="D27" s="1950">
        <f>Grünland!AW54</f>
        <v>0</v>
      </c>
      <c r="E27" s="819"/>
      <c r="F27" s="1790">
        <f>'meine Dünger'!C12</f>
        <v>0</v>
      </c>
      <c r="G27" s="1789"/>
      <c r="H27" s="1581">
        <f>Summen_Acker!G11</f>
        <v>0</v>
      </c>
      <c r="I27" s="819"/>
      <c r="J27" s="819"/>
      <c r="K27" s="819"/>
      <c r="L27" s="819"/>
      <c r="M27" s="819"/>
      <c r="N27" s="819"/>
      <c r="O27" s="1788">
        <f>'meine Dünger'!C12</f>
        <v>0</v>
      </c>
      <c r="P27" s="1788">
        <f>'meine Dünger'!G12</f>
        <v>0</v>
      </c>
      <c r="Q27" s="1788">
        <f>Summen_Acker!F11</f>
        <v>0</v>
      </c>
      <c r="R27" s="1788">
        <f>Summen_Acker!G11</f>
        <v>0</v>
      </c>
      <c r="S27" s="1788"/>
      <c r="T27" s="1788"/>
      <c r="U27" s="819"/>
      <c r="V27" s="819"/>
      <c r="W27" s="819"/>
      <c r="X27" s="819"/>
      <c r="Y27" s="819"/>
      <c r="Z27" s="819"/>
      <c r="AA27" s="835"/>
      <c r="AD27" s="1944">
        <v>8</v>
      </c>
      <c r="AE27" s="1951">
        <f t="shared" si="148"/>
        <v>0</v>
      </c>
      <c r="AF27" s="1952">
        <f t="shared" si="148"/>
        <v>0</v>
      </c>
      <c r="AG27" s="1953">
        <f t="shared" si="148"/>
        <v>0</v>
      </c>
      <c r="AH27" s="1954">
        <f t="shared" si="169"/>
        <v>0</v>
      </c>
      <c r="AI27" s="1955">
        <f>IF(ISNA(#REF!),0,SUM(AV27:BA27)*$B$14)</f>
        <v>0</v>
      </c>
      <c r="AJ27" s="1956">
        <f t="shared" si="170"/>
        <v>0</v>
      </c>
      <c r="AK27" s="1957">
        <f t="shared" si="167"/>
        <v>0</v>
      </c>
      <c r="AL27" s="1958">
        <f>Summen_GL!M$138</f>
        <v>0</v>
      </c>
      <c r="AM27" s="1952">
        <f t="shared" si="168"/>
        <v>0</v>
      </c>
      <c r="AO27" s="826">
        <f t="shared" si="149"/>
        <v>0</v>
      </c>
      <c r="AP27" s="826">
        <f t="shared" si="150"/>
        <v>0</v>
      </c>
      <c r="AQ27" s="826">
        <f t="shared" si="151"/>
        <v>0</v>
      </c>
      <c r="AR27" s="826">
        <f t="shared" si="152"/>
        <v>0</v>
      </c>
      <c r="AS27" s="826">
        <f t="shared" si="153"/>
        <v>0</v>
      </c>
      <c r="AT27" s="826">
        <f t="shared" si="154"/>
        <v>0</v>
      </c>
      <c r="AV27" s="826">
        <f t="shared" si="155"/>
        <v>0</v>
      </c>
      <c r="AW27" s="826">
        <f t="shared" si="156"/>
        <v>0</v>
      </c>
      <c r="AX27" s="826">
        <f t="shared" si="157"/>
        <v>0</v>
      </c>
      <c r="AY27" s="826">
        <f t="shared" si="158"/>
        <v>0</v>
      </c>
      <c r="AZ27" s="826">
        <f t="shared" si="159"/>
        <v>0</v>
      </c>
      <c r="BA27" s="826">
        <f t="shared" si="160"/>
        <v>0</v>
      </c>
      <c r="BC27" s="826">
        <f t="shared" si="161"/>
        <v>0</v>
      </c>
      <c r="BD27" s="826">
        <f t="shared" si="162"/>
        <v>0</v>
      </c>
      <c r="BE27" s="826">
        <f t="shared" si="163"/>
        <v>0</v>
      </c>
      <c r="BF27" s="826">
        <f t="shared" si="164"/>
        <v>0</v>
      </c>
      <c r="BG27" s="826">
        <f t="shared" si="165"/>
        <v>0</v>
      </c>
      <c r="BH27" s="826">
        <f t="shared" si="166"/>
        <v>0</v>
      </c>
      <c r="BI27" s="1943"/>
      <c r="BK27" s="819"/>
      <c r="BL27" s="819"/>
      <c r="BN27" s="1889"/>
      <c r="BO27" s="1889"/>
      <c r="BP27" s="1889"/>
      <c r="BQ27" s="1889"/>
      <c r="BR27" s="1889"/>
      <c r="BS27" s="1889"/>
      <c r="BT27" s="1889"/>
      <c r="BU27" s="1889"/>
      <c r="BV27" s="1889"/>
      <c r="BW27" s="1889"/>
      <c r="BX27" s="1889"/>
      <c r="BY27" s="1889"/>
      <c r="BZ27" s="1889"/>
      <c r="CA27" s="1889"/>
      <c r="CB27" s="1889"/>
      <c r="CD27" s="1975"/>
      <c r="CE27" s="1976"/>
      <c r="CF27" s="1976"/>
      <c r="CG27" s="1976"/>
      <c r="CN27" s="1974" t="s">
        <v>1282</v>
      </c>
      <c r="CO27" s="1959">
        <f t="shared" si="171"/>
        <v>1.35</v>
      </c>
      <c r="CP27" s="1959">
        <v>1.5</v>
      </c>
      <c r="CQ27" s="1959">
        <f t="shared" si="172"/>
        <v>1.6500000000000001</v>
      </c>
      <c r="CR27" s="1959">
        <f t="shared" si="173"/>
        <v>1.125</v>
      </c>
      <c r="CS27" s="1959">
        <v>1.25</v>
      </c>
      <c r="CT27" s="10">
        <f t="shared" si="174"/>
        <v>1.375</v>
      </c>
      <c r="CU27" s="10">
        <f t="shared" si="175"/>
        <v>1.125</v>
      </c>
      <c r="CV27" s="10">
        <v>1.25</v>
      </c>
      <c r="CW27" s="10">
        <f t="shared" si="176"/>
        <v>1.375</v>
      </c>
      <c r="CX27" s="1874"/>
      <c r="CY27" s="1874"/>
      <c r="CZ27" s="10"/>
      <c r="DA27" s="1963"/>
      <c r="DB27" s="10"/>
      <c r="DC27" s="10"/>
      <c r="DD27" s="10"/>
      <c r="DE27" s="10"/>
      <c r="DF27" s="1874"/>
      <c r="DG27" s="1874"/>
    </row>
    <row r="28" spans="1:111" s="1852" customFormat="1" ht="18.75" customHeight="1">
      <c r="A28" s="819"/>
      <c r="B28" s="819"/>
      <c r="C28" s="1792" t="s">
        <v>1021</v>
      </c>
      <c r="D28" s="1950">
        <f>Grünland!AX54</f>
        <v>0</v>
      </c>
      <c r="E28" s="819"/>
      <c r="F28" s="1790">
        <f>'meine Dünger'!C13</f>
        <v>0</v>
      </c>
      <c r="G28" s="1789"/>
      <c r="H28" s="1581">
        <f>Summen_Acker!G12</f>
        <v>0</v>
      </c>
      <c r="I28" s="819"/>
      <c r="J28" s="819"/>
      <c r="K28" s="819"/>
      <c r="L28" s="819"/>
      <c r="M28" s="819"/>
      <c r="N28" s="819"/>
      <c r="O28" s="1788">
        <f>'meine Dünger'!C13</f>
        <v>0</v>
      </c>
      <c r="P28" s="1788">
        <f>'meine Dünger'!G13</f>
        <v>0</v>
      </c>
      <c r="Q28" s="1788">
        <f>Summen_Acker!F12</f>
        <v>0</v>
      </c>
      <c r="R28" s="1788">
        <f>Summen_Acker!G12</f>
        <v>0</v>
      </c>
      <c r="S28" s="1788"/>
      <c r="T28" s="1788"/>
      <c r="U28" s="819"/>
      <c r="V28" s="819"/>
      <c r="W28" s="819"/>
      <c r="X28" s="819"/>
      <c r="Y28" s="819"/>
      <c r="Z28" s="819"/>
      <c r="AA28" s="835"/>
      <c r="AD28" s="1944">
        <v>9</v>
      </c>
      <c r="AE28" s="1951">
        <f t="shared" si="148"/>
        <v>0</v>
      </c>
      <c r="AF28" s="1952">
        <f t="shared" si="148"/>
        <v>0</v>
      </c>
      <c r="AG28" s="1953">
        <f t="shared" si="148"/>
        <v>0</v>
      </c>
      <c r="AH28" s="1954">
        <f t="shared" si="169"/>
        <v>0</v>
      </c>
      <c r="AI28" s="1955">
        <f>IF(ISNA(#REF!),0,SUM(AV28:BA28)*$B$14)</f>
        <v>0</v>
      </c>
      <c r="AJ28" s="1956">
        <f t="shared" si="170"/>
        <v>0</v>
      </c>
      <c r="AK28" s="1957">
        <f t="shared" si="167"/>
        <v>0</v>
      </c>
      <c r="AL28" s="1958">
        <f>Summen_GL!N$138</f>
        <v>0</v>
      </c>
      <c r="AM28" s="1952">
        <f t="shared" si="168"/>
        <v>0</v>
      </c>
      <c r="AO28" s="826">
        <f t="shared" si="149"/>
        <v>0</v>
      </c>
      <c r="AP28" s="826">
        <f t="shared" si="150"/>
        <v>0</v>
      </c>
      <c r="AQ28" s="826">
        <f t="shared" si="151"/>
        <v>0</v>
      </c>
      <c r="AR28" s="826">
        <f t="shared" si="152"/>
        <v>0</v>
      </c>
      <c r="AS28" s="826">
        <f t="shared" si="153"/>
        <v>0</v>
      </c>
      <c r="AT28" s="826">
        <f t="shared" si="154"/>
        <v>0</v>
      </c>
      <c r="AV28" s="826">
        <f t="shared" si="155"/>
        <v>0</v>
      </c>
      <c r="AW28" s="826">
        <f t="shared" si="156"/>
        <v>0</v>
      </c>
      <c r="AX28" s="826">
        <f t="shared" si="157"/>
        <v>0</v>
      </c>
      <c r="AY28" s="826">
        <f t="shared" si="158"/>
        <v>0</v>
      </c>
      <c r="AZ28" s="826">
        <f t="shared" si="159"/>
        <v>0</v>
      </c>
      <c r="BA28" s="826">
        <f t="shared" si="160"/>
        <v>0</v>
      </c>
      <c r="BC28" s="826">
        <f t="shared" si="161"/>
        <v>0</v>
      </c>
      <c r="BD28" s="826">
        <f t="shared" si="162"/>
        <v>0</v>
      </c>
      <c r="BE28" s="826">
        <f t="shared" si="163"/>
        <v>0</v>
      </c>
      <c r="BF28" s="826">
        <f t="shared" si="164"/>
        <v>0</v>
      </c>
      <c r="BG28" s="826">
        <f t="shared" si="165"/>
        <v>0</v>
      </c>
      <c r="BH28" s="826">
        <f t="shared" si="166"/>
        <v>0</v>
      </c>
      <c r="BI28" s="1943"/>
      <c r="BK28" s="819"/>
      <c r="BL28" s="819"/>
      <c r="BN28" s="1889"/>
      <c r="BO28" s="1889"/>
      <c r="BP28" s="1889"/>
      <c r="BQ28" s="1889"/>
      <c r="BR28" s="1889"/>
      <c r="BS28" s="1889"/>
      <c r="BT28" s="1889"/>
      <c r="BU28" s="1889"/>
      <c r="BV28" s="1889"/>
      <c r="BW28" s="1889"/>
      <c r="BX28" s="1889"/>
      <c r="BY28" s="1889"/>
      <c r="BZ28" s="1889"/>
      <c r="CA28" s="1889"/>
      <c r="CB28" s="1889"/>
      <c r="CN28" s="1959"/>
      <c r="CO28" s="1959"/>
      <c r="CP28" s="1959"/>
      <c r="CQ28" s="1959"/>
      <c r="CR28" s="1959"/>
      <c r="CS28" s="10"/>
      <c r="CT28" s="10"/>
      <c r="CU28" s="10"/>
      <c r="CV28" s="10"/>
      <c r="CW28" s="10"/>
      <c r="CX28" s="1874"/>
      <c r="CY28" s="1874"/>
      <c r="CZ28" s="10"/>
      <c r="DA28" s="1963"/>
      <c r="DB28" s="10"/>
      <c r="DC28" s="10"/>
      <c r="DD28" s="10"/>
      <c r="DE28" s="10"/>
      <c r="DF28" s="1874"/>
      <c r="DG28" s="1874"/>
    </row>
    <row r="29" spans="1:111" s="1852" customFormat="1" ht="18.75" customHeight="1">
      <c r="A29" s="819"/>
      <c r="B29" s="819"/>
      <c r="C29" s="819"/>
      <c r="D29" s="819"/>
      <c r="E29" s="819"/>
      <c r="F29" s="819"/>
      <c r="G29" s="819"/>
      <c r="H29" s="819"/>
      <c r="I29" s="819"/>
      <c r="J29" s="819"/>
      <c r="K29" s="819"/>
      <c r="L29" s="819"/>
      <c r="M29" s="819"/>
      <c r="N29" s="819"/>
      <c r="O29" s="1788">
        <f>'meine Dünger'!C14</f>
        <v>0</v>
      </c>
      <c r="P29" s="1788">
        <f>'meine Dünger'!G14</f>
        <v>0</v>
      </c>
      <c r="Q29" s="1788">
        <f>Summen_Acker!F13</f>
        <v>0</v>
      </c>
      <c r="R29" s="1788">
        <f>Summen_Acker!G13</f>
        <v>0</v>
      </c>
      <c r="S29" s="1788"/>
      <c r="T29" s="1788"/>
      <c r="U29" s="819"/>
      <c r="V29" s="819"/>
      <c r="W29" s="819"/>
      <c r="X29" s="819"/>
      <c r="Y29" s="819"/>
      <c r="Z29" s="819"/>
      <c r="AA29" s="835"/>
      <c r="AD29" s="1944">
        <v>10</v>
      </c>
      <c r="AE29" s="1951">
        <f t="shared" si="148"/>
        <v>0</v>
      </c>
      <c r="AF29" s="1952">
        <f t="shared" si="148"/>
        <v>0</v>
      </c>
      <c r="AG29" s="1953">
        <f t="shared" si="148"/>
        <v>0</v>
      </c>
      <c r="AH29" s="1954">
        <f t="shared" si="169"/>
        <v>0</v>
      </c>
      <c r="AI29" s="1955">
        <f>IF(ISNA(C18),0,SUM(AV29:BA29)*$B$14)</f>
        <v>0</v>
      </c>
      <c r="AJ29" s="1956">
        <f t="shared" si="170"/>
        <v>0</v>
      </c>
      <c r="AK29" s="1957">
        <f t="shared" si="167"/>
        <v>0</v>
      </c>
      <c r="AL29" s="1958">
        <f>Summen_GL!O$138</f>
        <v>0</v>
      </c>
      <c r="AM29" s="1952">
        <f t="shared" si="168"/>
        <v>0</v>
      </c>
      <c r="AO29" s="826">
        <f t="shared" si="149"/>
        <v>0</v>
      </c>
      <c r="AP29" s="826">
        <f t="shared" si="150"/>
        <v>0</v>
      </c>
      <c r="AQ29" s="826">
        <f t="shared" si="151"/>
        <v>0</v>
      </c>
      <c r="AR29" s="826">
        <f t="shared" si="152"/>
        <v>0</v>
      </c>
      <c r="AS29" s="826">
        <f t="shared" si="153"/>
        <v>0</v>
      </c>
      <c r="AT29" s="826">
        <f t="shared" si="154"/>
        <v>0</v>
      </c>
      <c r="AV29" s="826">
        <f t="shared" si="155"/>
        <v>0</v>
      </c>
      <c r="AW29" s="826">
        <f t="shared" si="156"/>
        <v>0</v>
      </c>
      <c r="AX29" s="826">
        <f t="shared" si="157"/>
        <v>0</v>
      </c>
      <c r="AY29" s="826">
        <f t="shared" si="158"/>
        <v>0</v>
      </c>
      <c r="AZ29" s="826">
        <f t="shared" si="159"/>
        <v>0</v>
      </c>
      <c r="BA29" s="826">
        <f t="shared" si="160"/>
        <v>0</v>
      </c>
      <c r="BC29" s="826">
        <f t="shared" si="161"/>
        <v>0</v>
      </c>
      <c r="BD29" s="826">
        <f t="shared" si="162"/>
        <v>0</v>
      </c>
      <c r="BE29" s="826">
        <f t="shared" si="163"/>
        <v>0</v>
      </c>
      <c r="BF29" s="826">
        <f t="shared" si="164"/>
        <v>0</v>
      </c>
      <c r="BG29" s="826">
        <f t="shared" si="165"/>
        <v>0</v>
      </c>
      <c r="BH29" s="826">
        <f t="shared" si="166"/>
        <v>0</v>
      </c>
      <c r="BI29" s="1943"/>
      <c r="BK29" s="819"/>
      <c r="BL29" s="819"/>
      <c r="BN29" s="1889"/>
      <c r="BO29" s="1889"/>
      <c r="BP29" s="1889"/>
      <c r="BQ29" s="1889"/>
      <c r="BR29" s="1889"/>
      <c r="BS29" s="1889"/>
      <c r="BT29" s="1889"/>
      <c r="BU29" s="1889"/>
      <c r="BV29" s="1889"/>
      <c r="BW29" s="1889"/>
      <c r="BX29" s="1889"/>
      <c r="BY29" s="1889"/>
      <c r="BZ29" s="1889"/>
      <c r="CA29" s="1889"/>
      <c r="CB29" s="1889"/>
      <c r="CN29" s="1977" t="s">
        <v>1283</v>
      </c>
      <c r="CO29" s="1959" t="s">
        <v>1284</v>
      </c>
      <c r="CP29" s="1959"/>
      <c r="CQ29" s="1959"/>
      <c r="CR29" s="1959"/>
      <c r="CS29" s="10"/>
      <c r="CT29" s="10"/>
      <c r="CU29" s="10"/>
      <c r="CV29" s="10"/>
      <c r="CW29" s="10"/>
      <c r="CX29" s="1874"/>
      <c r="CY29" s="1874"/>
      <c r="CZ29" s="10" t="s">
        <v>1351</v>
      </c>
      <c r="DA29" s="1963"/>
      <c r="DB29" s="10"/>
      <c r="DC29" s="10"/>
      <c r="DD29" s="10"/>
      <c r="DE29" s="10"/>
      <c r="DF29" s="1874"/>
      <c r="DG29" s="1874"/>
    </row>
    <row r="30" spans="1:111" s="1852" customFormat="1" ht="18.75" customHeight="1">
      <c r="A30" s="819"/>
      <c r="B30" s="819"/>
      <c r="C30" s="819"/>
      <c r="D30" s="819"/>
      <c r="E30" s="819"/>
      <c r="F30" s="819"/>
      <c r="G30" s="819"/>
      <c r="H30" s="819"/>
      <c r="I30" s="819"/>
      <c r="J30" s="819"/>
      <c r="K30" s="819"/>
      <c r="L30" s="819"/>
      <c r="M30" s="819"/>
      <c r="N30" s="819"/>
      <c r="O30" s="1788">
        <f>'meine Dünger'!C15</f>
        <v>0</v>
      </c>
      <c r="P30" s="1788">
        <f>'meine Dünger'!G15</f>
        <v>0</v>
      </c>
      <c r="Q30" s="1788">
        <f>Summen_Acker!F14</f>
        <v>0</v>
      </c>
      <c r="R30" s="1788">
        <f>Summen_Acker!G14</f>
        <v>0</v>
      </c>
      <c r="S30" s="1788"/>
      <c r="T30" s="1788"/>
      <c r="U30" s="819"/>
      <c r="V30" s="819"/>
      <c r="W30" s="819"/>
      <c r="X30" s="819"/>
      <c r="Y30" s="819"/>
      <c r="Z30" s="819"/>
      <c r="AA30" s="835"/>
      <c r="AD30" s="1944">
        <v>11</v>
      </c>
      <c r="AE30" s="1951">
        <f t="shared" si="148"/>
        <v>0</v>
      </c>
      <c r="AF30" s="1952">
        <f t="shared" si="148"/>
        <v>0</v>
      </c>
      <c r="AG30" s="1953">
        <f t="shared" si="148"/>
        <v>0</v>
      </c>
      <c r="AH30" s="1954">
        <f t="shared" si="169"/>
        <v>0</v>
      </c>
      <c r="AI30" s="1955">
        <f>IF(ISNA(B19),0,SUM(AV30:BA30)*$B$14)</f>
        <v>0</v>
      </c>
      <c r="AJ30" s="1956">
        <f t="shared" si="170"/>
        <v>0</v>
      </c>
      <c r="AK30" s="1957">
        <f t="shared" si="167"/>
        <v>0</v>
      </c>
      <c r="AL30" s="1958">
        <f>Summen_GL!P$138</f>
        <v>0</v>
      </c>
      <c r="AM30" s="1952">
        <f t="shared" si="168"/>
        <v>0</v>
      </c>
      <c r="AO30" s="826">
        <f t="shared" si="149"/>
        <v>0</v>
      </c>
      <c r="AP30" s="826">
        <f t="shared" si="150"/>
        <v>0</v>
      </c>
      <c r="AQ30" s="826">
        <f t="shared" si="151"/>
        <v>0</v>
      </c>
      <c r="AR30" s="826">
        <f t="shared" si="152"/>
        <v>0</v>
      </c>
      <c r="AS30" s="826">
        <f t="shared" si="153"/>
        <v>0</v>
      </c>
      <c r="AT30" s="826">
        <f t="shared" si="154"/>
        <v>0</v>
      </c>
      <c r="AV30" s="826">
        <f t="shared" si="155"/>
        <v>0</v>
      </c>
      <c r="AW30" s="826">
        <f t="shared" si="156"/>
        <v>0</v>
      </c>
      <c r="AX30" s="826">
        <f t="shared" si="157"/>
        <v>0</v>
      </c>
      <c r="AY30" s="826">
        <f t="shared" si="158"/>
        <v>0</v>
      </c>
      <c r="AZ30" s="826">
        <f t="shared" si="159"/>
        <v>0</v>
      </c>
      <c r="BA30" s="826">
        <f t="shared" si="160"/>
        <v>0</v>
      </c>
      <c r="BC30" s="826">
        <f t="shared" si="161"/>
        <v>0</v>
      </c>
      <c r="BD30" s="826">
        <f t="shared" si="162"/>
        <v>0</v>
      </c>
      <c r="BE30" s="826">
        <f t="shared" si="163"/>
        <v>0</v>
      </c>
      <c r="BF30" s="826">
        <f t="shared" si="164"/>
        <v>0</v>
      </c>
      <c r="BG30" s="826">
        <f t="shared" si="165"/>
        <v>0</v>
      </c>
      <c r="BH30" s="826">
        <f t="shared" si="166"/>
        <v>0</v>
      </c>
      <c r="BI30" s="1943"/>
      <c r="BK30" s="819"/>
      <c r="BL30" s="819"/>
      <c r="BN30" s="1889"/>
      <c r="BO30" s="1889"/>
      <c r="BP30" s="1889"/>
      <c r="BQ30" s="1889"/>
      <c r="BR30" s="1889"/>
      <c r="BS30" s="1889"/>
      <c r="BT30" s="1889"/>
      <c r="BU30" s="1889"/>
      <c r="BV30" s="1889"/>
      <c r="BW30" s="1889"/>
      <c r="BX30" s="1889"/>
      <c r="BY30" s="1889"/>
      <c r="BZ30" s="1889"/>
      <c r="CA30" s="1889"/>
      <c r="CB30" s="1889"/>
      <c r="CN30" s="1978" t="s">
        <v>1285</v>
      </c>
      <c r="CO30" s="10">
        <v>50</v>
      </c>
      <c r="CP30" s="10"/>
      <c r="CQ30" s="10"/>
      <c r="CR30" s="10"/>
      <c r="CS30" s="10"/>
      <c r="CT30" s="10"/>
      <c r="CU30" s="10"/>
      <c r="CV30" s="10"/>
      <c r="CW30" s="10"/>
      <c r="CX30" s="1874"/>
      <c r="CY30" s="1874"/>
      <c r="CZ30" s="10" t="s">
        <v>1352</v>
      </c>
      <c r="DA30" s="1963">
        <v>2.2000000000000002</v>
      </c>
      <c r="DB30" s="10"/>
      <c r="DC30" s="10"/>
      <c r="DD30" s="10"/>
      <c r="DE30" s="10"/>
      <c r="DF30" s="1874"/>
      <c r="DG30" s="1874"/>
    </row>
    <row r="31" spans="1:111" s="1852" customFormat="1" ht="18.75" customHeight="1" thickBot="1">
      <c r="A31" s="819"/>
      <c r="B31" s="819"/>
      <c r="C31" s="819"/>
      <c r="D31" s="819"/>
      <c r="E31" s="819"/>
      <c r="F31" s="819"/>
      <c r="G31" s="819"/>
      <c r="H31" s="819"/>
      <c r="I31" s="819"/>
      <c r="J31" s="819"/>
      <c r="K31" s="819"/>
      <c r="L31" s="819"/>
      <c r="M31" s="819"/>
      <c r="N31" s="819"/>
      <c r="O31" s="1788">
        <f>'meine Dünger'!C16</f>
        <v>0</v>
      </c>
      <c r="P31" s="1788">
        <f>'meine Dünger'!G16</f>
        <v>0</v>
      </c>
      <c r="Q31" s="1788">
        <f>Summen_Acker!F15</f>
        <v>0</v>
      </c>
      <c r="R31" s="1788">
        <f>Summen_Acker!G15</f>
        <v>0</v>
      </c>
      <c r="S31" s="1788"/>
      <c r="T31" s="1788"/>
      <c r="U31" s="819"/>
      <c r="V31" s="819"/>
      <c r="W31" s="819"/>
      <c r="X31" s="819"/>
      <c r="Y31" s="819"/>
      <c r="Z31" s="819"/>
      <c r="AA31" s="835"/>
      <c r="AD31" s="1944">
        <v>12</v>
      </c>
      <c r="AE31" s="1951">
        <f t="shared" si="148"/>
        <v>0</v>
      </c>
      <c r="AF31" s="1952">
        <f t="shared" si="148"/>
        <v>0</v>
      </c>
      <c r="AG31" s="1953">
        <f t="shared" si="148"/>
        <v>0</v>
      </c>
      <c r="AH31" s="1954">
        <f t="shared" si="169"/>
        <v>0</v>
      </c>
      <c r="AI31" s="1955">
        <f>IF(ISNA(B30),0,SUM(AV31:BA31)*$B$14)</f>
        <v>0</v>
      </c>
      <c r="AJ31" s="1956">
        <f t="shared" si="170"/>
        <v>0</v>
      </c>
      <c r="AK31" s="1957">
        <f t="shared" si="167"/>
        <v>0</v>
      </c>
      <c r="AL31" s="1958">
        <f>Summen_GL!Q$138</f>
        <v>0</v>
      </c>
      <c r="AM31" s="1952">
        <f t="shared" si="168"/>
        <v>0</v>
      </c>
      <c r="AO31" s="826">
        <f t="shared" si="149"/>
        <v>0</v>
      </c>
      <c r="AP31" s="826">
        <f t="shared" si="150"/>
        <v>0</v>
      </c>
      <c r="AQ31" s="826">
        <f t="shared" si="151"/>
        <v>0</v>
      </c>
      <c r="AR31" s="826">
        <f t="shared" si="152"/>
        <v>0</v>
      </c>
      <c r="AS31" s="826">
        <f t="shared" si="153"/>
        <v>0</v>
      </c>
      <c r="AT31" s="826">
        <f t="shared" si="154"/>
        <v>0</v>
      </c>
      <c r="AV31" s="826">
        <f t="shared" si="155"/>
        <v>0</v>
      </c>
      <c r="AW31" s="826">
        <f t="shared" si="156"/>
        <v>0</v>
      </c>
      <c r="AX31" s="826">
        <f t="shared" si="157"/>
        <v>0</v>
      </c>
      <c r="AY31" s="826">
        <f t="shared" si="158"/>
        <v>0</v>
      </c>
      <c r="AZ31" s="826">
        <f t="shared" si="159"/>
        <v>0</v>
      </c>
      <c r="BA31" s="826">
        <f t="shared" si="160"/>
        <v>0</v>
      </c>
      <c r="BC31" s="826">
        <f t="shared" si="161"/>
        <v>0</v>
      </c>
      <c r="BD31" s="826">
        <f t="shared" si="162"/>
        <v>0</v>
      </c>
      <c r="BE31" s="826">
        <f t="shared" si="163"/>
        <v>0</v>
      </c>
      <c r="BF31" s="826">
        <f t="shared" si="164"/>
        <v>0</v>
      </c>
      <c r="BG31" s="826">
        <f t="shared" si="165"/>
        <v>0</v>
      </c>
      <c r="BH31" s="826">
        <f t="shared" si="166"/>
        <v>0</v>
      </c>
      <c r="BI31" s="1943"/>
      <c r="BK31" s="819"/>
      <c r="BL31" s="819"/>
      <c r="BN31" s="1889"/>
      <c r="BO31" s="1889"/>
      <c r="BP31" s="1889"/>
      <c r="BQ31" s="1889"/>
      <c r="BR31" s="1889"/>
      <c r="BS31" s="1889"/>
      <c r="BT31" s="1889"/>
      <c r="BU31" s="1889"/>
      <c r="BV31" s="1889"/>
      <c r="BW31" s="1889"/>
      <c r="BX31" s="1889"/>
      <c r="BY31" s="1889"/>
      <c r="BZ31" s="1889"/>
      <c r="CA31" s="1889"/>
      <c r="CB31" s="1889"/>
      <c r="CN31" s="1978" t="s">
        <v>1286</v>
      </c>
      <c r="CO31" s="10">
        <v>31</v>
      </c>
      <c r="CP31" s="10"/>
      <c r="CQ31" s="10"/>
      <c r="CR31" s="10"/>
      <c r="CS31" s="10"/>
      <c r="CT31" s="10"/>
      <c r="CU31" s="10"/>
      <c r="CV31" s="10"/>
      <c r="CW31" s="10"/>
      <c r="CX31" s="1874"/>
      <c r="CY31" s="1874"/>
      <c r="CZ31" s="10" t="s">
        <v>1297</v>
      </c>
      <c r="DA31" s="1963">
        <v>0.32</v>
      </c>
      <c r="DB31" s="10"/>
      <c r="DC31" s="10"/>
      <c r="DD31" s="10"/>
      <c r="DE31" s="10"/>
      <c r="DF31" s="1874"/>
      <c r="DG31" s="1874"/>
    </row>
    <row r="32" spans="1:111" s="1852" customFormat="1" ht="18.75" customHeight="1" thickBot="1">
      <c r="A32" s="819"/>
      <c r="B32" s="81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35"/>
      <c r="AD32" s="1943"/>
      <c r="AE32" s="1979">
        <f>SUM(AE20:AE31)</f>
        <v>0</v>
      </c>
      <c r="AF32" s="1980">
        <f>SUM(AF20:AF31)</f>
        <v>0</v>
      </c>
      <c r="AG32" s="1981">
        <f>SUM(AG20:AG31)</f>
        <v>0</v>
      </c>
      <c r="AH32" s="1943"/>
      <c r="AI32" s="1943"/>
      <c r="AJ32" s="1943"/>
      <c r="AK32" s="1943"/>
      <c r="AL32" s="1943"/>
      <c r="AM32" s="1943"/>
      <c r="AN32" s="1943"/>
      <c r="AO32" s="1943"/>
      <c r="AP32" s="1943"/>
      <c r="AQ32" s="1943"/>
      <c r="AR32" s="1943"/>
      <c r="AS32" s="1943"/>
      <c r="AT32" s="1943"/>
      <c r="AU32" s="1943"/>
      <c r="AV32" s="1943"/>
      <c r="AW32" s="1943"/>
      <c r="AX32" s="1943"/>
      <c r="AY32" s="1943"/>
      <c r="AZ32" s="1943"/>
      <c r="BA32" s="1943"/>
      <c r="BB32" s="1943"/>
      <c r="BC32" s="1943"/>
      <c r="BD32" s="1943"/>
      <c r="BE32" s="1943"/>
      <c r="BF32" s="1943"/>
      <c r="BG32" s="1943"/>
      <c r="BH32" s="1943"/>
      <c r="BI32" s="1943"/>
      <c r="BK32" s="819"/>
      <c r="BL32" s="819"/>
      <c r="BN32" s="1889"/>
      <c r="BO32" s="1889"/>
      <c r="BP32" s="1889"/>
      <c r="BQ32" s="1889"/>
      <c r="BR32" s="1889"/>
      <c r="BS32" s="1889"/>
      <c r="BT32" s="1889"/>
      <c r="BU32" s="1889"/>
      <c r="BV32" s="1889"/>
      <c r="BW32" s="1889"/>
      <c r="BX32" s="1889"/>
      <c r="BY32" s="1889"/>
      <c r="BZ32" s="1889"/>
      <c r="CA32" s="1889"/>
      <c r="CB32" s="1889"/>
      <c r="CN32" s="10"/>
      <c r="CO32" s="10"/>
      <c r="CP32" s="1963">
        <v>120</v>
      </c>
      <c r="CQ32" s="10" t="s">
        <v>1287</v>
      </c>
      <c r="CR32" s="10"/>
      <c r="CS32" s="10"/>
      <c r="CT32" s="10"/>
      <c r="CU32" s="10"/>
      <c r="CV32" s="10"/>
      <c r="CW32" s="10"/>
      <c r="CX32" s="1874"/>
      <c r="CY32" s="1874"/>
      <c r="CZ32" s="1982" t="s">
        <v>1367</v>
      </c>
      <c r="DA32" s="1874"/>
      <c r="DB32" s="1874"/>
      <c r="DC32" s="1874"/>
      <c r="DD32" s="1874"/>
      <c r="DE32" s="1874"/>
      <c r="DF32" s="1874"/>
      <c r="DG32" s="1874"/>
    </row>
    <row r="33" spans="1:111" s="1852" customFormat="1" ht="18.75" customHeight="1">
      <c r="A33" s="819"/>
      <c r="B33" s="819"/>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1983"/>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BF33" s="1889"/>
      <c r="BG33" s="1889"/>
      <c r="BH33" s="1889"/>
      <c r="BI33" s="1889"/>
      <c r="BJ33" s="1889"/>
      <c r="BK33" s="819"/>
      <c r="BL33" s="819"/>
      <c r="BM33" s="1889"/>
      <c r="BN33" s="1889"/>
      <c r="BO33" s="1889"/>
      <c r="BP33" s="1889"/>
      <c r="BQ33" s="1889"/>
      <c r="BR33" s="1889"/>
      <c r="BS33" s="1889"/>
      <c r="BT33" s="1889"/>
      <c r="BU33" s="1889"/>
      <c r="BV33" s="1889"/>
      <c r="BW33" s="1889"/>
      <c r="BX33" s="1889"/>
      <c r="BY33" s="1889"/>
      <c r="BZ33" s="1889"/>
      <c r="CA33" s="1889"/>
      <c r="CB33" s="1889"/>
      <c r="CN33" s="10"/>
      <c r="CO33" s="10"/>
      <c r="CP33" s="10"/>
      <c r="CQ33" s="10"/>
      <c r="CR33" s="1959"/>
      <c r="CS33" s="10"/>
      <c r="CT33" s="10"/>
      <c r="CU33" s="10"/>
      <c r="CV33" s="10"/>
      <c r="CW33" s="10"/>
      <c r="CX33" s="1874"/>
      <c r="CY33" s="1874"/>
      <c r="CZ33" s="1874"/>
      <c r="DA33" s="1874"/>
      <c r="DB33" s="1874"/>
      <c r="DC33" s="1874"/>
      <c r="DD33" s="1874"/>
      <c r="DE33" s="1984"/>
      <c r="DF33" s="1874"/>
      <c r="DG33" s="1874"/>
    </row>
    <row r="34" spans="1:111" s="1852" customFormat="1" ht="18.75" customHeight="1">
      <c r="A34" s="819"/>
      <c r="B34" s="819"/>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819"/>
      <c r="BL34" s="819"/>
      <c r="BM34" s="1889"/>
      <c r="BN34" s="1889"/>
      <c r="BO34" s="1889"/>
      <c r="BP34" s="1889"/>
      <c r="BQ34" s="1889"/>
      <c r="BR34" s="1889"/>
      <c r="BS34" s="1889"/>
      <c r="BT34" s="1889"/>
      <c r="BU34" s="1889"/>
      <c r="BV34" s="1889"/>
      <c r="BW34" s="1889"/>
      <c r="BX34" s="1889"/>
      <c r="BY34" s="1889"/>
      <c r="BZ34" s="1889"/>
      <c r="CA34" s="1889"/>
      <c r="CB34" s="1889"/>
      <c r="CN34" s="10"/>
      <c r="CO34" s="10"/>
      <c r="CP34" s="10"/>
      <c r="CQ34" s="10"/>
      <c r="CR34" s="1959"/>
      <c r="CS34" s="10"/>
      <c r="CT34" s="10"/>
      <c r="CU34" s="10"/>
      <c r="CV34" s="10"/>
      <c r="CW34" s="10"/>
      <c r="CX34" s="1874"/>
      <c r="CY34" s="1874"/>
      <c r="CZ34" s="10" t="s">
        <v>1369</v>
      </c>
      <c r="DA34" s="1963">
        <f>(10.2*1.2)+(27.77*1.2)</f>
        <v>45.563999999999993</v>
      </c>
      <c r="DB34" s="1874"/>
      <c r="DC34" s="1874"/>
      <c r="DD34" s="1874"/>
      <c r="DE34" s="1874"/>
      <c r="DF34" s="1874"/>
      <c r="DG34" s="1874"/>
    </row>
    <row r="35" spans="1:111" s="1852" customFormat="1" ht="18.75" customHeight="1">
      <c r="A35" s="819"/>
      <c r="B35" s="819"/>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1889"/>
      <c r="AB35" s="1889"/>
      <c r="AC35" s="1889"/>
      <c r="AD35" s="1889"/>
      <c r="AE35" s="1889"/>
      <c r="AF35" s="1889"/>
      <c r="AG35" s="1889"/>
      <c r="AH35" s="1889"/>
      <c r="AI35" s="1889"/>
      <c r="AJ35" s="1889"/>
      <c r="AK35" s="1889"/>
      <c r="AL35" s="1889"/>
      <c r="AM35" s="1889"/>
      <c r="AN35" s="1889"/>
      <c r="AO35" s="1889"/>
      <c r="AP35" s="1889"/>
      <c r="AQ35" s="1889"/>
      <c r="AR35" s="1889"/>
      <c r="AS35" s="1889"/>
      <c r="AT35" s="1889"/>
      <c r="AU35" s="1889"/>
      <c r="AV35" s="1889"/>
      <c r="AW35" s="1889"/>
      <c r="AX35" s="1889"/>
      <c r="AY35" s="1889"/>
      <c r="AZ35" s="1889"/>
      <c r="BA35" s="1889"/>
      <c r="BB35" s="1889"/>
      <c r="BC35" s="1889"/>
      <c r="BD35" s="1889"/>
      <c r="BE35" s="1889"/>
      <c r="BF35" s="1889"/>
      <c r="BG35" s="1889"/>
      <c r="BH35" s="1889"/>
      <c r="BI35" s="1889"/>
      <c r="BJ35" s="1889"/>
      <c r="BK35" s="819"/>
      <c r="BL35" s="819"/>
      <c r="BM35" s="1889"/>
      <c r="BN35" s="1889"/>
      <c r="BO35" s="1889"/>
      <c r="BP35" s="1889"/>
      <c r="BQ35" s="1889"/>
      <c r="BR35" s="1889"/>
      <c r="BS35" s="1889"/>
      <c r="BT35" s="1889"/>
      <c r="BU35" s="1889"/>
      <c r="BV35" s="1889"/>
      <c r="BW35" s="1889"/>
      <c r="BX35" s="1889"/>
      <c r="BY35" s="1889"/>
      <c r="BZ35" s="1889"/>
      <c r="CA35" s="1889"/>
      <c r="CB35" s="1889"/>
      <c r="CN35" s="10"/>
      <c r="CO35" s="10"/>
      <c r="CP35" s="10"/>
      <c r="CQ35" s="10"/>
      <c r="CR35" s="1959"/>
      <c r="CS35" s="10"/>
      <c r="CT35" s="10"/>
      <c r="CU35" s="10"/>
      <c r="CV35" s="10"/>
      <c r="CW35" s="10"/>
      <c r="CX35" s="1874"/>
      <c r="CY35" s="1874"/>
      <c r="CZ35" s="1982" t="s">
        <v>1368</v>
      </c>
      <c r="DA35" s="1874"/>
      <c r="DB35" s="1874"/>
      <c r="DC35" s="1874"/>
      <c r="DD35" s="1874"/>
      <c r="DE35" s="1874"/>
      <c r="DF35" s="1874"/>
      <c r="DG35" s="1874"/>
    </row>
    <row r="36" spans="1:111" s="1852" customFormat="1" ht="18.75" customHeight="1">
      <c r="A36" s="819"/>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1889"/>
      <c r="AB36" s="1889"/>
      <c r="AC36" s="1889"/>
      <c r="AD36" s="1889"/>
      <c r="AE36" s="1889"/>
      <c r="AF36" s="1889"/>
      <c r="AG36" s="1889"/>
      <c r="AH36" s="1889"/>
      <c r="AI36" s="1889"/>
      <c r="AJ36" s="1889"/>
      <c r="AK36" s="1889"/>
      <c r="AL36" s="1889"/>
      <c r="AM36" s="1889"/>
      <c r="AN36" s="1889"/>
      <c r="AO36" s="1889"/>
      <c r="AP36" s="1889"/>
      <c r="AQ36" s="1889"/>
      <c r="AR36" s="1889"/>
      <c r="AS36" s="1889"/>
      <c r="AT36" s="1889"/>
      <c r="AU36" s="1889"/>
      <c r="AV36" s="1889"/>
      <c r="AW36" s="1889"/>
      <c r="AX36" s="1889"/>
      <c r="AY36" s="1889"/>
      <c r="AZ36" s="1889"/>
      <c r="BA36" s="1889"/>
      <c r="BB36" s="1889"/>
      <c r="BC36" s="1889"/>
      <c r="BD36" s="1889"/>
      <c r="BE36" s="1889"/>
      <c r="BF36" s="1889"/>
      <c r="BG36" s="1889"/>
      <c r="BH36" s="1889"/>
      <c r="BI36" s="1889"/>
      <c r="BJ36" s="1889"/>
      <c r="BK36" s="819"/>
      <c r="BL36" s="819"/>
      <c r="BM36" s="1889"/>
      <c r="BN36" s="1889"/>
      <c r="BO36" s="1889"/>
      <c r="BP36" s="1889"/>
      <c r="BQ36" s="1889"/>
      <c r="BR36" s="1889"/>
      <c r="BS36" s="1889"/>
      <c r="BT36" s="1889"/>
      <c r="BU36" s="1889"/>
      <c r="BV36" s="1889"/>
      <c r="BW36" s="1889"/>
      <c r="BX36" s="1889"/>
      <c r="BY36" s="1889"/>
      <c r="BZ36" s="1889"/>
      <c r="CA36" s="1889"/>
      <c r="CB36" s="1889"/>
      <c r="CN36" s="1959" t="s">
        <v>1353</v>
      </c>
      <c r="CO36" s="1960" t="s">
        <v>1271</v>
      </c>
      <c r="CP36" s="1961"/>
      <c r="CQ36" s="1962"/>
      <c r="CR36" s="1959"/>
      <c r="CS36" s="10"/>
      <c r="CT36" s="10"/>
      <c r="CU36" s="10"/>
      <c r="CV36" s="10"/>
      <c r="CW36" s="10"/>
      <c r="CX36" s="1874"/>
      <c r="CY36" s="1874"/>
      <c r="CZ36" s="1874"/>
      <c r="DA36" s="1874"/>
      <c r="DB36" s="1874"/>
      <c r="DC36" s="1874"/>
      <c r="DD36" s="1874"/>
      <c r="DE36" s="1874"/>
      <c r="DF36" s="1874"/>
      <c r="DG36" s="1874"/>
    </row>
    <row r="37" spans="1:111" s="1852" customFormat="1" ht="21.75" customHeight="1">
      <c r="A37" s="1022"/>
      <c r="B37" s="1985"/>
      <c r="E37" s="1986"/>
      <c r="F37" s="1987"/>
      <c r="G37" s="1986"/>
      <c r="H37" s="1987"/>
      <c r="I37" s="1986"/>
      <c r="J37" s="1987"/>
      <c r="K37" s="1986"/>
      <c r="L37" s="1987"/>
      <c r="M37" s="1986"/>
      <c r="N37" s="1987"/>
      <c r="CN37" s="1964" t="s">
        <v>1272</v>
      </c>
      <c r="CO37" s="1988" t="s">
        <v>1275</v>
      </c>
      <c r="CP37" s="1989" t="s">
        <v>1395</v>
      </c>
      <c r="CQ37" s="1990" t="s">
        <v>1396</v>
      </c>
      <c r="CR37" s="1959"/>
      <c r="CS37" s="10"/>
      <c r="CT37" s="10"/>
      <c r="CU37" s="10"/>
      <c r="CV37" s="10"/>
      <c r="CW37" s="10"/>
      <c r="CX37" s="1874"/>
      <c r="CY37" s="1874"/>
      <c r="CZ37" s="1874"/>
      <c r="DA37" s="1874"/>
      <c r="DB37" s="1874"/>
      <c r="DC37" s="1874"/>
      <c r="DD37" s="1874"/>
      <c r="DE37" s="1874"/>
      <c r="DF37" s="1874"/>
      <c r="DG37" s="1874"/>
    </row>
    <row r="38" spans="1:111" s="1852" customFormat="1" ht="21.75" customHeight="1">
      <c r="CN38" s="1974" t="s">
        <v>1279</v>
      </c>
      <c r="CO38" s="1959">
        <v>3</v>
      </c>
      <c r="CP38" s="1959">
        <f>CO38*0.97</f>
        <v>2.91</v>
      </c>
      <c r="CQ38" s="1959">
        <f>CO38*0.94</f>
        <v>2.82</v>
      </c>
      <c r="CR38" s="1959"/>
      <c r="CS38" s="10"/>
      <c r="CT38" s="10"/>
      <c r="CU38" s="10"/>
      <c r="CV38" s="10"/>
      <c r="CW38" s="10"/>
      <c r="CX38" s="1874"/>
      <c r="CY38" s="1874"/>
      <c r="CZ38" s="1874"/>
      <c r="DA38" s="1874"/>
      <c r="DB38" s="1874"/>
      <c r="DC38" s="1874"/>
      <c r="DD38" s="1874"/>
      <c r="DE38" s="1874"/>
      <c r="DF38" s="1874"/>
      <c r="DG38" s="1874"/>
    </row>
    <row r="39" spans="1:111" s="1852" customFormat="1" ht="21.75" customHeight="1">
      <c r="A39" s="1022"/>
      <c r="B39" s="1985"/>
      <c r="C39" s="212"/>
      <c r="D39" s="212"/>
      <c r="E39" s="1986"/>
      <c r="F39" s="1987"/>
      <c r="G39" s="1986"/>
      <c r="H39" s="1987"/>
      <c r="I39" s="1986"/>
      <c r="J39" s="1987"/>
      <c r="K39" s="1986"/>
      <c r="L39" s="1987"/>
      <c r="M39" s="1986"/>
      <c r="N39" s="1987"/>
      <c r="CN39" s="1974" t="s">
        <v>1280</v>
      </c>
      <c r="CO39" s="1959">
        <v>2</v>
      </c>
      <c r="CP39" s="1959">
        <f t="shared" ref="CP39:CP41" si="177">CO39*0.97</f>
        <v>1.94</v>
      </c>
      <c r="CQ39" s="1959">
        <f t="shared" ref="CQ39:CQ41" si="178">CO39*0.94</f>
        <v>1.88</v>
      </c>
      <c r="CR39" s="1959"/>
      <c r="CS39" s="10"/>
      <c r="CT39" s="10"/>
      <c r="CU39" s="10"/>
      <c r="CV39" s="10"/>
      <c r="CW39" s="10"/>
      <c r="CX39" s="1874"/>
      <c r="CY39" s="1874"/>
      <c r="CZ39" s="1874"/>
      <c r="DA39" s="1874"/>
      <c r="DB39" s="1874"/>
      <c r="DC39" s="1874"/>
      <c r="DD39" s="1874"/>
      <c r="DE39" s="1874"/>
      <c r="DF39" s="1874"/>
      <c r="DG39" s="1874"/>
    </row>
    <row r="40" spans="1:111" s="1852" customFormat="1" ht="21.75" customHeight="1">
      <c r="CN40" s="1974" t="s">
        <v>1281</v>
      </c>
      <c r="CO40" s="1959">
        <v>1</v>
      </c>
      <c r="CP40" s="1959">
        <f t="shared" si="177"/>
        <v>0.97</v>
      </c>
      <c r="CQ40" s="1959">
        <f t="shared" si="178"/>
        <v>0.94</v>
      </c>
      <c r="CR40" s="10"/>
      <c r="CS40" s="10"/>
      <c r="CT40" s="10"/>
      <c r="CU40" s="10"/>
      <c r="CV40" s="10"/>
      <c r="CW40" s="10"/>
      <c r="CX40" s="1874"/>
      <c r="CY40" s="1874"/>
      <c r="CZ40" s="1874"/>
      <c r="DA40" s="1874"/>
      <c r="DB40" s="1874"/>
      <c r="DC40" s="1874"/>
      <c r="DD40" s="1874"/>
      <c r="DE40" s="1874"/>
      <c r="DF40" s="1874"/>
      <c r="DG40" s="1874"/>
    </row>
    <row r="41" spans="1:111" s="1852" customFormat="1" ht="21.75" customHeight="1">
      <c r="A41" s="757"/>
      <c r="B41" s="1027"/>
      <c r="C41" s="212"/>
      <c r="D41" s="212"/>
      <c r="E41" s="1986"/>
      <c r="F41" s="1987"/>
      <c r="G41" s="1986"/>
      <c r="H41" s="1987"/>
      <c r="I41" s="1986"/>
      <c r="J41" s="1987"/>
      <c r="K41" s="1986"/>
      <c r="L41" s="1987"/>
      <c r="M41" s="1986"/>
      <c r="N41" s="1987"/>
      <c r="CN41" s="1974" t="s">
        <v>1282</v>
      </c>
      <c r="CO41" s="1959">
        <v>0.75</v>
      </c>
      <c r="CP41" s="1959">
        <f t="shared" si="177"/>
        <v>0.72750000000000004</v>
      </c>
      <c r="CQ41" s="1959">
        <f t="shared" si="178"/>
        <v>0.70499999999999996</v>
      </c>
      <c r="CR41" s="10"/>
      <c r="CS41" s="10"/>
      <c r="CT41" s="10"/>
      <c r="CU41" s="10"/>
      <c r="CV41" s="10"/>
      <c r="CW41" s="10"/>
      <c r="CX41" s="1874"/>
      <c r="CY41" s="1874"/>
      <c r="CZ41" s="1874"/>
      <c r="DA41" s="1874"/>
      <c r="DB41" s="1874"/>
      <c r="DC41" s="1874"/>
      <c r="DD41" s="1874"/>
      <c r="DE41" s="1874"/>
      <c r="DF41" s="1874"/>
      <c r="DG41" s="1874"/>
    </row>
    <row r="42" spans="1:111" s="1852" customFormat="1" ht="20.25" customHeight="1">
      <c r="A42" s="755"/>
      <c r="B42" s="1942"/>
      <c r="E42" s="755"/>
      <c r="F42" s="755"/>
      <c r="G42" s="755"/>
      <c r="H42" s="755"/>
      <c r="I42" s="755"/>
      <c r="J42" s="755"/>
      <c r="K42" s="755"/>
      <c r="L42" s="755"/>
      <c r="M42" s="755"/>
      <c r="N42" s="755"/>
      <c r="CN42" s="10"/>
      <c r="CO42" s="10"/>
      <c r="CP42" s="10"/>
      <c r="CQ42" s="10"/>
      <c r="CR42" s="10"/>
      <c r="CS42" s="10"/>
      <c r="CT42" s="10"/>
      <c r="CU42" s="10"/>
      <c r="CV42" s="10"/>
      <c r="CW42" s="10"/>
      <c r="CX42" s="1874"/>
      <c r="CY42" s="1874"/>
      <c r="CZ42" s="1874"/>
      <c r="DA42" s="1874"/>
      <c r="DB42" s="1874"/>
      <c r="DC42" s="1874"/>
      <c r="DD42" s="1874"/>
      <c r="DE42" s="1874"/>
      <c r="DF42" s="1874"/>
      <c r="DG42" s="1874"/>
    </row>
    <row r="43" spans="1:111" s="1852" customFormat="1" ht="20.25" customHeight="1">
      <c r="A43" s="755"/>
      <c r="E43" s="1942"/>
      <c r="F43" s="755"/>
      <c r="G43" s="755"/>
      <c r="H43" s="755"/>
      <c r="I43" s="755"/>
      <c r="J43" s="755"/>
      <c r="K43" s="755"/>
      <c r="L43" s="755"/>
      <c r="M43" s="755"/>
      <c r="N43" s="755"/>
      <c r="CN43" s="10"/>
      <c r="CO43" s="10"/>
      <c r="CP43" s="10"/>
      <c r="CQ43" s="10"/>
      <c r="CR43" s="10"/>
      <c r="CS43" s="10"/>
      <c r="CT43" s="10"/>
      <c r="CU43" s="10"/>
      <c r="CV43" s="10"/>
      <c r="CW43" s="10"/>
      <c r="CX43" s="1874"/>
      <c r="CY43" s="1874"/>
      <c r="CZ43" s="1874"/>
      <c r="DA43" s="1874"/>
      <c r="DB43" s="1874"/>
      <c r="DC43" s="1874"/>
      <c r="DD43" s="1874"/>
      <c r="DE43" s="1874"/>
      <c r="DF43" s="1874"/>
      <c r="DG43" s="1874"/>
    </row>
    <row r="44" spans="1:111" s="1852" customFormat="1" ht="20.25" customHeight="1">
      <c r="A44" s="755"/>
      <c r="E44" s="1942"/>
      <c r="F44" s="755"/>
      <c r="G44" s="755"/>
      <c r="H44" s="755"/>
      <c r="I44" s="755"/>
      <c r="J44" s="755"/>
      <c r="K44" s="755"/>
      <c r="L44" s="755"/>
      <c r="M44" s="755"/>
      <c r="N44" s="755"/>
      <c r="CN44" s="1977" t="s">
        <v>1283</v>
      </c>
      <c r="CO44" s="1991">
        <v>150</v>
      </c>
      <c r="CP44" s="1963">
        <v>0.32</v>
      </c>
      <c r="CQ44" s="1963">
        <f>CP44*CO44</f>
        <v>48</v>
      </c>
      <c r="CR44" s="10"/>
      <c r="CS44" s="10"/>
      <c r="CT44" s="1977" t="s">
        <v>1283</v>
      </c>
      <c r="CU44" s="1991">
        <v>150</v>
      </c>
      <c r="CV44" s="1963">
        <v>0.32</v>
      </c>
      <c r="CW44" s="1963">
        <f>CV44*CU44</f>
        <v>48</v>
      </c>
      <c r="CX44" s="10"/>
      <c r="CY44" s="1874"/>
      <c r="CZ44" s="1874"/>
      <c r="DA44" s="1874"/>
      <c r="DB44" s="1874"/>
      <c r="DC44" s="1874"/>
      <c r="DD44" s="1874"/>
      <c r="DE44" s="1874"/>
      <c r="DF44" s="1874"/>
      <c r="DG44" s="1874"/>
    </row>
    <row r="45" spans="1:111" s="1852" customFormat="1" ht="20.25" customHeight="1">
      <c r="A45" s="755"/>
      <c r="E45" s="1942"/>
      <c r="F45" s="755"/>
      <c r="G45" s="755"/>
      <c r="H45" s="755"/>
      <c r="I45" s="755"/>
      <c r="J45" s="755"/>
      <c r="K45" s="755"/>
      <c r="L45" s="755"/>
      <c r="M45" s="755"/>
      <c r="N45" s="755"/>
      <c r="CN45" s="1978" t="s">
        <v>1290</v>
      </c>
      <c r="CO45" s="1991">
        <v>12</v>
      </c>
      <c r="CP45" s="1963">
        <v>2.2000000000000002</v>
      </c>
      <c r="CQ45" s="1963">
        <f>CP45*CO45</f>
        <v>26.400000000000002</v>
      </c>
      <c r="CR45" s="10"/>
      <c r="CS45" s="10"/>
      <c r="CT45" s="1978" t="s">
        <v>1354</v>
      </c>
      <c r="CU45" s="1991">
        <v>6</v>
      </c>
      <c r="CV45" s="1963">
        <v>2.2000000000000002</v>
      </c>
      <c r="CW45" s="1963">
        <f>CV45*CU45</f>
        <v>13.200000000000001</v>
      </c>
      <c r="CX45" s="10"/>
      <c r="CY45" s="1874"/>
      <c r="CZ45" s="1874"/>
      <c r="DA45" s="1874"/>
      <c r="DB45" s="1874"/>
      <c r="DC45" s="1874"/>
      <c r="DD45" s="1874"/>
      <c r="DE45" s="1874"/>
      <c r="DF45" s="1874"/>
      <c r="DG45" s="1874"/>
    </row>
    <row r="46" spans="1:111" s="1852" customFormat="1" ht="20.25" customHeight="1">
      <c r="A46" s="755"/>
      <c r="E46" s="1942"/>
      <c r="F46" s="755"/>
      <c r="G46" s="755"/>
      <c r="H46" s="755"/>
      <c r="I46" s="755"/>
      <c r="J46" s="755"/>
      <c r="K46" s="755"/>
      <c r="L46" s="755"/>
      <c r="M46" s="755"/>
      <c r="N46" s="755"/>
      <c r="CN46" s="1978"/>
      <c r="CO46" s="1963"/>
      <c r="CP46" s="1963"/>
      <c r="CQ46" s="1963">
        <f>SUM(CQ44:CQ45)</f>
        <v>74.400000000000006</v>
      </c>
      <c r="CR46" s="10" t="s">
        <v>1287</v>
      </c>
      <c r="CS46" s="10"/>
      <c r="CT46" s="1978"/>
      <c r="CU46" s="1963"/>
      <c r="CV46" s="1963"/>
      <c r="CW46" s="1963">
        <f>SUM(CW44:CW45)</f>
        <v>61.2</v>
      </c>
      <c r="CX46" s="10" t="s">
        <v>1287</v>
      </c>
      <c r="CY46" s="1874"/>
      <c r="CZ46" s="1874"/>
      <c r="DA46" s="1874"/>
      <c r="DB46" s="1874"/>
      <c r="DC46" s="1874"/>
      <c r="DD46" s="1874"/>
      <c r="DE46" s="1874"/>
      <c r="DF46" s="1874"/>
      <c r="DG46" s="1874"/>
    </row>
    <row r="47" spans="1:111" s="1852" customFormat="1" ht="20.25" customHeight="1">
      <c r="A47" s="755"/>
      <c r="E47" s="1942"/>
      <c r="F47" s="755"/>
      <c r="G47" s="755"/>
      <c r="H47" s="755"/>
      <c r="I47" s="755"/>
      <c r="J47" s="755"/>
      <c r="K47" s="755"/>
      <c r="L47" s="755"/>
      <c r="M47" s="755"/>
      <c r="N47" s="755"/>
    </row>
    <row r="48" spans="1:111" s="1852" customFormat="1" ht="20.25" customHeight="1">
      <c r="A48" s="755"/>
      <c r="E48" s="1942"/>
      <c r="F48" s="755"/>
      <c r="G48" s="755"/>
      <c r="H48" s="755"/>
      <c r="I48" s="755"/>
      <c r="J48" s="755"/>
      <c r="K48" s="755"/>
      <c r="L48" s="755"/>
      <c r="M48" s="755"/>
      <c r="N48" s="755"/>
    </row>
    <row r="49" spans="1:52" s="1852" customFormat="1" ht="20.25" customHeight="1">
      <c r="A49" s="755"/>
      <c r="E49" s="1942"/>
      <c r="F49" s="755"/>
      <c r="G49" s="755"/>
      <c r="H49" s="755"/>
      <c r="I49" s="755"/>
      <c r="J49" s="755"/>
      <c r="K49" s="755"/>
      <c r="L49" s="755"/>
      <c r="M49" s="755"/>
      <c r="N49" s="755"/>
    </row>
    <row r="50" spans="1:52" s="1852" customFormat="1" ht="20.25" customHeight="1">
      <c r="A50" s="755"/>
      <c r="E50" s="1942"/>
      <c r="F50" s="755"/>
      <c r="G50" s="755"/>
      <c r="H50" s="755"/>
      <c r="I50" s="755"/>
      <c r="J50" s="755"/>
      <c r="K50" s="755"/>
      <c r="L50" s="755"/>
      <c r="M50" s="755"/>
      <c r="N50" s="755"/>
      <c r="O50" s="755"/>
      <c r="P50" s="755"/>
      <c r="Q50" s="755"/>
      <c r="R50" s="755"/>
      <c r="S50" s="752"/>
      <c r="T50" s="1942"/>
      <c r="U50" s="1942"/>
      <c r="V50" s="1942"/>
      <c r="W50" s="1942"/>
      <c r="X50" s="1942"/>
      <c r="Y50" s="1942"/>
      <c r="Z50" s="1942"/>
      <c r="AA50" s="1942"/>
      <c r="AB50" s="1942"/>
      <c r="AC50" s="1942"/>
      <c r="AD50" s="10"/>
      <c r="AE50" s="10"/>
      <c r="AF50" s="1942"/>
      <c r="AG50" s="1942"/>
      <c r="AJ50" s="834"/>
      <c r="AK50" s="10"/>
      <c r="AL50" s="10"/>
      <c r="AM50" s="10"/>
      <c r="AN50" s="10"/>
      <c r="AO50" s="10"/>
      <c r="AP50" s="10"/>
      <c r="AQ50" s="10"/>
      <c r="AR50" s="10"/>
      <c r="AS50" s="10"/>
      <c r="AT50" s="10"/>
    </row>
    <row r="51" spans="1:52" s="1852" customFormat="1" ht="20.25" customHeight="1">
      <c r="A51" s="755"/>
      <c r="B51" s="755"/>
      <c r="C51" s="755"/>
      <c r="D51" s="755"/>
      <c r="E51" s="755"/>
      <c r="F51" s="755"/>
      <c r="G51" s="755"/>
      <c r="H51" s="755"/>
      <c r="I51" s="755"/>
      <c r="J51" s="755"/>
      <c r="K51" s="755"/>
      <c r="L51" s="755"/>
      <c r="M51" s="755"/>
      <c r="N51" s="755"/>
      <c r="O51" s="755"/>
      <c r="P51" s="755"/>
      <c r="Q51" s="755"/>
      <c r="R51" s="755"/>
      <c r="S51" s="755"/>
      <c r="T51" s="1942"/>
      <c r="U51" s="1942"/>
      <c r="V51" s="1942"/>
      <c r="W51" s="1942"/>
      <c r="X51" s="1942"/>
      <c r="Y51" s="1942"/>
      <c r="Z51" s="1942"/>
      <c r="AA51" s="1942"/>
      <c r="AB51" s="1942"/>
      <c r="AC51" s="1942"/>
      <c r="AD51" s="10"/>
      <c r="AE51" s="10"/>
      <c r="AF51" s="1942"/>
      <c r="AG51" s="1942"/>
      <c r="AJ51" s="834"/>
      <c r="AK51" s="10"/>
      <c r="AL51" s="10"/>
      <c r="AM51" s="10"/>
      <c r="AN51" s="10"/>
      <c r="AO51" s="10"/>
      <c r="AP51" s="10"/>
      <c r="AQ51" s="10"/>
      <c r="AR51" s="10"/>
      <c r="AS51" s="10"/>
      <c r="AT51" s="10"/>
    </row>
    <row r="52" spans="1:52" s="1852" customFormat="1" ht="20.25" customHeight="1">
      <c r="A52" s="755"/>
      <c r="B52" s="755"/>
      <c r="C52" s="755"/>
      <c r="D52" s="755"/>
      <c r="E52" s="755"/>
      <c r="F52" s="755"/>
      <c r="G52" s="755"/>
      <c r="H52" s="755"/>
      <c r="I52" s="755"/>
      <c r="J52" s="755"/>
      <c r="K52" s="755"/>
      <c r="L52" s="755"/>
      <c r="M52" s="755"/>
      <c r="N52" s="755"/>
      <c r="O52" s="755"/>
      <c r="P52" s="755"/>
      <c r="Q52" s="755"/>
      <c r="R52" s="755"/>
      <c r="S52" s="835"/>
      <c r="T52" s="1942"/>
      <c r="U52" s="1942"/>
      <c r="V52" s="1942"/>
      <c r="W52" s="1942"/>
      <c r="X52" s="1942"/>
      <c r="Y52" s="1942"/>
      <c r="Z52" s="1942"/>
      <c r="AA52" s="1942"/>
      <c r="AB52" s="1942"/>
      <c r="AC52" s="1942"/>
      <c r="AD52" s="10"/>
      <c r="AE52" s="10"/>
      <c r="AF52" s="1942"/>
      <c r="AG52" s="1942"/>
      <c r="AJ52" s="834"/>
      <c r="AK52" s="10"/>
      <c r="AL52" s="10"/>
      <c r="AM52" s="10"/>
      <c r="AN52" s="10"/>
      <c r="AO52" s="10"/>
      <c r="AP52" s="10"/>
      <c r="AQ52" s="10"/>
      <c r="AR52" s="10"/>
      <c r="AS52" s="10"/>
      <c r="AT52" s="10"/>
    </row>
    <row r="53" spans="1:52" s="1852" customFormat="1" ht="20.25" customHeight="1">
      <c r="A53" s="755"/>
      <c r="B53" s="755"/>
      <c r="C53" s="755"/>
      <c r="D53" s="755"/>
      <c r="E53" s="755"/>
      <c r="F53" s="755"/>
      <c r="G53" s="755"/>
      <c r="H53" s="755"/>
      <c r="I53" s="755"/>
      <c r="J53" s="755"/>
      <c r="K53" s="755"/>
      <c r="L53" s="755"/>
      <c r="M53" s="755"/>
      <c r="N53" s="755"/>
      <c r="O53" s="755"/>
      <c r="P53" s="755"/>
      <c r="Q53" s="755"/>
      <c r="R53" s="755"/>
      <c r="S53" s="835"/>
      <c r="T53" s="1942"/>
      <c r="U53" s="1942"/>
      <c r="V53" s="1942"/>
      <c r="W53" s="1942"/>
      <c r="X53" s="1942"/>
      <c r="Y53" s="1942"/>
      <c r="Z53" s="1942"/>
      <c r="AA53" s="1942"/>
      <c r="AB53" s="1942"/>
      <c r="AC53" s="1942"/>
      <c r="AD53" s="10"/>
      <c r="AE53" s="10"/>
      <c r="AF53" s="1942"/>
      <c r="AG53" s="1942"/>
      <c r="AJ53" s="834"/>
      <c r="AK53" s="10"/>
      <c r="AL53" s="10"/>
      <c r="AM53" s="10"/>
      <c r="AN53" s="10"/>
      <c r="AO53" s="10"/>
      <c r="AP53" s="10"/>
      <c r="AQ53" s="10"/>
      <c r="AR53" s="10"/>
      <c r="AS53" s="10"/>
      <c r="AT53" s="10"/>
    </row>
    <row r="54" spans="1:52" ht="20.25" customHeight="1">
      <c r="A54" s="755"/>
      <c r="B54" s="755"/>
      <c r="C54" s="755"/>
      <c r="D54" s="755"/>
      <c r="E54" s="755"/>
      <c r="F54" s="755"/>
      <c r="G54" s="755"/>
      <c r="H54" s="755"/>
      <c r="I54" s="755"/>
      <c r="J54" s="755"/>
      <c r="K54" s="755"/>
      <c r="L54" s="755"/>
      <c r="M54" s="755"/>
      <c r="N54" s="755"/>
      <c r="O54" s="755"/>
      <c r="P54" s="755"/>
      <c r="Q54" s="755"/>
      <c r="R54" s="755"/>
      <c r="S54" s="835"/>
      <c r="T54" s="1942"/>
      <c r="U54" s="1942"/>
      <c r="V54" s="1942"/>
      <c r="W54" s="1942"/>
      <c r="X54" s="1942"/>
      <c r="Y54" s="1942"/>
      <c r="Z54" s="1942"/>
      <c r="AA54" s="1942"/>
      <c r="AB54" s="1942"/>
      <c r="AC54" s="1942"/>
      <c r="AF54" s="1942"/>
      <c r="AG54" s="1942"/>
      <c r="AJ54" s="834"/>
    </row>
    <row r="55" spans="1:52" ht="20.25" customHeight="1">
      <c r="A55" s="755"/>
      <c r="B55" s="755"/>
      <c r="C55" s="755"/>
      <c r="D55" s="755"/>
      <c r="E55" s="755"/>
      <c r="F55" s="755"/>
      <c r="G55" s="755"/>
      <c r="H55" s="755"/>
      <c r="I55" s="755"/>
      <c r="J55" s="755"/>
      <c r="K55" s="755"/>
      <c r="L55" s="755"/>
      <c r="M55" s="755"/>
      <c r="N55" s="755"/>
      <c r="O55" s="755"/>
      <c r="P55" s="755"/>
      <c r="Q55" s="755"/>
      <c r="R55" s="755"/>
      <c r="S55" s="835"/>
      <c r="T55" s="1942"/>
      <c r="U55" s="1942"/>
      <c r="V55" s="1942"/>
      <c r="W55" s="1942"/>
      <c r="X55" s="1942"/>
      <c r="Y55" s="1942"/>
      <c r="Z55" s="1942"/>
      <c r="AA55" s="1942"/>
      <c r="AB55" s="1942"/>
      <c r="AC55" s="1942"/>
      <c r="AF55" s="1942"/>
      <c r="AG55" s="1942"/>
      <c r="AJ55" s="834"/>
    </row>
    <row r="56" spans="1:52" ht="20.25" customHeight="1">
      <c r="A56" s="755"/>
      <c r="B56" s="755"/>
      <c r="C56" s="755"/>
      <c r="D56" s="755"/>
      <c r="E56" s="755"/>
      <c r="F56" s="755"/>
      <c r="G56" s="755"/>
      <c r="H56" s="755"/>
      <c r="I56" s="755"/>
      <c r="J56" s="755"/>
      <c r="K56" s="755"/>
      <c r="L56" s="755"/>
      <c r="M56" s="755"/>
      <c r="N56" s="755"/>
      <c r="O56" s="755"/>
      <c r="P56" s="755"/>
      <c r="Q56" s="755"/>
      <c r="R56" s="755"/>
      <c r="S56" s="835"/>
      <c r="T56" s="1942"/>
      <c r="U56" s="1942"/>
      <c r="V56" s="1942"/>
      <c r="W56" s="1942"/>
      <c r="X56" s="1942"/>
      <c r="Y56" s="1942"/>
      <c r="Z56" s="1942"/>
      <c r="AA56" s="1942"/>
      <c r="AB56" s="1942"/>
      <c r="AC56" s="1942"/>
      <c r="AF56" s="1942"/>
      <c r="AG56" s="1942"/>
      <c r="AJ56" s="834"/>
    </row>
    <row r="57" spans="1:52" ht="20.25" customHeight="1">
      <c r="A57" s="755"/>
      <c r="B57" s="755"/>
      <c r="C57" s="755"/>
      <c r="D57" s="755"/>
      <c r="E57" s="755"/>
      <c r="F57" s="755"/>
      <c r="G57" s="755"/>
      <c r="H57" s="755"/>
      <c r="I57" s="755"/>
      <c r="J57" s="755"/>
      <c r="K57" s="755"/>
      <c r="L57" s="755"/>
      <c r="M57" s="755"/>
      <c r="N57" s="755"/>
      <c r="O57" s="755"/>
      <c r="P57" s="755"/>
      <c r="Q57" s="755"/>
      <c r="R57" s="755"/>
      <c r="S57" s="835"/>
      <c r="T57" s="1942"/>
      <c r="U57" s="1942"/>
      <c r="V57" s="1942"/>
      <c r="W57" s="1942"/>
      <c r="X57" s="1942"/>
      <c r="Y57" s="1942"/>
      <c r="Z57" s="1942"/>
      <c r="AA57" s="1942"/>
      <c r="AB57" s="1942"/>
      <c r="AC57" s="1942"/>
      <c r="AF57" s="1942"/>
      <c r="AG57" s="1942"/>
      <c r="AJ57" s="834"/>
    </row>
    <row r="58" spans="1:52" ht="20.25" customHeight="1">
      <c r="A58" s="755"/>
      <c r="B58" s="755"/>
      <c r="C58" s="755"/>
      <c r="D58" s="755"/>
      <c r="E58" s="755"/>
      <c r="F58" s="755"/>
      <c r="G58" s="755"/>
      <c r="H58" s="755"/>
      <c r="I58" s="755"/>
      <c r="J58" s="755"/>
      <c r="K58" s="755"/>
      <c r="L58" s="755"/>
      <c r="M58" s="755"/>
      <c r="N58" s="755"/>
      <c r="O58" s="755"/>
      <c r="P58" s="755"/>
      <c r="Q58" s="755"/>
      <c r="R58" s="755"/>
      <c r="S58" s="835"/>
      <c r="T58" s="1942"/>
      <c r="U58" s="1942"/>
      <c r="V58" s="1942"/>
      <c r="W58" s="1942"/>
      <c r="X58" s="1942"/>
      <c r="Y58" s="1942"/>
      <c r="Z58" s="1942"/>
      <c r="AA58" s="1942"/>
      <c r="AB58" s="1942"/>
      <c r="AC58" s="1942"/>
      <c r="AF58" s="1942"/>
      <c r="AG58" s="1942"/>
      <c r="AJ58" s="834"/>
      <c r="AU58" s="754"/>
      <c r="AV58" s="754"/>
      <c r="AW58" s="754"/>
      <c r="AX58" s="754"/>
      <c r="AY58" s="754"/>
      <c r="AZ58" s="754"/>
    </row>
    <row r="59" spans="1:52" ht="20.25" customHeight="1">
      <c r="A59" s="755"/>
      <c r="B59" s="755"/>
      <c r="C59" s="755"/>
      <c r="D59" s="755"/>
      <c r="E59" s="755"/>
      <c r="F59" s="755"/>
      <c r="G59" s="755"/>
      <c r="H59" s="755"/>
      <c r="I59" s="755"/>
      <c r="J59" s="755"/>
      <c r="K59" s="755"/>
      <c r="L59" s="755"/>
      <c r="M59" s="755"/>
      <c r="N59" s="755"/>
      <c r="O59" s="755"/>
      <c r="P59" s="755"/>
      <c r="Q59" s="755"/>
      <c r="R59" s="755"/>
      <c r="S59" s="835"/>
      <c r="T59" s="1942"/>
      <c r="U59" s="1942"/>
      <c r="V59" s="1942"/>
      <c r="W59" s="1942"/>
      <c r="X59" s="1942"/>
      <c r="Y59" s="1942"/>
      <c r="Z59" s="1942"/>
      <c r="AA59" s="1942"/>
      <c r="AB59" s="1942"/>
      <c r="AC59" s="1942"/>
      <c r="AF59" s="1942"/>
      <c r="AG59" s="1942"/>
      <c r="AJ59" s="834"/>
      <c r="AU59" s="754"/>
      <c r="AV59" s="754"/>
      <c r="AW59" s="754"/>
      <c r="AX59" s="754"/>
      <c r="AY59" s="754"/>
      <c r="AZ59" s="754"/>
    </row>
    <row r="60" spans="1:52" ht="20.25" customHeight="1">
      <c r="A60" s="755"/>
      <c r="B60" s="755"/>
      <c r="C60" s="755"/>
      <c r="D60" s="755"/>
      <c r="E60" s="755"/>
      <c r="F60" s="755"/>
      <c r="G60" s="755"/>
      <c r="H60" s="755"/>
      <c r="I60" s="755"/>
      <c r="J60" s="755"/>
      <c r="K60" s="755"/>
      <c r="L60" s="755"/>
      <c r="M60" s="755"/>
      <c r="N60" s="755"/>
      <c r="O60" s="755"/>
      <c r="P60" s="755"/>
      <c r="Q60" s="755"/>
      <c r="R60" s="755"/>
      <c r="S60" s="835"/>
      <c r="T60" s="1942"/>
      <c r="U60" s="1942"/>
      <c r="V60" s="1942"/>
      <c r="W60" s="1942"/>
      <c r="X60" s="1942"/>
      <c r="Y60" s="1942"/>
      <c r="Z60" s="1942"/>
      <c r="AA60" s="1942"/>
      <c r="AB60" s="1942"/>
      <c r="AC60" s="1942"/>
      <c r="AF60" s="1942"/>
      <c r="AG60" s="1942"/>
      <c r="AJ60" s="834"/>
      <c r="AU60" s="754"/>
      <c r="AV60" s="754"/>
      <c r="AW60" s="754"/>
      <c r="AX60" s="754"/>
      <c r="AY60" s="754"/>
      <c r="AZ60" s="754"/>
    </row>
    <row r="61" spans="1:52" ht="20.25" customHeight="1">
      <c r="A61" s="755"/>
      <c r="B61" s="755"/>
      <c r="C61" s="755"/>
      <c r="D61" s="755"/>
      <c r="E61" s="755"/>
      <c r="F61" s="755"/>
      <c r="G61" s="755"/>
      <c r="H61" s="755"/>
      <c r="I61" s="755"/>
      <c r="J61" s="755"/>
      <c r="K61" s="755"/>
      <c r="L61" s="755"/>
      <c r="M61" s="755"/>
      <c r="N61" s="755"/>
      <c r="O61" s="755"/>
      <c r="P61" s="755"/>
      <c r="Q61" s="755"/>
      <c r="R61" s="755"/>
      <c r="S61" s="835"/>
      <c r="T61" s="1942"/>
      <c r="U61" s="1942"/>
      <c r="V61" s="1942"/>
      <c r="W61" s="1942"/>
      <c r="X61" s="1942"/>
      <c r="Y61" s="1942"/>
      <c r="Z61" s="1942"/>
      <c r="AA61" s="1942"/>
      <c r="AB61" s="1942"/>
      <c r="AC61" s="1942"/>
      <c r="AF61" s="1942"/>
      <c r="AG61" s="1942"/>
      <c r="AJ61" s="834"/>
      <c r="AU61" s="754"/>
      <c r="AV61" s="754"/>
      <c r="AW61" s="754"/>
      <c r="AX61" s="754"/>
      <c r="AY61" s="754"/>
      <c r="AZ61" s="754"/>
    </row>
    <row r="62" spans="1:52" ht="20.25" customHeight="1">
      <c r="A62" s="755"/>
      <c r="B62" s="755"/>
      <c r="C62" s="755"/>
      <c r="D62" s="755"/>
      <c r="E62" s="755"/>
      <c r="F62" s="755"/>
      <c r="G62" s="755"/>
      <c r="H62" s="755"/>
      <c r="I62" s="755"/>
      <c r="J62" s="755"/>
      <c r="K62" s="755"/>
      <c r="L62" s="755"/>
      <c r="M62" s="755"/>
      <c r="N62" s="755"/>
      <c r="O62" s="755"/>
      <c r="P62" s="755"/>
      <c r="Q62" s="755"/>
      <c r="R62" s="755"/>
      <c r="S62" s="835"/>
      <c r="T62" s="1942"/>
      <c r="U62" s="1942"/>
      <c r="V62" s="1942"/>
      <c r="W62" s="1942"/>
      <c r="X62" s="1942"/>
      <c r="Y62" s="1942"/>
      <c r="Z62" s="1942"/>
      <c r="AA62" s="1942"/>
      <c r="AB62" s="1942"/>
      <c r="AC62" s="1942"/>
      <c r="AF62" s="1942"/>
      <c r="AG62" s="1942"/>
      <c r="AJ62" s="834"/>
      <c r="AU62" s="754"/>
      <c r="AV62" s="754"/>
      <c r="AW62" s="754"/>
      <c r="AX62" s="754"/>
      <c r="AY62" s="754"/>
      <c r="AZ62" s="754"/>
    </row>
    <row r="63" spans="1:52" ht="20.25" customHeight="1">
      <c r="A63" s="755"/>
      <c r="B63" s="755"/>
      <c r="C63" s="755"/>
      <c r="D63" s="755"/>
      <c r="E63" s="755"/>
      <c r="F63" s="755"/>
      <c r="G63" s="755"/>
      <c r="H63" s="755"/>
      <c r="I63" s="755"/>
      <c r="J63" s="755"/>
      <c r="K63" s="755"/>
      <c r="L63" s="755"/>
      <c r="M63" s="755"/>
      <c r="N63" s="755"/>
      <c r="O63" s="755"/>
      <c r="P63" s="755"/>
      <c r="Q63" s="755"/>
      <c r="R63" s="755"/>
      <c r="S63" s="835"/>
      <c r="T63" s="1942"/>
      <c r="U63" s="1942"/>
      <c r="V63" s="1942"/>
      <c r="W63" s="1942"/>
      <c r="X63" s="1942"/>
      <c r="Y63" s="1942"/>
      <c r="Z63" s="1942"/>
      <c r="AA63" s="1942"/>
      <c r="AB63" s="1942"/>
      <c r="AC63" s="1942"/>
      <c r="AF63" s="1942"/>
      <c r="AG63" s="1942"/>
      <c r="AJ63" s="834"/>
      <c r="AU63" s="754"/>
      <c r="AV63" s="754"/>
      <c r="AW63" s="754"/>
      <c r="AX63" s="754"/>
      <c r="AY63" s="754"/>
      <c r="AZ63" s="754"/>
    </row>
    <row r="64" spans="1:52" ht="20.25" customHeight="1">
      <c r="A64" s="755"/>
      <c r="B64" s="755"/>
      <c r="C64" s="755"/>
      <c r="D64" s="755"/>
      <c r="E64" s="755"/>
      <c r="F64" s="755"/>
      <c r="G64" s="755"/>
      <c r="H64" s="755"/>
      <c r="I64" s="755"/>
      <c r="J64" s="755"/>
      <c r="K64" s="755"/>
      <c r="L64" s="755"/>
      <c r="M64" s="755"/>
      <c r="N64" s="755"/>
      <c r="O64" s="755"/>
      <c r="P64" s="755"/>
      <c r="Q64" s="755"/>
      <c r="R64" s="755"/>
      <c r="S64" s="835"/>
      <c r="T64" s="1942"/>
      <c r="U64" s="1942"/>
      <c r="V64" s="1942"/>
      <c r="W64" s="1942"/>
      <c r="X64" s="1942"/>
      <c r="Y64" s="1942"/>
      <c r="Z64" s="1942"/>
      <c r="AA64" s="1942"/>
      <c r="AB64" s="1942"/>
      <c r="AC64" s="1942"/>
      <c r="AF64" s="1942"/>
      <c r="AG64" s="1942"/>
      <c r="AJ64" s="834"/>
      <c r="AU64" s="754"/>
      <c r="AV64" s="754"/>
      <c r="AW64" s="754"/>
      <c r="AX64" s="754"/>
      <c r="AY64" s="754"/>
      <c r="AZ64" s="754"/>
    </row>
    <row r="65" spans="1:52" ht="20.25" customHeight="1">
      <c r="A65" s="755"/>
      <c r="B65" s="755"/>
      <c r="C65" s="755"/>
      <c r="D65" s="755"/>
      <c r="E65" s="755"/>
      <c r="F65" s="755"/>
      <c r="G65" s="755"/>
      <c r="H65" s="755"/>
      <c r="I65" s="755"/>
      <c r="J65" s="755"/>
      <c r="K65" s="755"/>
      <c r="L65" s="755"/>
      <c r="M65" s="755"/>
      <c r="N65" s="755"/>
      <c r="O65" s="755"/>
      <c r="P65" s="755"/>
      <c r="Q65" s="755"/>
      <c r="R65" s="755"/>
      <c r="S65" s="835"/>
      <c r="T65" s="1942"/>
      <c r="U65" s="1942"/>
      <c r="V65" s="1942"/>
      <c r="W65" s="1942"/>
      <c r="X65" s="1942"/>
      <c r="Y65" s="1942"/>
      <c r="Z65" s="1942"/>
      <c r="AA65" s="1942"/>
      <c r="AB65" s="1942"/>
      <c r="AC65" s="1942"/>
      <c r="AF65" s="1942"/>
      <c r="AG65" s="1942"/>
      <c r="AJ65" s="834"/>
      <c r="AU65" s="753"/>
      <c r="AV65" s="753"/>
      <c r="AW65" s="753"/>
      <c r="AX65" s="753"/>
      <c r="AY65" s="753"/>
      <c r="AZ65" s="753"/>
    </row>
    <row r="66" spans="1:52" ht="20.25" customHeight="1">
      <c r="A66" s="755"/>
      <c r="B66" s="755"/>
      <c r="C66" s="755"/>
      <c r="D66" s="755"/>
      <c r="E66" s="755"/>
      <c r="F66" s="755"/>
      <c r="G66" s="755"/>
      <c r="H66" s="755"/>
      <c r="I66" s="755"/>
      <c r="J66" s="755"/>
      <c r="K66" s="755"/>
      <c r="L66" s="755"/>
      <c r="M66" s="755"/>
      <c r="N66" s="755"/>
      <c r="O66" s="755"/>
      <c r="P66" s="755"/>
      <c r="Q66" s="755"/>
      <c r="R66" s="755"/>
      <c r="S66" s="835"/>
      <c r="T66" s="1942"/>
      <c r="U66" s="1942"/>
      <c r="V66" s="1942"/>
      <c r="W66" s="1942"/>
      <c r="X66" s="1942"/>
      <c r="Y66" s="1942"/>
      <c r="Z66" s="1942"/>
      <c r="AA66" s="1942"/>
      <c r="AB66" s="1942"/>
      <c r="AC66" s="1942"/>
      <c r="AF66" s="1942"/>
      <c r="AG66" s="1942"/>
      <c r="AJ66" s="834"/>
      <c r="AU66" s="835"/>
      <c r="AV66" s="835"/>
      <c r="AW66" s="835"/>
      <c r="AX66" s="835"/>
      <c r="AY66" s="835"/>
      <c r="AZ66" s="835"/>
    </row>
    <row r="67" spans="1:52" ht="20.25" customHeight="1">
      <c r="A67" s="755"/>
      <c r="B67" s="755"/>
      <c r="C67" s="755"/>
      <c r="D67" s="755"/>
      <c r="E67" s="755"/>
      <c r="F67" s="755"/>
      <c r="G67" s="755"/>
      <c r="H67" s="755"/>
      <c r="I67" s="755"/>
      <c r="J67" s="755"/>
      <c r="K67" s="755"/>
      <c r="L67" s="755"/>
      <c r="M67" s="755"/>
      <c r="N67" s="755"/>
      <c r="O67" s="755"/>
      <c r="P67" s="755"/>
      <c r="Q67" s="755"/>
      <c r="R67" s="755"/>
      <c r="S67" s="835"/>
      <c r="T67" s="1942"/>
      <c r="U67" s="1942"/>
      <c r="V67" s="1942"/>
      <c r="W67" s="1942"/>
      <c r="X67" s="1942"/>
      <c r="Y67" s="1942"/>
      <c r="Z67" s="1942"/>
      <c r="AA67" s="1942"/>
      <c r="AB67" s="1942"/>
      <c r="AC67" s="1942"/>
      <c r="AF67" s="1942"/>
      <c r="AG67" s="1942"/>
      <c r="AJ67" s="834"/>
    </row>
    <row r="68" spans="1:52" ht="20.25" customHeight="1">
      <c r="A68" s="755"/>
      <c r="B68" s="755"/>
      <c r="C68" s="755"/>
      <c r="D68" s="755"/>
      <c r="E68" s="755"/>
      <c r="F68" s="755"/>
      <c r="G68" s="755"/>
      <c r="H68" s="755"/>
      <c r="I68" s="755"/>
      <c r="J68" s="755"/>
      <c r="K68" s="755"/>
      <c r="L68" s="755"/>
      <c r="M68" s="755"/>
      <c r="N68" s="755"/>
      <c r="O68" s="755"/>
      <c r="P68" s="755"/>
      <c r="Q68" s="755"/>
      <c r="R68" s="755"/>
      <c r="S68" s="835"/>
      <c r="T68" s="1942"/>
      <c r="U68" s="1942"/>
      <c r="V68" s="1942"/>
      <c r="W68" s="1942"/>
      <c r="X68" s="1942"/>
      <c r="Y68" s="1942"/>
      <c r="Z68" s="1942"/>
      <c r="AA68" s="1942"/>
      <c r="AB68" s="1942"/>
      <c r="AC68" s="1942"/>
      <c r="AF68" s="1942"/>
      <c r="AG68" s="1942"/>
      <c r="AJ68" s="834"/>
    </row>
    <row r="69" spans="1:52" ht="20.25" customHeight="1">
      <c r="A69" s="755"/>
      <c r="B69" s="755"/>
      <c r="C69" s="755"/>
      <c r="D69" s="755"/>
      <c r="E69" s="755"/>
      <c r="F69" s="755"/>
      <c r="G69" s="755"/>
      <c r="H69" s="755"/>
      <c r="I69" s="755"/>
      <c r="J69" s="755"/>
      <c r="K69" s="755"/>
      <c r="L69" s="755"/>
      <c r="M69" s="755"/>
      <c r="N69" s="755"/>
      <c r="O69" s="755"/>
      <c r="P69" s="755"/>
      <c r="Q69" s="755"/>
      <c r="R69" s="755"/>
      <c r="S69" s="835"/>
      <c r="T69" s="1942"/>
      <c r="U69" s="1942"/>
      <c r="V69" s="1942"/>
      <c r="W69" s="1942"/>
      <c r="X69" s="1942"/>
      <c r="Y69" s="1942"/>
      <c r="Z69" s="1942"/>
      <c r="AA69" s="1942"/>
      <c r="AB69" s="1942"/>
      <c r="AC69" s="1942"/>
      <c r="AF69" s="1942"/>
      <c r="AG69" s="1942"/>
      <c r="AJ69" s="834"/>
    </row>
    <row r="70" spans="1:52" ht="20.25" customHeight="1">
      <c r="A70" s="755"/>
      <c r="B70" s="755"/>
      <c r="C70" s="755"/>
      <c r="D70" s="755"/>
      <c r="E70" s="755"/>
      <c r="F70" s="755"/>
      <c r="G70" s="755"/>
      <c r="H70" s="755"/>
      <c r="I70" s="755"/>
      <c r="J70" s="755"/>
      <c r="K70" s="755"/>
      <c r="L70" s="755"/>
      <c r="M70" s="755"/>
      <c r="N70" s="755"/>
      <c r="O70" s="755"/>
      <c r="P70" s="755"/>
      <c r="Q70" s="755"/>
      <c r="R70" s="755"/>
      <c r="S70" s="835"/>
      <c r="T70" s="1942"/>
      <c r="U70" s="1942"/>
      <c r="V70" s="1942"/>
      <c r="W70" s="1942"/>
      <c r="X70" s="1942"/>
      <c r="Y70" s="1942"/>
      <c r="Z70" s="1942"/>
      <c r="AA70" s="1942"/>
      <c r="AB70" s="1942"/>
      <c r="AC70" s="1942"/>
      <c r="AF70" s="1942"/>
      <c r="AG70" s="1942"/>
      <c r="AJ70" s="834"/>
    </row>
    <row r="71" spans="1:52" ht="20.25" customHeight="1">
      <c r="A71" s="755"/>
      <c r="B71" s="755"/>
      <c r="C71" s="755"/>
      <c r="D71" s="755"/>
      <c r="E71" s="755"/>
      <c r="F71" s="755"/>
      <c r="G71" s="755"/>
      <c r="H71" s="755"/>
      <c r="I71" s="755"/>
      <c r="J71" s="755"/>
      <c r="K71" s="755"/>
      <c r="L71" s="755"/>
      <c r="M71" s="755"/>
      <c r="N71" s="755"/>
      <c r="O71" s="755"/>
      <c r="P71" s="755"/>
      <c r="Q71" s="755"/>
      <c r="R71" s="755"/>
      <c r="S71" s="835"/>
      <c r="T71" s="1942"/>
      <c r="U71" s="1942"/>
      <c r="V71" s="1942"/>
      <c r="W71" s="1942"/>
      <c r="X71" s="1942"/>
      <c r="Y71" s="1942"/>
      <c r="Z71" s="1942"/>
      <c r="AA71" s="1942"/>
      <c r="AB71" s="1942"/>
      <c r="AC71" s="1942"/>
      <c r="AF71" s="1942"/>
      <c r="AG71" s="1942"/>
      <c r="AJ71" s="834"/>
    </row>
    <row r="72" spans="1:52" ht="20.25" customHeight="1">
      <c r="A72" s="755"/>
      <c r="B72" s="755"/>
      <c r="C72" s="755"/>
      <c r="D72" s="755"/>
      <c r="E72" s="755"/>
      <c r="F72" s="755"/>
      <c r="G72" s="755"/>
      <c r="H72" s="755"/>
      <c r="I72" s="755"/>
      <c r="J72" s="755"/>
      <c r="K72" s="755"/>
      <c r="L72" s="755"/>
      <c r="M72" s="755"/>
      <c r="N72" s="755"/>
      <c r="O72" s="755"/>
      <c r="P72" s="755"/>
      <c r="Q72" s="755"/>
      <c r="R72" s="755"/>
      <c r="S72" s="835"/>
      <c r="T72" s="1942"/>
      <c r="U72" s="1942"/>
      <c r="V72" s="1942"/>
      <c r="W72" s="1942"/>
      <c r="X72" s="1942"/>
      <c r="Y72" s="1942"/>
      <c r="Z72" s="1942"/>
      <c r="AA72" s="1942"/>
      <c r="AB72" s="1942"/>
      <c r="AC72" s="1942"/>
      <c r="AF72" s="1942"/>
      <c r="AG72" s="1942"/>
      <c r="AJ72" s="834"/>
    </row>
    <row r="73" spans="1:52" ht="20.25" customHeight="1">
      <c r="A73" s="755"/>
      <c r="B73" s="755"/>
      <c r="C73" s="755"/>
      <c r="D73" s="755"/>
      <c r="E73" s="755"/>
      <c r="F73" s="755"/>
      <c r="G73" s="755"/>
      <c r="H73" s="755"/>
      <c r="I73" s="755"/>
      <c r="J73" s="755"/>
      <c r="K73" s="755"/>
      <c r="L73" s="755"/>
      <c r="M73" s="755"/>
      <c r="N73" s="755"/>
      <c r="O73" s="755"/>
      <c r="P73" s="755"/>
      <c r="Q73" s="755"/>
      <c r="R73" s="755"/>
      <c r="S73" s="835"/>
      <c r="T73" s="1942"/>
      <c r="U73" s="1942"/>
      <c r="V73" s="1942"/>
      <c r="W73" s="1942"/>
      <c r="X73" s="1942"/>
      <c r="Y73" s="1942"/>
      <c r="Z73" s="1942"/>
      <c r="AA73" s="1942"/>
      <c r="AB73" s="1942"/>
      <c r="AC73" s="1942"/>
      <c r="AF73" s="1942"/>
      <c r="AG73" s="1942"/>
      <c r="AJ73" s="834"/>
    </row>
    <row r="74" spans="1:52" ht="20.25" customHeight="1">
      <c r="A74" s="755"/>
      <c r="B74" s="755"/>
      <c r="C74" s="755"/>
      <c r="D74" s="755"/>
      <c r="E74" s="755"/>
      <c r="F74" s="755"/>
      <c r="G74" s="755"/>
      <c r="H74" s="755"/>
      <c r="I74" s="755"/>
      <c r="J74" s="755"/>
      <c r="K74" s="755"/>
      <c r="L74" s="755"/>
      <c r="M74" s="755"/>
      <c r="N74" s="755"/>
      <c r="O74" s="755"/>
      <c r="P74" s="755"/>
      <c r="Q74" s="755"/>
      <c r="R74" s="755"/>
      <c r="S74" s="835"/>
      <c r="T74" s="1942"/>
      <c r="U74" s="1942"/>
      <c r="V74" s="1942"/>
      <c r="W74" s="1942"/>
      <c r="X74" s="1942"/>
      <c r="Y74" s="1942"/>
      <c r="Z74" s="1942"/>
      <c r="AA74" s="1942"/>
      <c r="AB74" s="1942"/>
      <c r="AC74" s="1942"/>
      <c r="AF74" s="1942"/>
      <c r="AG74" s="1942"/>
      <c r="AJ74" s="834"/>
    </row>
    <row r="75" spans="1:52" ht="20.25" customHeight="1">
      <c r="A75" s="755"/>
      <c r="B75" s="755"/>
      <c r="C75" s="755"/>
      <c r="D75" s="755"/>
      <c r="E75" s="755"/>
      <c r="F75" s="755"/>
      <c r="G75" s="755"/>
      <c r="H75" s="755"/>
      <c r="I75" s="755"/>
      <c r="J75" s="755"/>
      <c r="K75" s="755"/>
      <c r="L75" s="755"/>
      <c r="M75" s="755"/>
      <c r="N75" s="755"/>
      <c r="O75" s="755"/>
      <c r="P75" s="755"/>
      <c r="Q75" s="755"/>
      <c r="R75" s="755"/>
      <c r="S75" s="835"/>
      <c r="T75" s="1942"/>
      <c r="U75" s="1942"/>
      <c r="V75" s="1942"/>
      <c r="W75" s="1942"/>
      <c r="X75" s="1942"/>
      <c r="Y75" s="1942"/>
      <c r="Z75" s="1942"/>
      <c r="AA75" s="1942"/>
      <c r="AB75" s="1942"/>
      <c r="AC75" s="1942"/>
      <c r="AF75" s="1942"/>
      <c r="AG75" s="1942"/>
      <c r="AJ75" s="834"/>
    </row>
    <row r="76" spans="1:52" ht="20.25" customHeight="1">
      <c r="A76" s="755"/>
      <c r="B76" s="755"/>
      <c r="C76" s="755"/>
      <c r="D76" s="755"/>
      <c r="E76" s="755"/>
      <c r="F76" s="755"/>
      <c r="G76" s="755"/>
      <c r="H76" s="755"/>
      <c r="I76" s="755"/>
      <c r="J76" s="755"/>
      <c r="K76" s="755"/>
      <c r="L76" s="755"/>
      <c r="M76" s="755"/>
      <c r="N76" s="755"/>
      <c r="O76" s="755"/>
      <c r="P76" s="755"/>
      <c r="Q76" s="755"/>
      <c r="R76" s="755"/>
      <c r="S76" s="835"/>
      <c r="T76" s="1942"/>
      <c r="U76" s="1942"/>
      <c r="V76" s="1942"/>
      <c r="W76" s="1942"/>
      <c r="X76" s="1942"/>
      <c r="Y76" s="1942"/>
      <c r="Z76" s="1942"/>
      <c r="AA76" s="1942"/>
      <c r="AB76" s="1942"/>
      <c r="AC76" s="1942"/>
      <c r="AF76" s="1942"/>
      <c r="AG76" s="1942"/>
      <c r="AJ76" s="834"/>
    </row>
    <row r="77" spans="1:52" ht="20.25" customHeight="1">
      <c r="A77" s="755"/>
      <c r="B77" s="755"/>
      <c r="C77" s="755"/>
      <c r="D77" s="755"/>
      <c r="E77" s="755"/>
      <c r="F77" s="755"/>
      <c r="G77" s="755"/>
      <c r="H77" s="755"/>
      <c r="I77" s="755"/>
      <c r="J77" s="755"/>
      <c r="K77" s="755"/>
      <c r="L77" s="755"/>
      <c r="M77" s="755"/>
      <c r="N77" s="755"/>
      <c r="O77" s="755"/>
      <c r="P77" s="755"/>
      <c r="Q77" s="755"/>
      <c r="R77" s="755"/>
      <c r="S77" s="835"/>
      <c r="T77" s="1942"/>
      <c r="U77" s="1942"/>
      <c r="V77" s="1942"/>
      <c r="W77" s="1942"/>
      <c r="X77" s="1942"/>
      <c r="Y77" s="1942"/>
      <c r="Z77" s="1942"/>
      <c r="AA77" s="1942"/>
      <c r="AB77" s="1942"/>
      <c r="AC77" s="1942"/>
      <c r="AF77" s="1942"/>
      <c r="AG77" s="1942"/>
      <c r="AJ77" s="834"/>
    </row>
    <row r="78" spans="1:52" ht="20.25" customHeight="1">
      <c r="A78" s="755"/>
      <c r="B78" s="755"/>
      <c r="C78" s="755"/>
      <c r="D78" s="755"/>
      <c r="E78" s="755"/>
      <c r="F78" s="755"/>
      <c r="G78" s="755"/>
      <c r="H78" s="755"/>
      <c r="I78" s="755"/>
      <c r="J78" s="755"/>
      <c r="K78" s="755"/>
      <c r="L78" s="755"/>
      <c r="M78" s="755"/>
      <c r="N78" s="755"/>
      <c r="O78" s="755"/>
      <c r="P78" s="755"/>
      <c r="Q78" s="755"/>
      <c r="R78" s="755"/>
      <c r="S78" s="835"/>
      <c r="T78" s="1942"/>
      <c r="U78" s="1942"/>
      <c r="V78" s="1942"/>
      <c r="W78" s="1942"/>
      <c r="X78" s="1942"/>
      <c r="Y78" s="1942"/>
      <c r="Z78" s="1942"/>
      <c r="AA78" s="1942"/>
      <c r="AB78" s="1942"/>
      <c r="AC78" s="1942"/>
      <c r="AF78" s="1942"/>
      <c r="AG78" s="1942"/>
      <c r="AJ78" s="834"/>
    </row>
    <row r="79" spans="1:52" ht="20.25" customHeight="1">
      <c r="A79" s="755"/>
      <c r="B79" s="755"/>
      <c r="C79" s="755"/>
      <c r="D79" s="755"/>
      <c r="E79" s="755"/>
      <c r="F79" s="755"/>
      <c r="G79" s="755"/>
      <c r="H79" s="755"/>
      <c r="I79" s="755"/>
      <c r="J79" s="755"/>
      <c r="K79" s="755"/>
      <c r="L79" s="755"/>
      <c r="M79" s="755"/>
      <c r="N79" s="755"/>
      <c r="O79" s="755"/>
      <c r="P79" s="755"/>
      <c r="Q79" s="755"/>
      <c r="R79" s="755"/>
      <c r="S79" s="835"/>
      <c r="T79" s="1942"/>
      <c r="U79" s="1942"/>
      <c r="V79" s="1942"/>
      <c r="W79" s="1942"/>
      <c r="X79" s="1942"/>
      <c r="Y79" s="1942"/>
      <c r="Z79" s="1942"/>
      <c r="AA79" s="1942"/>
      <c r="AB79" s="1942"/>
      <c r="AC79" s="1942"/>
      <c r="AF79" s="1942"/>
      <c r="AG79" s="1942"/>
      <c r="AJ79" s="834"/>
    </row>
    <row r="80" spans="1:52" ht="20.25" customHeight="1">
      <c r="A80" s="755"/>
      <c r="B80" s="755"/>
      <c r="C80" s="755"/>
      <c r="D80" s="755"/>
      <c r="E80" s="755"/>
      <c r="F80" s="755"/>
      <c r="G80" s="755"/>
      <c r="H80" s="755"/>
      <c r="I80" s="755"/>
      <c r="J80" s="755"/>
      <c r="K80" s="755"/>
      <c r="L80" s="755"/>
      <c r="M80" s="755"/>
      <c r="N80" s="755"/>
      <c r="O80" s="755"/>
      <c r="P80" s="755"/>
      <c r="Q80" s="755"/>
      <c r="R80" s="755"/>
      <c r="S80" s="835"/>
      <c r="T80" s="1942"/>
      <c r="U80" s="1942"/>
      <c r="V80" s="1942"/>
      <c r="W80" s="1942"/>
      <c r="X80" s="1942"/>
      <c r="Y80" s="1942"/>
      <c r="Z80" s="1942"/>
      <c r="AA80" s="1942"/>
      <c r="AB80" s="1942"/>
      <c r="AC80" s="1942"/>
      <c r="AF80" s="1942"/>
      <c r="AG80" s="1942"/>
      <c r="AJ80" s="834"/>
    </row>
    <row r="81" spans="1:52" ht="20.25" customHeight="1">
      <c r="A81" s="755"/>
      <c r="B81" s="755"/>
      <c r="C81" s="755"/>
      <c r="D81" s="755"/>
      <c r="E81" s="755"/>
      <c r="F81" s="755"/>
      <c r="G81" s="755"/>
      <c r="H81" s="755"/>
      <c r="I81" s="755"/>
      <c r="J81" s="755"/>
      <c r="K81" s="755"/>
      <c r="L81" s="755"/>
      <c r="M81" s="755"/>
      <c r="N81" s="755"/>
      <c r="O81" s="755"/>
      <c r="P81" s="755"/>
      <c r="Q81" s="755"/>
      <c r="R81" s="755"/>
      <c r="S81" s="835"/>
      <c r="T81" s="1942"/>
      <c r="U81" s="1942"/>
      <c r="V81" s="1942"/>
      <c r="W81" s="1942"/>
      <c r="X81" s="1942"/>
      <c r="Y81" s="1942"/>
      <c r="Z81" s="1942"/>
      <c r="AA81" s="1942"/>
      <c r="AB81" s="1942"/>
      <c r="AC81" s="1942"/>
      <c r="AF81" s="1942"/>
      <c r="AG81" s="1942"/>
      <c r="AJ81" s="834"/>
      <c r="AU81" s="754"/>
      <c r="AV81" s="754"/>
      <c r="AW81" s="754"/>
      <c r="AX81" s="754"/>
      <c r="AY81" s="754"/>
      <c r="AZ81" s="754"/>
    </row>
    <row r="82" spans="1:52" ht="20.25" customHeight="1">
      <c r="A82" s="755"/>
      <c r="B82" s="755"/>
      <c r="C82" s="755"/>
      <c r="D82" s="755"/>
      <c r="E82" s="755"/>
      <c r="F82" s="755"/>
      <c r="G82" s="755"/>
      <c r="H82" s="755"/>
      <c r="I82" s="755"/>
      <c r="J82" s="755"/>
      <c r="K82" s="755"/>
      <c r="L82" s="755"/>
      <c r="M82" s="755"/>
      <c r="N82" s="755"/>
      <c r="O82" s="755"/>
      <c r="P82" s="755"/>
      <c r="Q82" s="755"/>
      <c r="R82" s="755"/>
      <c r="S82" s="835"/>
      <c r="T82" s="1942"/>
      <c r="U82" s="1942"/>
      <c r="V82" s="1942"/>
      <c r="W82" s="1942"/>
      <c r="X82" s="1942"/>
      <c r="Y82" s="1942"/>
      <c r="Z82" s="1942"/>
      <c r="AA82" s="1942"/>
      <c r="AB82" s="1942"/>
      <c r="AC82" s="1942"/>
      <c r="AF82" s="1942"/>
      <c r="AG82" s="1942"/>
      <c r="AJ82" s="834"/>
      <c r="AU82" s="754"/>
      <c r="AV82" s="754"/>
      <c r="AW82" s="754"/>
      <c r="AX82" s="754"/>
      <c r="AY82" s="754"/>
      <c r="AZ82" s="754"/>
    </row>
    <row r="83" spans="1:52" ht="20.25" customHeight="1">
      <c r="A83" s="755"/>
      <c r="B83" s="755"/>
      <c r="C83" s="755"/>
      <c r="D83" s="755"/>
      <c r="E83" s="755"/>
      <c r="F83" s="755"/>
      <c r="G83" s="755"/>
      <c r="H83" s="755"/>
      <c r="I83" s="755"/>
      <c r="J83" s="755"/>
      <c r="K83" s="755"/>
      <c r="L83" s="755"/>
      <c r="M83" s="755"/>
      <c r="N83" s="755"/>
      <c r="O83" s="755"/>
      <c r="P83" s="755"/>
      <c r="Q83" s="755"/>
      <c r="R83" s="755"/>
      <c r="S83" s="835"/>
      <c r="T83" s="1942"/>
      <c r="U83" s="1942"/>
      <c r="V83" s="1942"/>
      <c r="W83" s="1942"/>
      <c r="X83" s="1942"/>
      <c r="Y83" s="1942"/>
      <c r="Z83" s="1942"/>
      <c r="AA83" s="1942"/>
      <c r="AB83" s="1942"/>
      <c r="AC83" s="1942"/>
      <c r="AF83" s="1942"/>
      <c r="AG83" s="1942"/>
      <c r="AJ83" s="834"/>
      <c r="AU83" s="754"/>
      <c r="AV83" s="754"/>
      <c r="AW83" s="754"/>
      <c r="AX83" s="754"/>
      <c r="AY83" s="754"/>
      <c r="AZ83" s="754"/>
    </row>
    <row r="84" spans="1:52" ht="20.25" customHeight="1">
      <c r="A84" s="755"/>
      <c r="B84" s="755"/>
      <c r="C84" s="755"/>
      <c r="D84" s="755"/>
      <c r="E84" s="755"/>
      <c r="F84" s="755"/>
      <c r="G84" s="755"/>
      <c r="H84" s="755"/>
      <c r="I84" s="755"/>
      <c r="J84" s="755"/>
      <c r="K84" s="755"/>
      <c r="L84" s="755"/>
      <c r="M84" s="755"/>
      <c r="N84" s="755"/>
      <c r="O84" s="755"/>
      <c r="P84" s="755"/>
      <c r="Q84" s="755"/>
      <c r="R84" s="755"/>
      <c r="S84" s="835"/>
      <c r="T84" s="1942"/>
      <c r="U84" s="1942"/>
      <c r="V84" s="1942"/>
      <c r="W84" s="1942"/>
      <c r="X84" s="1942"/>
      <c r="Y84" s="1942"/>
      <c r="Z84" s="1942"/>
      <c r="AA84" s="1942"/>
      <c r="AB84" s="1942"/>
      <c r="AC84" s="1942"/>
      <c r="AF84" s="1942"/>
      <c r="AG84" s="1942"/>
      <c r="AJ84" s="834"/>
      <c r="AU84" s="754"/>
      <c r="AV84" s="754"/>
      <c r="AW84" s="754"/>
      <c r="AX84" s="754"/>
      <c r="AY84" s="754"/>
      <c r="AZ84" s="754"/>
    </row>
    <row r="85" spans="1:52" ht="20.25" customHeight="1">
      <c r="A85" s="755"/>
      <c r="B85" s="755"/>
      <c r="C85" s="755"/>
      <c r="D85" s="755"/>
      <c r="E85" s="755"/>
      <c r="F85" s="755"/>
      <c r="G85" s="755"/>
      <c r="H85" s="755"/>
      <c r="I85" s="755"/>
      <c r="J85" s="755"/>
      <c r="K85" s="755"/>
      <c r="L85" s="755"/>
      <c r="M85" s="755"/>
      <c r="N85" s="755"/>
      <c r="O85" s="755"/>
      <c r="P85" s="755"/>
      <c r="Q85" s="755"/>
      <c r="R85" s="755"/>
      <c r="S85" s="835"/>
      <c r="T85" s="1942"/>
      <c r="U85" s="1942"/>
      <c r="V85" s="1942"/>
      <c r="W85" s="1942"/>
      <c r="X85" s="1942"/>
      <c r="Y85" s="1942"/>
      <c r="Z85" s="1942"/>
      <c r="AA85" s="1942"/>
      <c r="AB85" s="1942"/>
      <c r="AC85" s="1942"/>
      <c r="AF85" s="1942"/>
      <c r="AG85" s="1942"/>
      <c r="AJ85" s="834"/>
      <c r="AU85" s="754"/>
      <c r="AV85" s="754"/>
      <c r="AW85" s="754"/>
      <c r="AX85" s="754"/>
      <c r="AY85" s="754"/>
      <c r="AZ85" s="754"/>
    </row>
    <row r="86" spans="1:52" ht="20.25" customHeight="1">
      <c r="A86" s="755"/>
      <c r="B86" s="755"/>
      <c r="C86" s="755"/>
      <c r="D86" s="755"/>
      <c r="E86" s="755"/>
      <c r="F86" s="755"/>
      <c r="G86" s="755"/>
      <c r="H86" s="755"/>
      <c r="I86" s="755"/>
      <c r="J86" s="755"/>
      <c r="K86" s="755"/>
      <c r="L86" s="755"/>
      <c r="M86" s="755"/>
      <c r="N86" s="755"/>
      <c r="O86" s="755"/>
      <c r="P86" s="755"/>
      <c r="Q86" s="755"/>
      <c r="R86" s="755"/>
      <c r="S86" s="835"/>
      <c r="T86" s="1942"/>
      <c r="U86" s="1942"/>
      <c r="V86" s="1942"/>
      <c r="W86" s="1942"/>
      <c r="X86" s="1942"/>
      <c r="Y86" s="1942"/>
      <c r="Z86" s="1942"/>
      <c r="AA86" s="1942"/>
      <c r="AB86" s="1942"/>
      <c r="AC86" s="1942"/>
      <c r="AF86" s="1942"/>
      <c r="AG86" s="1942"/>
      <c r="AJ86" s="834"/>
      <c r="AU86" s="754"/>
      <c r="AV86" s="754"/>
      <c r="AW86" s="754"/>
      <c r="AX86" s="754"/>
      <c r="AY86" s="754"/>
      <c r="AZ86" s="754"/>
    </row>
    <row r="87" spans="1:52" ht="20.25" customHeight="1">
      <c r="A87" s="755"/>
      <c r="B87" s="755"/>
      <c r="C87" s="755"/>
      <c r="D87" s="755"/>
      <c r="E87" s="755"/>
      <c r="F87" s="755"/>
      <c r="G87" s="755"/>
      <c r="H87" s="755"/>
      <c r="I87" s="755"/>
      <c r="J87" s="755"/>
      <c r="K87" s="755"/>
      <c r="L87" s="755"/>
      <c r="M87" s="755"/>
      <c r="N87" s="755"/>
      <c r="O87" s="755"/>
      <c r="P87" s="755"/>
      <c r="Q87" s="755"/>
      <c r="R87" s="755"/>
      <c r="S87" s="835"/>
      <c r="T87" s="1942"/>
      <c r="U87" s="1942"/>
      <c r="V87" s="1942"/>
      <c r="W87" s="1942"/>
      <c r="X87" s="1942"/>
      <c r="Y87" s="1942"/>
      <c r="Z87" s="1942"/>
      <c r="AA87" s="1942"/>
      <c r="AB87" s="1942"/>
      <c r="AC87" s="1942"/>
      <c r="AF87" s="1942"/>
      <c r="AG87" s="1942"/>
      <c r="AJ87" s="834"/>
      <c r="AU87" s="754"/>
      <c r="AV87" s="754"/>
      <c r="AW87" s="754"/>
      <c r="AX87" s="754"/>
      <c r="AY87" s="754"/>
      <c r="AZ87" s="754"/>
    </row>
    <row r="88" spans="1:52" ht="20.25" customHeight="1">
      <c r="A88" s="755"/>
      <c r="B88" s="755"/>
      <c r="C88" s="755"/>
      <c r="D88" s="755"/>
      <c r="E88" s="755"/>
      <c r="F88" s="755"/>
      <c r="G88" s="755"/>
      <c r="H88" s="755"/>
      <c r="I88" s="755"/>
      <c r="J88" s="755"/>
      <c r="K88" s="755"/>
      <c r="L88" s="755"/>
      <c r="M88" s="755"/>
      <c r="N88" s="755"/>
      <c r="O88" s="755"/>
      <c r="P88" s="755"/>
      <c r="Q88" s="755"/>
      <c r="R88" s="755"/>
      <c r="S88" s="835"/>
      <c r="T88" s="1942"/>
      <c r="U88" s="1942"/>
      <c r="V88" s="1942"/>
      <c r="W88" s="1942"/>
      <c r="X88" s="1942"/>
      <c r="Y88" s="1942"/>
      <c r="Z88" s="1942"/>
      <c r="AA88" s="1942"/>
      <c r="AB88" s="1942"/>
      <c r="AC88" s="1942"/>
      <c r="AF88" s="1942"/>
      <c r="AG88" s="1942"/>
      <c r="AJ88" s="834"/>
      <c r="AU88" s="753"/>
      <c r="AV88" s="753"/>
      <c r="AW88" s="753"/>
      <c r="AX88" s="753"/>
      <c r="AY88" s="753"/>
      <c r="AZ88" s="753"/>
    </row>
    <row r="89" spans="1:52" ht="20.25" customHeight="1"/>
    <row r="90" spans="1:52" ht="20.25" customHeight="1"/>
    <row r="91" spans="1:52" ht="20.25" customHeight="1"/>
    <row r="92" spans="1:52" ht="20.25" customHeight="1"/>
    <row r="93" spans="1:52" ht="20.25" customHeight="1"/>
    <row r="94" spans="1:52" ht="20.25" customHeight="1"/>
    <row r="95" spans="1:52" ht="20.25" customHeight="1"/>
    <row r="96" spans="1:52" ht="20.25" customHeight="1"/>
    <row r="97" ht="20.25" customHeight="1"/>
    <row r="98" ht="20.25" customHeight="1"/>
    <row r="99" ht="20.25" customHeight="1"/>
    <row r="100" ht="20.25" customHeight="1"/>
    <row r="101" ht="20.25" customHeight="1"/>
    <row r="102" ht="20.25" customHeight="1"/>
  </sheetData>
  <sheetProtection algorithmName="SHA-512" hashValue="snKNIr4miTAF7EYi7UQ2jwS6rFWxvPnlg4rpdHZq7paLCj2LfmcH0MHZMnfFKsmN36rbMB5hUWKvY7Qu7XQs0Q==" saltValue="t/hM/KbTfzA+y3SrwvwA2Q==" spinCount="100000" sheet="1" formatCells="0" formatColumns="0" formatRows="0"/>
  <mergeCells count="76">
    <mergeCell ref="U14:U15"/>
    <mergeCell ref="V14:V15"/>
    <mergeCell ref="W14:W15"/>
    <mergeCell ref="IS12:IV12"/>
    <mergeCell ref="DC14:DC16"/>
    <mergeCell ref="DD14:DD16"/>
    <mergeCell ref="IE12:IH12"/>
    <mergeCell ref="IK12:IN12"/>
    <mergeCell ref="IO12:IR12"/>
    <mergeCell ref="CO23:CQ23"/>
    <mergeCell ref="CR23:CT23"/>
    <mergeCell ref="CU23:CW23"/>
    <mergeCell ref="HW12:HZ12"/>
    <mergeCell ref="IA12:ID12"/>
    <mergeCell ref="GY12:HB12"/>
    <mergeCell ref="HC12:HF12"/>
    <mergeCell ref="HH12:HK12"/>
    <mergeCell ref="HL12:HO12"/>
    <mergeCell ref="HP12:HS12"/>
    <mergeCell ref="GC12:GF12"/>
    <mergeCell ref="GH12:GK12"/>
    <mergeCell ref="GL12:GO12"/>
    <mergeCell ref="GP12:GS12"/>
    <mergeCell ref="GU12:GX12"/>
    <mergeCell ref="IJ11:IV11"/>
    <mergeCell ref="DW12:DZ12"/>
    <mergeCell ref="EA12:ED12"/>
    <mergeCell ref="EE12:EH12"/>
    <mergeCell ref="EJ12:EM12"/>
    <mergeCell ref="EN12:EQ12"/>
    <mergeCell ref="ER12:EU12"/>
    <mergeCell ref="EW12:EZ12"/>
    <mergeCell ref="FA12:FD12"/>
    <mergeCell ref="FE12:FH12"/>
    <mergeCell ref="FI12:FL12"/>
    <mergeCell ref="FM12:FP12"/>
    <mergeCell ref="FQ12:FT12"/>
    <mergeCell ref="FU12:FX12"/>
    <mergeCell ref="FY12:GB12"/>
    <mergeCell ref="CT11:CU11"/>
    <mergeCell ref="CV11:CX11"/>
    <mergeCell ref="CY11:DA11"/>
    <mergeCell ref="DM11:DS11"/>
    <mergeCell ref="HV11:IH11"/>
    <mergeCell ref="U6:V6"/>
    <mergeCell ref="U11:V12"/>
    <mergeCell ref="W11:W12"/>
    <mergeCell ref="CD11:CL11"/>
    <mergeCell ref="CP11:CS11"/>
    <mergeCell ref="C18:D18"/>
    <mergeCell ref="AE18:AG18"/>
    <mergeCell ref="AH19:AJ19"/>
    <mergeCell ref="O5:P5"/>
    <mergeCell ref="I8:J8"/>
    <mergeCell ref="C10:I10"/>
    <mergeCell ref="E12:F12"/>
    <mergeCell ref="G12:H12"/>
    <mergeCell ref="I12:J12"/>
    <mergeCell ref="K12:L12"/>
    <mergeCell ref="M12:N12"/>
    <mergeCell ref="O12:P12"/>
    <mergeCell ref="C5:D6"/>
    <mergeCell ref="E5:F5"/>
    <mergeCell ref="G5:H5"/>
    <mergeCell ref="U4:V5"/>
    <mergeCell ref="I5:J5"/>
    <mergeCell ref="K5:L5"/>
    <mergeCell ref="M5:N5"/>
    <mergeCell ref="C2:E2"/>
    <mergeCell ref="H2:I2"/>
    <mergeCell ref="N2:O2"/>
    <mergeCell ref="R1:S1"/>
    <mergeCell ref="P2:Q2"/>
    <mergeCell ref="C3:D3"/>
    <mergeCell ref="H3:I3"/>
    <mergeCell ref="M3:Q3"/>
  </mergeCells>
  <conditionalFormatting sqref="B14 P14:P15">
    <cfRule type="expression" dxfId="45" priority="55" stopIfTrue="1">
      <formula>#REF!="nein"</formula>
    </cfRule>
  </conditionalFormatting>
  <conditionalFormatting sqref="B39">
    <cfRule type="expression" dxfId="44" priority="54">
      <formula>#REF!="nein"</formula>
    </cfRule>
  </conditionalFormatting>
  <conditionalFormatting sqref="B41">
    <cfRule type="expression" dxfId="43" priority="53">
      <formula>$B$13=" "</formula>
    </cfRule>
  </conditionalFormatting>
  <conditionalFormatting sqref="A12:S12 A13:R15">
    <cfRule type="expression" dxfId="42" priority="50">
      <formula>IF($G$8="NEIN",1,0)</formula>
    </cfRule>
  </conditionalFormatting>
  <conditionalFormatting sqref="I8:K8">
    <cfRule type="expression" dxfId="41" priority="49">
      <formula>IF($G$8="NEIN",1,0)</formula>
    </cfRule>
  </conditionalFormatting>
  <conditionalFormatting sqref="B15">
    <cfRule type="expression" dxfId="40" priority="56">
      <formula>($B$13+B14)&lt;$H$2</formula>
    </cfRule>
  </conditionalFormatting>
  <conditionalFormatting sqref="C10">
    <cfRule type="expression" dxfId="39" priority="48">
      <formula>IF($G$8="JA",1,0)</formula>
    </cfRule>
  </conditionalFormatting>
  <conditionalFormatting sqref="A14 A15:R15">
    <cfRule type="expression" dxfId="38" priority="44">
      <formula>IF($K$8="",1,0)</formula>
    </cfRule>
    <cfRule type="expression" dxfId="37" priority="47">
      <formula>IF($K$8="NEIN",1,0)</formula>
    </cfRule>
  </conditionalFormatting>
  <conditionalFormatting sqref="B14:R14">
    <cfRule type="expression" dxfId="36" priority="43">
      <formula>IF($K$8="",1,0)</formula>
    </cfRule>
    <cfRule type="expression" dxfId="35" priority="46">
      <formula>IF($K$8="NEIN",1,0)</formula>
    </cfRule>
  </conditionalFormatting>
  <conditionalFormatting sqref="A10:S12 A13:R15">
    <cfRule type="expression" dxfId="34" priority="45">
      <formula>IF($G$8="",1,0)</formula>
    </cfRule>
  </conditionalFormatting>
  <conditionalFormatting sqref="B13:R13">
    <cfRule type="expression" dxfId="33" priority="42">
      <formula>IF($K$8="JA",1,0)</formula>
    </cfRule>
  </conditionalFormatting>
  <conditionalFormatting sqref="B14">
    <cfRule type="expression" dxfId="32" priority="40">
      <formula>IF($K$8="",1,0)</formula>
    </cfRule>
    <cfRule type="expression" dxfId="31" priority="41">
      <formula>IF($K$8="NEIN",1,0)</formula>
    </cfRule>
  </conditionalFormatting>
  <conditionalFormatting sqref="S14">
    <cfRule type="expression" dxfId="30" priority="34" stopIfTrue="1">
      <formula>#REF!="nein"</formula>
    </cfRule>
  </conditionalFormatting>
  <conditionalFormatting sqref="S15">
    <cfRule type="expression" dxfId="29" priority="33" stopIfTrue="1">
      <formula>#REF!="nein"</formula>
    </cfRule>
  </conditionalFormatting>
  <conditionalFormatting sqref="S13:S15">
    <cfRule type="expression" dxfId="28" priority="32">
      <formula>IF($G$8="NEIN",1,0)</formula>
    </cfRule>
  </conditionalFormatting>
  <conditionalFormatting sqref="S15">
    <cfRule type="expression" dxfId="27" priority="28">
      <formula>IF($K$8="",1,0)</formula>
    </cfRule>
    <cfRule type="expression" dxfId="26" priority="31">
      <formula>IF($K$8="NEIN",1,0)</formula>
    </cfRule>
  </conditionalFormatting>
  <conditionalFormatting sqref="S14">
    <cfRule type="expression" dxfId="25" priority="27">
      <formula>IF($K$8="",1,0)</formula>
    </cfRule>
    <cfRule type="expression" dxfId="24" priority="30">
      <formula>IF($K$8="NEIN",1,0)</formula>
    </cfRule>
  </conditionalFormatting>
  <conditionalFormatting sqref="S13:S15">
    <cfRule type="expression" dxfId="23" priority="29">
      <formula>IF($G$8="",1,0)</formula>
    </cfRule>
  </conditionalFormatting>
  <conditionalFormatting sqref="S13">
    <cfRule type="expression" dxfId="22" priority="26">
      <formula>IF($K$8="JA",1,0)</formula>
    </cfRule>
  </conditionalFormatting>
  <conditionalFormatting sqref="S14">
    <cfRule type="expression" dxfId="21" priority="24">
      <formula>IF($K$8="JA",1,0)</formula>
    </cfRule>
  </conditionalFormatting>
  <conditionalFormatting sqref="S15">
    <cfRule type="expression" dxfId="20" priority="22">
      <formula>IF($K$8="JA",1,0)</formula>
    </cfRule>
  </conditionalFormatting>
  <conditionalFormatting sqref="U13:W13">
    <cfRule type="expression" dxfId="19" priority="18">
      <formula>IF($G$8="NEIN",1,0)</formula>
    </cfRule>
    <cfRule type="expression" dxfId="18" priority="19">
      <formula>IF($G$8="",1,0)</formula>
    </cfRule>
    <cfRule type="expression" dxfId="17" priority="20">
      <formula>IF($K$8="JA",1,0)</formula>
    </cfRule>
  </conditionalFormatting>
  <conditionalFormatting sqref="U11:W13">
    <cfRule type="expression" dxfId="16" priority="17">
      <formula>IF($G$8="",1,0)</formula>
    </cfRule>
  </conditionalFormatting>
  <conditionalFormatting sqref="U11:W13">
    <cfRule type="expression" dxfId="15" priority="16">
      <formula>IF($G$8="NEIN",1,0)</formula>
    </cfRule>
  </conditionalFormatting>
  <conditionalFormatting sqref="U14:V15">
    <cfRule type="expression" dxfId="14" priority="7">
      <formula>IF($G$8="NEIN",1,0)</formula>
    </cfRule>
    <cfRule type="expression" dxfId="13" priority="8">
      <formula>IF($K$8="NEIN",1,0)</formula>
    </cfRule>
    <cfRule type="expression" dxfId="12" priority="9">
      <formula>IF($G$8="",1,0)</formula>
    </cfRule>
    <cfRule type="expression" dxfId="11" priority="10">
      <formula>IF($K$8="",1,0)</formula>
    </cfRule>
  </conditionalFormatting>
  <conditionalFormatting sqref="U14:V15">
    <cfRule type="expression" dxfId="10" priority="6">
      <formula>IF($G$8="",1,0)</formula>
    </cfRule>
  </conditionalFormatting>
  <conditionalFormatting sqref="W14:W15">
    <cfRule type="expression" dxfId="9" priority="2">
      <formula>IF($G$8="NEIN",1,0)</formula>
    </cfRule>
    <cfRule type="expression" dxfId="8" priority="3">
      <formula>IF($K$8="NEIN",1,0)</formula>
    </cfRule>
    <cfRule type="expression" dxfId="7" priority="4">
      <formula>IF($G$8="",1,0)</formula>
    </cfRule>
    <cfRule type="expression" dxfId="6" priority="5">
      <formula>IF($K$8="",1,0)</formula>
    </cfRule>
  </conditionalFormatting>
  <conditionalFormatting sqref="W14:W15">
    <cfRule type="expression" dxfId="5" priority="1">
      <formula>IF($G$8="",1,0)</formula>
    </cfRule>
  </conditionalFormatting>
  <dataValidations count="5">
    <dataValidation type="list" operator="equal" allowBlank="1" showErrorMessage="1" sqref="CP16:CP20">
      <formula1>"düngerliste"</formula1>
      <formula2>0</formula2>
    </dataValidation>
    <dataValidation showDropDown="1" showErrorMessage="1" sqref="D13:D15"/>
    <dataValidation type="list" allowBlank="1" showInputMessage="1" showErrorMessage="1" sqref="K34 G34">
      <formula1>Liste_ja</formula1>
    </dataValidation>
    <dataValidation type="list" allowBlank="1" showErrorMessage="1" sqref="E36 C39:D39 C41:D41">
      <formula1>Liste_Nutzung</formula1>
    </dataValidation>
    <dataValidation type="list" allowBlank="1" showInputMessage="1" showErrorMessage="1" sqref="K13:K15 M13:M15 O13:O15 E13:E15 G13:G15 I13:I15 I37 G37 E37 G39 M37 K37 K41 K39 M41 M39 I41 I39 E41 E39 G41">
      <formula1>meine_Dünger</formula1>
    </dataValidation>
  </dataValidations>
  <hyperlinks>
    <hyperlink ref="C10" location="S_2!A1" display="Keine Bewirtschaftungsänderung - Weiter zum nächsten Feldstück"/>
    <hyperlink ref="Q1" location="S_29!F13" display="◄"/>
    <hyperlink ref="R1:S1" location="Ergebnis!A1" display="  ►"/>
    <hyperlink ref="X1" location="Ergebnis!F13" display="ERGEBNIS"/>
  </hyperlinks>
  <printOptions horizontalCentered="1" verticalCentered="1"/>
  <pageMargins left="0.37" right="0.35" top="0.68" bottom="0.51" header="0.33" footer="0.31496062992125984"/>
  <pageSetup paperSize="9" scale="65" firstPageNumber="0" pageOrder="overThenDown" orientation="landscape" blackAndWhite="1" horizontalDpi="300" verticalDpi="300" r:id="rId1"/>
  <headerFooter alignWithMargins="0">
    <oddHeader>&amp;R&amp;G</oddHeader>
    <oddFooter>&amp;L&amp;D&amp;R&amp;F</oddFooter>
  </headerFooter>
  <legacyDrawingHF r:id="rId2"/>
  <extLst>
    <ext xmlns:x14="http://schemas.microsoft.com/office/spreadsheetml/2009/9/main" uri="{78C0D931-6437-407d-A8EE-F0AAD7539E65}">
      <x14:conditionalFormattings>
        <x14:conditionalFormatting xmlns:xm="http://schemas.microsoft.com/office/excel/2006/main">
          <x14:cfRule type="iconSet" priority="52" id="{FD288466-FB14-4B00-AA75-8718D121DCDD}">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S6</xm:sqref>
        </x14:conditionalFormatting>
        <x14:conditionalFormatting xmlns:xm="http://schemas.microsoft.com/office/excel/2006/main">
          <x14:cfRule type="iconSet" priority="25" id="{A01283EA-0806-4226-A8D6-0991964D27BF}">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S13</xm:sqref>
        </x14:conditionalFormatting>
        <x14:conditionalFormatting xmlns:xm="http://schemas.microsoft.com/office/excel/2006/main">
          <x14:cfRule type="iconSet" priority="23" id="{835DA07E-1D48-4E60-84F3-070114919218}">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S14</xm:sqref>
        </x14:conditionalFormatting>
        <x14:conditionalFormatting xmlns:xm="http://schemas.microsoft.com/office/excel/2006/main">
          <x14:cfRule type="iconSet" priority="21" id="{3A150925-D824-424C-B276-0B964346E7E6}">
            <x14:iconSet showValue="0" custom="1">
              <x14:cfvo type="percent">
                <xm:f>0</xm:f>
              </x14:cfvo>
              <x14:cfvo type="num">
                <xm:f>-21</xm:f>
              </x14:cfvo>
              <x14:cfvo type="num">
                <xm:f>20</xm:f>
              </x14:cfvo>
              <x14:cfIcon iconSet="3TrafficLights1" iconId="0"/>
              <x14:cfIcon iconSet="3TrafficLights1" iconId="2"/>
              <x14:cfIcon iconSet="3TrafficLights1" iconId="1"/>
            </x14:iconSet>
          </x14:cfRule>
          <xm:sqref>S15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Grünland!$E$39:$E$47</xm:f>
          </x14:formula1>
          <xm:sqref>C13:C15</xm:sqref>
        </x14:dataValidation>
        <x14:dataValidation type="list" allowBlank="1" showInputMessage="1" showErrorMessage="1">
          <x14:formula1>
            <xm:f>Tabelle1!$AN$5:$AN$7</xm:f>
          </x14:formula1>
          <xm:sqref>G8 K8</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0"/>
  <sheetViews>
    <sheetView workbookViewId="0">
      <selection activeCell="B4" sqref="B4"/>
    </sheetView>
  </sheetViews>
  <sheetFormatPr baseColWidth="10" defaultRowHeight="12.75"/>
  <cols>
    <col min="1" max="1" width="2.28515625" customWidth="1"/>
    <col min="2" max="2" width="14.7109375" customWidth="1"/>
    <col min="3" max="3" width="2.5703125" style="747" customWidth="1"/>
    <col min="4" max="4" width="5.85546875" style="1607" customWidth="1"/>
    <col min="5" max="5" width="35.7109375" style="244" customWidth="1"/>
    <col min="6" max="6" width="3.85546875" style="1607" customWidth="1"/>
    <col min="7" max="7" width="14.7109375" customWidth="1"/>
    <col min="8" max="8" width="6.42578125" style="1607" customWidth="1"/>
    <col min="9" max="9" width="14.7109375" customWidth="1"/>
    <col min="10" max="10" width="6.42578125" style="1607" customWidth="1"/>
    <col min="11" max="11" width="14.7109375" customWidth="1"/>
    <col min="12" max="12" width="6.42578125" style="1607" customWidth="1"/>
    <col min="13" max="13" width="14.7109375" customWidth="1"/>
    <col min="14" max="14" width="6.42578125" style="1607" customWidth="1"/>
    <col min="15" max="15" width="14.7109375" customWidth="1"/>
    <col min="16" max="16" width="6.42578125" style="1607" customWidth="1"/>
    <col min="17" max="17" width="14.7109375" customWidth="1"/>
    <col min="18" max="18" width="6.42578125" style="1607" customWidth="1"/>
    <col min="19" max="21" width="6.7109375" style="1607" customWidth="1"/>
  </cols>
  <sheetData>
    <row r="1" spans="2:25" ht="15" customHeight="1"/>
    <row r="2" spans="2:25" ht="15" customHeight="1"/>
    <row r="3" spans="2:25" ht="15" customHeight="1">
      <c r="S3" s="1768" t="s">
        <v>1427</v>
      </c>
      <c r="T3" s="1768" t="s">
        <v>1427</v>
      </c>
    </row>
    <row r="4" spans="2:25" ht="15" customHeight="1">
      <c r="B4" s="1608" t="str">
        <f>IF(AND(S_1!$G$8="ja",S_1!$K$8="nein"),S_1!$C$2,"")</f>
        <v/>
      </c>
      <c r="C4" s="1608" t="str">
        <f>IF(AND(S_1!$G$8="ja",S_1!$K$8="nein"),"","")</f>
        <v/>
      </c>
      <c r="D4" s="1609" t="str">
        <f>IF(AND(S_1!$G$8="ja",S_1!$K$8="nein"),S_1!$B$13,"")</f>
        <v/>
      </c>
      <c r="E4" s="1618" t="str">
        <f>IF(AND(S_1!$G$8="ja",S_1!$K$8="nein"),S_1!$C$13,"")</f>
        <v/>
      </c>
      <c r="F4" s="1609" t="str">
        <f>IF(AND(S_1!$G$8="ja",S_1!$K$8="nein"),S_1!$D$13,"")</f>
        <v/>
      </c>
      <c r="G4" s="1608" t="str">
        <f>IF(AND(S_1!$G$8="ja",S_1!$K$8="nein"),S_1!$E$13,"")</f>
        <v/>
      </c>
      <c r="H4" s="1609" t="str">
        <f>IF(AND(S_1!$G$8="ja",S_1!$K$8="nein"),S_1!$F$13,"")</f>
        <v/>
      </c>
      <c r="I4" s="1608" t="str">
        <f>IF(AND(S_1!$G$8="ja",S_1!$K$8="nein"),S_1!$G$13,"")</f>
        <v/>
      </c>
      <c r="J4" s="1609" t="str">
        <f>IF(AND(S_1!$G$8="ja",S_1!$K$8="nein"),S_1!$H$13,"")</f>
        <v/>
      </c>
      <c r="K4" s="1608" t="str">
        <f>IF(AND(S_1!$G$8="ja",S_1!$K$8="nein"),S_1!$I$13,"")</f>
        <v/>
      </c>
      <c r="L4" s="1609" t="str">
        <f>IF(AND(S_1!$G$8="ja",S_1!$K$8="nein"),S_1!$J$13,"")</f>
        <v/>
      </c>
      <c r="M4" s="1608" t="str">
        <f>IF(AND(S_1!$G$8="ja",S_1!$K$8="nein"),S_1!$K$13,"")</f>
        <v/>
      </c>
      <c r="N4" s="1609" t="str">
        <f>IF(AND(S_1!$G$8="ja",S_1!$K$8="nein"),S_1!$L$13,"")</f>
        <v/>
      </c>
      <c r="O4" s="1608" t="str">
        <f>IF(AND(S_1!$G$8="ja",S_1!$K$8="nein"),S_1!$M$13,"")</f>
        <v/>
      </c>
      <c r="P4" s="1609" t="str">
        <f>IF(AND(S_1!$G$8="ja",S_1!$K$8="nein"),S_1!$N$13,"")</f>
        <v/>
      </c>
      <c r="Q4" s="1608" t="str">
        <f>IF(AND(S_1!$G$8="ja",S_1!$K$8="nein"),S_1!$O$13,"")</f>
        <v/>
      </c>
      <c r="R4" s="1609" t="str">
        <f>IF(AND(S_1!$G$8="ja",S_1!$K$8="nein"),S_1!$P$13,"")</f>
        <v/>
      </c>
      <c r="S4" s="1617" t="str">
        <f>IF(AND(S_1!$G$8="ja",S_1!$K$8="nein"),S_1!Q13,"")</f>
        <v/>
      </c>
      <c r="T4" s="1617" t="str">
        <f>IF(AND(S_1!$G$8="ja",S_1!$K$8="nein"),S_1!R13,"")</f>
        <v/>
      </c>
      <c r="U4" s="1617" t="str">
        <f>IF(AND(S_1!$G$8="ja",S_1!$K$8="nein"),S_1!$S$13,"")</f>
        <v/>
      </c>
    </row>
    <row r="5" spans="2:25" ht="15" customHeight="1">
      <c r="B5" s="1608" t="str">
        <f>IF(AND(S_1!$G$8="ja",S_1!$K$8="ja"),S_1!$C$2,"")</f>
        <v/>
      </c>
      <c r="C5" s="1608" t="str">
        <f>IF(AND(S_1!$G$8="ja",S_1!$K$8="ja"),1,"")</f>
        <v/>
      </c>
      <c r="D5" s="1609" t="str">
        <f>IF(AND(S_1!$G$8="ja",S_1!$K$8="ja"),S_1!$B$14,"")</f>
        <v/>
      </c>
      <c r="E5" s="1618" t="str">
        <f>IF(AND(S_1!$G$8="ja",S_1!$K$8="ja"),S_1!$C$14,"")</f>
        <v/>
      </c>
      <c r="F5" s="1609" t="str">
        <f>IF(AND(S_1!$G$8="ja",S_1!$K$8="ja"),S_1!$D$14,"")</f>
        <v/>
      </c>
      <c r="G5" s="1608" t="str">
        <f>IF(AND(S_1!$G$8="ja",S_1!$K$8="ja"),S_1!$E$14,"")</f>
        <v/>
      </c>
      <c r="H5" s="1609" t="str">
        <f>IF(AND(S_1!$G$8="ja",S_1!$K$8="ja"),S_1!$F$14,"")</f>
        <v/>
      </c>
      <c r="I5" s="1608" t="str">
        <f>IF(AND(S_1!$G$8="ja",S_1!$K$8="ja"),S_1!$G$14,"")</f>
        <v/>
      </c>
      <c r="J5" s="1609" t="str">
        <f>IF(AND(S_1!$G$8="ja",S_1!$K$8="ja"),S_1!$H$14,"")</f>
        <v/>
      </c>
      <c r="K5" s="1608" t="str">
        <f>IF(AND(S_1!$G$8="ja",S_1!$K$8="ja"),S_1!$I$14,"")</f>
        <v/>
      </c>
      <c r="L5" s="1609" t="str">
        <f>IF(AND(S_1!$G$8="ja",S_1!$K$8="ja"),S_1!$J$14,"")</f>
        <v/>
      </c>
      <c r="M5" s="1608" t="str">
        <f>IF(AND(S_1!$G$8="ja",S_1!$K$8="ja"),S_1!$K$14,"")</f>
        <v/>
      </c>
      <c r="N5" s="1609" t="str">
        <f>IF(AND(S_1!$G$8="ja",S_1!$K$8="ja"),S_1!$L$14,"")</f>
        <v/>
      </c>
      <c r="O5" s="1608" t="str">
        <f>IF(AND(S_1!$G$8="ja",S_1!$K$8="ja"),S_1!$M$14,"")</f>
        <v/>
      </c>
      <c r="P5" s="1609" t="str">
        <f>IF(AND(S_1!$G$8="ja",S_1!$K$8="ja"),S_1!$N$14,"")</f>
        <v/>
      </c>
      <c r="Q5" s="1608" t="str">
        <f>IF(AND(S_1!$G$8="ja",S_1!$K$8="ja"),S_1!$O$14,"")</f>
        <v/>
      </c>
      <c r="R5" s="1609" t="str">
        <f>IF(AND(S_1!$G$8="ja",S_1!$K$8="ja"),S_1!$P$14,"")</f>
        <v/>
      </c>
      <c r="S5" s="1617" t="str">
        <f>IF(AND(S_1!$G$8="ja",S_1!$K$8="ja"),S_1!Q14,"")</f>
        <v/>
      </c>
      <c r="T5" s="1617" t="str">
        <f>IF(AND(S_1!$G$8="ja",S_1!$K$8="ja"),S_1!R14,"")</f>
        <v/>
      </c>
      <c r="U5" s="1617" t="str">
        <f>IF(AND(S_1!$G$8="ja",S_1!$K$8="ja"),S_1!$S$14,"")</f>
        <v/>
      </c>
    </row>
    <row r="6" spans="2:25" ht="15" customHeight="1">
      <c r="B6" s="1608" t="str">
        <f>IF(AND(S_1!$G$8="ja",S_1!$K$8="ja"),S_1!$C$2,"")</f>
        <v/>
      </c>
      <c r="C6" s="1608" t="str">
        <f>IF(AND(S_1!$G$8="ja",S_1!$K$8="ja"),2,"")</f>
        <v/>
      </c>
      <c r="D6" s="1609" t="str">
        <f>IF(AND(S_1!$G$8="ja",S_1!$K$8="ja"),S_1!$B$15,"")</f>
        <v/>
      </c>
      <c r="E6" s="1618" t="str">
        <f>IF(AND(S_1!$G$8="ja",S_1!$K$8="ja"),S_1!$C$15,"")</f>
        <v/>
      </c>
      <c r="F6" s="1609" t="str">
        <f>IF(AND(S_1!$G$8="ja",S_1!$K$8="ja"),S_1!$D$15,"")</f>
        <v/>
      </c>
      <c r="G6" s="1608" t="str">
        <f>IF(AND(S_1!$G$8="ja",S_1!$K$8="ja"),S_1!$E$15,"")</f>
        <v/>
      </c>
      <c r="H6" s="1609" t="str">
        <f>IF(AND(S_1!$G$8="ja",S_1!$K$8="ja"),S_1!$F$15,"")</f>
        <v/>
      </c>
      <c r="I6" s="1608" t="str">
        <f>IF(AND(S_1!$G$8="ja",S_1!$K$8="ja"),S_1!$G$15,"")</f>
        <v/>
      </c>
      <c r="J6" s="1609" t="str">
        <f>IF(AND(S_1!$G$8="ja",S_1!$K$8="ja"),S_1!$H$15,"")</f>
        <v/>
      </c>
      <c r="K6" s="1608" t="str">
        <f>IF(AND(S_1!$G$8="ja",S_1!$K$8="ja"),S_1!$I$15,"")</f>
        <v/>
      </c>
      <c r="L6" s="1609" t="str">
        <f>IF(AND(S_1!$G$8="ja",S_1!$K$8="ja"),S_1!$J$15,"")</f>
        <v/>
      </c>
      <c r="M6" s="1608" t="str">
        <f>IF(AND(S_1!$G$8="ja",S_1!$K$8="ja"),S_1!$K$15,"")</f>
        <v/>
      </c>
      <c r="N6" s="1609" t="str">
        <f>IF(AND(S_1!$G$8="ja",S_1!$K$8="ja"),S_1!$L$15,"")</f>
        <v/>
      </c>
      <c r="O6" s="1608" t="str">
        <f>IF(AND(S_1!$G$8="ja",S_1!$K$8="ja"),S_1!$M$15,"")</f>
        <v/>
      </c>
      <c r="P6" s="1609" t="str">
        <f>IF(AND(S_1!$G$8="ja",S_1!$K$8="ja"),S_1!$N$15,"")</f>
        <v/>
      </c>
      <c r="Q6" s="1608" t="str">
        <f>IF(AND(S_1!$G$8="ja",S_1!$K$8="ja"),S_1!$O$15,"")</f>
        <v/>
      </c>
      <c r="R6" s="1609" t="str">
        <f>IF(AND(S_1!$G$8="ja",S_1!$K$8="ja"),S_1!$P$15,"")</f>
        <v/>
      </c>
      <c r="S6" s="1617" t="str">
        <f>IF(AND(S_1!$G$8="ja",S_1!$K$8="ja"),S_1!Q15,"")</f>
        <v/>
      </c>
      <c r="T6" s="1617" t="str">
        <f>IF(AND(S_1!$G$8="ja",S_1!$K$8="ja"),S_1!R15,"")</f>
        <v/>
      </c>
      <c r="U6" s="1617" t="str">
        <f>IF(AND(S_1!$G$8="ja",S_1!$K$8="ja"),S_1!$S$15,"")</f>
        <v/>
      </c>
      <c r="V6" s="1608"/>
      <c r="W6" s="1608"/>
      <c r="X6" s="1608"/>
      <c r="Y6" s="1608"/>
    </row>
    <row r="7" spans="2:25" ht="15" customHeight="1">
      <c r="B7" s="1608" t="str">
        <f>IF(AND(S_2!$G$8="ja",S_2!$K$8="nein"),S_2!$C$2,"")</f>
        <v/>
      </c>
      <c r="C7" s="1608" t="str">
        <f>IF(AND(S_2!$G$8="ja",S_2!$K$8="nein"),"","")</f>
        <v/>
      </c>
      <c r="D7" s="1609" t="str">
        <f>IF(AND(S_2!$G$8="ja",S_2!$K$8="nein"),S_2!B13,"")</f>
        <v/>
      </c>
      <c r="E7" s="1618" t="str">
        <f>IF(AND(S_2!$G$8="ja",S_2!$K$8="nein"),S_2!C13,"")</f>
        <v/>
      </c>
      <c r="F7" s="1609" t="str">
        <f>IF(AND(S_2!$G$8="ja",S_2!$K$8="nein"),S_2!D13,"")</f>
        <v/>
      </c>
      <c r="G7" s="1609" t="str">
        <f>IF(AND(S_2!$G$8="ja",S_2!$K$8="nein"),S_2!E13,"")</f>
        <v/>
      </c>
      <c r="H7" s="1609" t="str">
        <f>IF(AND(S_2!$G$8="ja",S_2!$K$8="nein"),S_2!F13,"")</f>
        <v/>
      </c>
      <c r="I7" s="1609" t="str">
        <f>IF(AND(S_2!$G$8="ja",S_2!$K$8="nein"),S_2!G13,"")</f>
        <v/>
      </c>
      <c r="J7" s="1609" t="str">
        <f>IF(AND(S_2!$G$8="ja",S_2!$K$8="nein"),S_2!H13,"")</f>
        <v/>
      </c>
      <c r="K7" s="1609" t="str">
        <f>IF(AND(S_2!$G$8="ja",S_2!$K$8="nein"),S_2!I13,"")</f>
        <v/>
      </c>
      <c r="L7" s="1609" t="str">
        <f>IF(AND(S_2!$G$8="ja",S_2!$K$8="nein"),S_2!J13,"")</f>
        <v/>
      </c>
      <c r="M7" s="1609" t="str">
        <f>IF(AND(S_2!$G$8="ja",S_2!$K$8="nein"),S_2!K13,"")</f>
        <v/>
      </c>
      <c r="N7" s="1609" t="str">
        <f>IF(AND(S_2!$G$8="ja",S_2!$K$8="nein"),S_2!L13,"")</f>
        <v/>
      </c>
      <c r="O7" s="1609" t="str">
        <f>IF(AND(S_2!$G$8="ja",S_2!$K$8="nein"),S_2!M13,"")</f>
        <v/>
      </c>
      <c r="P7" s="1609" t="str">
        <f>IF(AND(S_2!$G$8="ja",S_2!$K$8="nein"),S_2!N13,"")</f>
        <v/>
      </c>
      <c r="Q7" s="1609" t="str">
        <f>IF(AND(S_2!$G$8="ja",S_2!$K$8="nein"),S_2!O13,"")</f>
        <v/>
      </c>
      <c r="R7" s="1609" t="str">
        <f>IF(AND(S_2!$G$8="ja",S_2!$K$8="nein"),S_2!P13,"")</f>
        <v/>
      </c>
      <c r="S7" s="1609" t="str">
        <f>IF(AND(S_2!$G$8="ja",S_2!$K$8="nein"),S_2!Q13,"")</f>
        <v/>
      </c>
      <c r="T7" s="1609" t="str">
        <f>IF(AND(S_2!$G$8="ja",S_2!$K$8="nein"),S_2!R13,"")</f>
        <v/>
      </c>
      <c r="U7" s="1609" t="str">
        <f>IF(AND(S_2!$G$8="ja",S_2!$K$8="nein"),S_2!S13,"")</f>
        <v/>
      </c>
    </row>
    <row r="8" spans="2:25" ht="15" customHeight="1">
      <c r="B8" s="1608" t="str">
        <f>IF(AND(S_2!$G$8="ja",S_2!$K$8="ja"),S_2!$C$2,"")</f>
        <v/>
      </c>
      <c r="C8" s="1608" t="str">
        <f>IF(AND(S_2!$G$8="ja",S_2!$K$8="ja"),1,"")</f>
        <v/>
      </c>
      <c r="D8" s="1609" t="str">
        <f>IF(AND(S_2!$G$8="ja",S_2!$K$8="ja"),S_2!B14,"")</f>
        <v/>
      </c>
      <c r="E8" s="1618" t="str">
        <f>IF(AND(S_2!$G$8="ja",S_2!$K$8="ja"),S_2!C14,"")</f>
        <v/>
      </c>
      <c r="F8" s="1609" t="str">
        <f>IF(AND(S_2!$G$8="ja",S_2!$K$8="ja"),S_2!D14,"")</f>
        <v/>
      </c>
      <c r="G8" s="1609" t="str">
        <f>IF(AND(S_2!$G$8="ja",S_2!$K$8="ja"),S_2!E14,"")</f>
        <v/>
      </c>
      <c r="H8" s="1609" t="str">
        <f>IF(AND(S_2!$G$8="ja",S_2!$K$8="ja"),S_2!F14,"")</f>
        <v/>
      </c>
      <c r="I8" s="1609" t="str">
        <f>IF(AND(S_2!$G$8="ja",S_2!$K$8="ja"),S_2!G14,"")</f>
        <v/>
      </c>
      <c r="J8" s="1609" t="str">
        <f>IF(AND(S_2!$G$8="ja",S_2!$K$8="ja"),S_2!H14,"")</f>
        <v/>
      </c>
      <c r="K8" s="1609" t="str">
        <f>IF(AND(S_2!$G$8="ja",S_2!$K$8="ja"),S_2!I14,"")</f>
        <v/>
      </c>
      <c r="L8" s="1609" t="str">
        <f>IF(AND(S_2!$G$8="ja",S_2!$K$8="ja"),S_2!J14,"")</f>
        <v/>
      </c>
      <c r="M8" s="1609" t="str">
        <f>IF(AND(S_2!$G$8="ja",S_2!$K$8="ja"),S_2!K14,"")</f>
        <v/>
      </c>
      <c r="N8" s="1609" t="str">
        <f>IF(AND(S_2!$G$8="ja",S_2!$K$8="ja"),S_2!L14,"")</f>
        <v/>
      </c>
      <c r="O8" s="1609" t="str">
        <f>IF(AND(S_2!$G$8="ja",S_2!$K$8="ja"),S_2!M14,"")</f>
        <v/>
      </c>
      <c r="P8" s="1609" t="str">
        <f>IF(AND(S_2!$G$8="ja",S_2!$K$8="ja"),S_2!N14,"")</f>
        <v/>
      </c>
      <c r="Q8" s="1609" t="str">
        <f>IF(AND(S_2!$G$8="ja",S_2!$K$8="ja"),S_2!O14,"")</f>
        <v/>
      </c>
      <c r="R8" s="1609" t="str">
        <f>IF(AND(S_2!$G$8="ja",S_2!$K$8="ja"),S_2!P14,"")</f>
        <v/>
      </c>
      <c r="S8" s="1609" t="str">
        <f>IF(AND(S_2!$G$8="ja",S_2!$K$8="ja"),S_2!Q14,"")</f>
        <v/>
      </c>
      <c r="T8" s="1609" t="str">
        <f>IF(AND(S_2!$G$8="ja",S_2!$K$8="ja"),S_2!R14,"")</f>
        <v/>
      </c>
      <c r="U8" s="1609" t="str">
        <f>IF(AND(S_2!$G$8="ja",S_2!$K$8="ja"),S_2!S14,"")</f>
        <v/>
      </c>
    </row>
    <row r="9" spans="2:25" ht="15" customHeight="1">
      <c r="B9" s="1608" t="str">
        <f>IF(AND(S_2!$G$8="ja",S_2!$K$8="ja"),S_2!$C$2,"")</f>
        <v/>
      </c>
      <c r="C9" s="1608" t="str">
        <f>IF(AND(S_2!$G$8="ja",S_2!$K$8="ja"),2,"")</f>
        <v/>
      </c>
      <c r="D9" s="1609" t="str">
        <f>IF(AND(S_2!$G$8="ja",S_2!$K$8="ja"),S_2!B15,"")</f>
        <v/>
      </c>
      <c r="E9" s="1618" t="str">
        <f>IF(AND(S_2!$G$8="ja",S_2!$K$8="ja"),S_2!C15,"")</f>
        <v/>
      </c>
      <c r="F9" s="1609" t="str">
        <f>IF(AND(S_2!$G$8="ja",S_2!$K$8="ja"),S_2!D15,"")</f>
        <v/>
      </c>
      <c r="G9" s="1609" t="str">
        <f>IF(AND(S_2!$G$8="ja",S_2!$K$8="ja"),S_2!E15,"")</f>
        <v/>
      </c>
      <c r="H9" s="1609" t="str">
        <f>IF(AND(S_2!$G$8="ja",S_2!$K$8="ja"),S_2!F15,"")</f>
        <v/>
      </c>
      <c r="I9" s="1609" t="str">
        <f>IF(AND(S_2!$G$8="ja",S_2!$K$8="ja"),S_2!G15,"")</f>
        <v/>
      </c>
      <c r="J9" s="1609" t="str">
        <f>IF(AND(S_2!$G$8="ja",S_2!$K$8="ja"),S_2!H15,"")</f>
        <v/>
      </c>
      <c r="K9" s="1609" t="str">
        <f>IF(AND(S_2!$G$8="ja",S_2!$K$8="ja"),S_2!I15,"")</f>
        <v/>
      </c>
      <c r="L9" s="1609" t="str">
        <f>IF(AND(S_2!$G$8="ja",S_2!$K$8="ja"),S_2!J15,"")</f>
        <v/>
      </c>
      <c r="M9" s="1609" t="str">
        <f>IF(AND(S_2!$G$8="ja",S_2!$K$8="ja"),S_2!K15,"")</f>
        <v/>
      </c>
      <c r="N9" s="1609" t="str">
        <f>IF(AND(S_2!$G$8="ja",S_2!$K$8="ja"),S_2!L15,"")</f>
        <v/>
      </c>
      <c r="O9" s="1609" t="str">
        <f>IF(AND(S_2!$G$8="ja",S_2!$K$8="ja"),S_2!M15,"")</f>
        <v/>
      </c>
      <c r="P9" s="1609" t="str">
        <f>IF(AND(S_2!$G$8="ja",S_2!$K$8="ja"),S_2!N15,"")</f>
        <v/>
      </c>
      <c r="Q9" s="1609" t="str">
        <f>IF(AND(S_2!$G$8="ja",S_2!$K$8="ja"),S_2!O15,"")</f>
        <v/>
      </c>
      <c r="R9" s="1609" t="str">
        <f>IF(AND(S_2!$G$8="ja",S_2!$K$8="ja"),S_2!P15,"")</f>
        <v/>
      </c>
      <c r="S9" s="1609" t="str">
        <f>IF(AND(S_2!$G$8="ja",S_2!$K$8="ja"),S_2!Q15,"")</f>
        <v/>
      </c>
      <c r="T9" s="1609" t="str">
        <f>IF(AND(S_2!$G$8="ja",S_2!$K$8="ja"),S_2!R15,"")</f>
        <v/>
      </c>
      <c r="U9" s="1609" t="str">
        <f>IF(AND(S_2!$G$8="ja",S_2!$K$8="ja"),S_2!S15,"")</f>
        <v/>
      </c>
    </row>
    <row r="10" spans="2:25" ht="15" customHeight="1">
      <c r="B10" s="1608" t="str">
        <f>IF(AND(S_1!$G$8="ja",S_1!$K$8="nein"),S_1!$C$2,"")</f>
        <v/>
      </c>
      <c r="C10" s="1608" t="str">
        <f>IF(AND(S_1!$G$8="ja",S_1!$K$8="nein"),"","")</f>
        <v/>
      </c>
      <c r="D10" s="1609" t="str">
        <f>IF(AND(S_1!$G$8="ja",S_1!$K$8="nein"),S_1!$B$13,"")</f>
        <v/>
      </c>
      <c r="E10" s="1618" t="str">
        <f>IF(AND(S_1!$G$8="ja",S_1!$K$8="nein"),S_1!$C$13,"")</f>
        <v/>
      </c>
      <c r="F10" s="1609" t="str">
        <f>IF(AND(S_1!$G$8="ja",S_1!$K$8="nein"),S_1!$D$13,"")</f>
        <v/>
      </c>
      <c r="G10" s="1608" t="str">
        <f>IF(AND(S_1!$G$8="ja",S_1!$K$8="nein"),S_1!$E$13,"")</f>
        <v/>
      </c>
      <c r="H10" s="1609" t="str">
        <f>IF(AND(S_1!$G$8="ja",S_1!$K$8="nein"),S_1!$F$13,"")</f>
        <v/>
      </c>
      <c r="I10" s="1608" t="str">
        <f>IF(AND(S_1!$G$8="ja",S_1!$K$8="nein"),S_1!$G$13,"")</f>
        <v/>
      </c>
      <c r="J10" s="1609" t="str">
        <f>IF(AND(S_1!$G$8="ja",S_1!$K$8="nein"),S_1!$H$13,"")</f>
        <v/>
      </c>
      <c r="K10" s="1608" t="str">
        <f>IF(AND(S_1!$G$8="ja",S_1!$K$8="nein"),S_1!$I$13,"")</f>
        <v/>
      </c>
      <c r="L10" s="1609" t="str">
        <f>IF(AND(S_1!$G$8="ja",S_1!$K$8="nein"),S_1!$J$13,"")</f>
        <v/>
      </c>
      <c r="M10" s="1608" t="str">
        <f>IF(AND(S_1!$G$8="ja",S_1!$K$8="nein"),S_1!$K$13,"")</f>
        <v/>
      </c>
      <c r="N10" s="1609" t="str">
        <f>IF(AND(S_1!$G$8="ja",S_1!$K$8="nein"),S_1!$L$13,"")</f>
        <v/>
      </c>
      <c r="O10" s="1608" t="str">
        <f>IF(AND(S_1!$G$8="ja",S_1!$K$8="nein"),S_1!$M$13,"")</f>
        <v/>
      </c>
      <c r="P10" s="1609" t="str">
        <f>IF(AND(S_1!$G$8="ja",S_1!$K$8="nein"),S_1!$N$13,"")</f>
        <v/>
      </c>
      <c r="Q10" s="1608" t="str">
        <f>IF(AND(S_1!$G$8="ja",S_1!$K$8="nein"),S_1!$O$13,"")</f>
        <v/>
      </c>
      <c r="R10" s="1609" t="str">
        <f>IF(AND(S_1!$G$8="ja",S_1!$K$8="nein"),S_1!$P$13,"")</f>
        <v/>
      </c>
      <c r="S10" s="1617" t="str">
        <f>IF(AND(S_1!$G$8="ja",S_1!$K$8="nein"),S_1!Q19,"")</f>
        <v/>
      </c>
      <c r="T10" s="1617" t="str">
        <f>IF(AND(S_1!$G$8="ja",S_1!$K$8="nein"),S_1!R19,"")</f>
        <v/>
      </c>
      <c r="U10" s="1617" t="str">
        <f>IF(AND(S_1!$G$8="ja",S_1!$K$8="nein"),S_1!$S$13,"")</f>
        <v/>
      </c>
    </row>
    <row r="11" spans="2:25" ht="15" customHeight="1">
      <c r="B11" s="1608" t="str">
        <f>IF(AND(S_1!$G$8="ja",S_1!$K$8="ja"),S_1!$C$2,"")</f>
        <v/>
      </c>
      <c r="C11" s="1608" t="str">
        <f>IF(AND(S_1!$G$8="ja",S_1!$K$8="ja"),1,"")</f>
        <v/>
      </c>
      <c r="D11" s="1609" t="str">
        <f>IF(AND(S_1!$G$8="ja",S_1!$K$8="ja"),S_1!$B$14,"")</f>
        <v/>
      </c>
      <c r="E11" s="1618" t="str">
        <f>IF(AND(S_1!$G$8="ja",S_1!$K$8="ja"),S_1!$C$14,"")</f>
        <v/>
      </c>
      <c r="F11" s="1609" t="str">
        <f>IF(AND(S_1!$G$8="ja",S_1!$K$8="ja"),S_1!$D$14,"")</f>
        <v/>
      </c>
      <c r="G11" s="1608" t="str">
        <f>IF(AND(S_1!$G$8="ja",S_1!$K$8="ja"),S_1!$E$14,"")</f>
        <v/>
      </c>
      <c r="H11" s="1609" t="str">
        <f>IF(AND(S_1!$G$8="ja",S_1!$K$8="ja"),S_1!$F$14,"")</f>
        <v/>
      </c>
      <c r="I11" s="1608" t="str">
        <f>IF(AND(S_1!$G$8="ja",S_1!$K$8="ja"),S_1!$G$14,"")</f>
        <v/>
      </c>
      <c r="J11" s="1609" t="str">
        <f>IF(AND(S_1!$G$8="ja",S_1!$K$8="ja"),S_1!$H$14,"")</f>
        <v/>
      </c>
      <c r="K11" s="1608" t="str">
        <f>IF(AND(S_1!$G$8="ja",S_1!$K$8="ja"),S_1!$I$14,"")</f>
        <v/>
      </c>
      <c r="L11" s="1609" t="str">
        <f>IF(AND(S_1!$G$8="ja",S_1!$K$8="ja"),S_1!$J$14,"")</f>
        <v/>
      </c>
      <c r="M11" s="1608" t="str">
        <f>IF(AND(S_1!$G$8="ja",S_1!$K$8="ja"),S_1!$K$14,"")</f>
        <v/>
      </c>
      <c r="N11" s="1609" t="str">
        <f>IF(AND(S_1!$G$8="ja",S_1!$K$8="ja"),S_1!$L$14,"")</f>
        <v/>
      </c>
      <c r="O11" s="1608" t="str">
        <f>IF(AND(S_1!$G$8="ja",S_1!$K$8="ja"),S_1!$M$14,"")</f>
        <v/>
      </c>
      <c r="P11" s="1609" t="str">
        <f>IF(AND(S_1!$G$8="ja",S_1!$K$8="ja"),S_1!$N$14,"")</f>
        <v/>
      </c>
      <c r="Q11" s="1608" t="str">
        <f>IF(AND(S_1!$G$8="ja",S_1!$K$8="ja"),S_1!$O$14,"")</f>
        <v/>
      </c>
      <c r="R11" s="1609" t="str">
        <f>IF(AND(S_1!$G$8="ja",S_1!$K$8="ja"),S_1!$P$14,"")</f>
        <v/>
      </c>
      <c r="S11" s="1617" t="str">
        <f>IF(AND(S_1!$G$8="ja",S_1!$K$8="ja"),S_1!Q20,"")</f>
        <v/>
      </c>
      <c r="T11" s="1617" t="str">
        <f>IF(AND(S_1!$G$8="ja",S_1!$K$8="ja"),S_1!R20,"")</f>
        <v/>
      </c>
      <c r="U11" s="1617" t="str">
        <f>IF(AND(S_1!$G$8="ja",S_1!$K$8="ja"),S_1!$S$14,"")</f>
        <v/>
      </c>
    </row>
    <row r="12" spans="2:25" ht="15" customHeight="1">
      <c r="B12" s="1608" t="str">
        <f>IF(AND(S_1!$G$8="ja",S_1!$K$8="ja"),S_1!$C$2,"")</f>
        <v/>
      </c>
      <c r="C12" s="1608" t="str">
        <f>IF(AND(S_1!$G$8="ja",S_1!$K$8="ja"),2,"")</f>
        <v/>
      </c>
      <c r="D12" s="1609" t="str">
        <f>IF(AND(S_1!$G$8="ja",S_1!$K$8="ja"),S_1!$B$15,"")</f>
        <v/>
      </c>
      <c r="E12" s="1618" t="str">
        <f>IF(AND(S_1!$G$8="ja",S_1!$K$8="ja"),S_1!$C$15,"")</f>
        <v/>
      </c>
      <c r="F12" s="1609" t="str">
        <f>IF(AND(S_1!$G$8="ja",S_1!$K$8="ja"),S_1!$D$15,"")</f>
        <v/>
      </c>
      <c r="G12" s="1608" t="str">
        <f>IF(AND(S_1!$G$8="ja",S_1!$K$8="ja"),S_1!$E$15,"")</f>
        <v/>
      </c>
      <c r="H12" s="1609" t="str">
        <f>IF(AND(S_1!$G$8="ja",S_1!$K$8="ja"),S_1!$F$15,"")</f>
        <v/>
      </c>
      <c r="I12" s="1608" t="str">
        <f>IF(AND(S_1!$G$8="ja",S_1!$K$8="ja"),S_1!$G$15,"")</f>
        <v/>
      </c>
      <c r="J12" s="1609" t="str">
        <f>IF(AND(S_1!$G$8="ja",S_1!$K$8="ja"),S_1!$H$15,"")</f>
        <v/>
      </c>
      <c r="K12" s="1608" t="str">
        <f>IF(AND(S_1!$G$8="ja",S_1!$K$8="ja"),S_1!$I$15,"")</f>
        <v/>
      </c>
      <c r="L12" s="1609" t="str">
        <f>IF(AND(S_1!$G$8="ja",S_1!$K$8="ja"),S_1!$J$15,"")</f>
        <v/>
      </c>
      <c r="M12" s="1608" t="str">
        <f>IF(AND(S_1!$G$8="ja",S_1!$K$8="ja"),S_1!$K$15,"")</f>
        <v/>
      </c>
      <c r="N12" s="1609" t="str">
        <f>IF(AND(S_1!$G$8="ja",S_1!$K$8="ja"),S_1!$L$15,"")</f>
        <v/>
      </c>
      <c r="O12" s="1608" t="str">
        <f>IF(AND(S_1!$G$8="ja",S_1!$K$8="ja"),S_1!$M$15,"")</f>
        <v/>
      </c>
      <c r="P12" s="1609" t="str">
        <f>IF(AND(S_1!$G$8="ja",S_1!$K$8="ja"),S_1!$N$15,"")</f>
        <v/>
      </c>
      <c r="Q12" s="1608" t="str">
        <f>IF(AND(S_1!$G$8="ja",S_1!$K$8="ja"),S_1!$O$15,"")</f>
        <v/>
      </c>
      <c r="R12" s="1609" t="str">
        <f>IF(AND(S_1!$G$8="ja",S_1!$K$8="ja"),S_1!$P$15,"")</f>
        <v/>
      </c>
      <c r="S12" s="1617" t="str">
        <f>IF(AND(S_1!$G$8="ja",S_1!$K$8="ja"),S_1!Q21,"")</f>
        <v/>
      </c>
      <c r="T12" s="1617" t="str">
        <f>IF(AND(S_1!$G$8="ja",S_1!$K$8="ja"),S_1!R21,"")</f>
        <v/>
      </c>
      <c r="U12" s="1617" t="str">
        <f>IF(AND(S_1!$G$8="ja",S_1!$K$8="ja"),S_1!$S$15,"")</f>
        <v/>
      </c>
    </row>
    <row r="13" spans="2:25" ht="15" customHeight="1">
      <c r="B13" s="1608" t="str">
        <f>IF(AND(S_1!$G$8="ja",S_1!$K$8="nein"),S_1!$C$2,"")</f>
        <v/>
      </c>
      <c r="C13" s="1608" t="str">
        <f>IF(AND(S_1!$G$8="ja",S_1!$K$8="nein"),"","")</f>
        <v/>
      </c>
      <c r="D13" s="1609" t="str">
        <f>IF(AND(S_1!$G$8="ja",S_1!$K$8="nein"),S_1!$B$13,"")</f>
        <v/>
      </c>
      <c r="E13" s="1618" t="str">
        <f>IF(AND(S_1!$G$8="ja",S_1!$K$8="nein"),S_1!$C$13,"")</f>
        <v/>
      </c>
      <c r="F13" s="1609" t="str">
        <f>IF(AND(S_1!$G$8="ja",S_1!$K$8="nein"),S_1!$D$13,"")</f>
        <v/>
      </c>
      <c r="G13" s="1608" t="str">
        <f>IF(AND(S_1!$G$8="ja",S_1!$K$8="nein"),S_1!$E$13,"")</f>
        <v/>
      </c>
      <c r="H13" s="1609" t="str">
        <f>IF(AND(S_1!$G$8="ja",S_1!$K$8="nein"),S_1!$F$13,"")</f>
        <v/>
      </c>
      <c r="I13" s="1608" t="str">
        <f>IF(AND(S_1!$G$8="ja",S_1!$K$8="nein"),S_1!$G$13,"")</f>
        <v/>
      </c>
      <c r="J13" s="1609" t="str">
        <f>IF(AND(S_1!$G$8="ja",S_1!$K$8="nein"),S_1!$H$13,"")</f>
        <v/>
      </c>
      <c r="K13" s="1608" t="str">
        <f>IF(AND(S_1!$G$8="ja",S_1!$K$8="nein"),S_1!$I$13,"")</f>
        <v/>
      </c>
      <c r="L13" s="1609" t="str">
        <f>IF(AND(S_1!$G$8="ja",S_1!$K$8="nein"),S_1!$J$13,"")</f>
        <v/>
      </c>
      <c r="M13" s="1608" t="str">
        <f>IF(AND(S_1!$G$8="ja",S_1!$K$8="nein"),S_1!$K$13,"")</f>
        <v/>
      </c>
      <c r="N13" s="1609" t="str">
        <f>IF(AND(S_1!$G$8="ja",S_1!$K$8="nein"),S_1!$L$13,"")</f>
        <v/>
      </c>
      <c r="O13" s="1608" t="str">
        <f>IF(AND(S_1!$G$8="ja",S_1!$K$8="nein"),S_1!$M$13,"")</f>
        <v/>
      </c>
      <c r="P13" s="1609" t="str">
        <f>IF(AND(S_1!$G$8="ja",S_1!$K$8="nein"),S_1!$N$13,"")</f>
        <v/>
      </c>
      <c r="Q13" s="1608" t="str">
        <f>IF(AND(S_1!$G$8="ja",S_1!$K$8="nein"),S_1!$O$13,"")</f>
        <v/>
      </c>
      <c r="R13" s="1609" t="str">
        <f>IF(AND(S_1!$G$8="ja",S_1!$K$8="nein"),S_1!$P$13,"")</f>
        <v/>
      </c>
      <c r="S13" s="1617" t="str">
        <f>IF(AND(S_1!$G$8="ja",S_1!$K$8="nein"),S_1!Q22,"")</f>
        <v/>
      </c>
      <c r="T13" s="1617" t="str">
        <f>IF(AND(S_1!$G$8="ja",S_1!$K$8="nein"),S_1!R22,"")</f>
        <v/>
      </c>
      <c r="U13" s="1617" t="str">
        <f>IF(AND(S_1!$G$8="ja",S_1!$K$8="nein"),S_1!$S$13,"")</f>
        <v/>
      </c>
    </row>
    <row r="14" spans="2:25" ht="15" customHeight="1">
      <c r="B14" s="1608" t="str">
        <f>IF(AND(S_1!$G$8="ja",S_1!$K$8="ja"),S_1!$C$2,"")</f>
        <v/>
      </c>
      <c r="C14" s="1608" t="str">
        <f>IF(AND(S_1!$G$8="ja",S_1!$K$8="ja"),1,"")</f>
        <v/>
      </c>
      <c r="D14" s="1609" t="str">
        <f>IF(AND(S_1!$G$8="ja",S_1!$K$8="ja"),S_1!$B$14,"")</f>
        <v/>
      </c>
      <c r="E14" s="1618" t="str">
        <f>IF(AND(S_1!$G$8="ja",S_1!$K$8="ja"),S_1!$C$14,"")</f>
        <v/>
      </c>
      <c r="F14" s="1609" t="str">
        <f>IF(AND(S_1!$G$8="ja",S_1!$K$8="ja"),S_1!$D$14,"")</f>
        <v/>
      </c>
      <c r="G14" s="1608" t="str">
        <f>IF(AND(S_1!$G$8="ja",S_1!$K$8="ja"),S_1!$E$14,"")</f>
        <v/>
      </c>
      <c r="H14" s="1609" t="str">
        <f>IF(AND(S_1!$G$8="ja",S_1!$K$8="ja"),S_1!$F$14,"")</f>
        <v/>
      </c>
      <c r="I14" s="1608" t="str">
        <f>IF(AND(S_1!$G$8="ja",S_1!$K$8="ja"),S_1!$G$14,"")</f>
        <v/>
      </c>
      <c r="J14" s="1609" t="str">
        <f>IF(AND(S_1!$G$8="ja",S_1!$K$8="ja"),S_1!$H$14,"")</f>
        <v/>
      </c>
      <c r="K14" s="1608" t="str">
        <f>IF(AND(S_1!$G$8="ja",S_1!$K$8="ja"),S_1!$I$14,"")</f>
        <v/>
      </c>
      <c r="L14" s="1609" t="str">
        <f>IF(AND(S_1!$G$8="ja",S_1!$K$8="ja"),S_1!$J$14,"")</f>
        <v/>
      </c>
      <c r="M14" s="1608" t="str">
        <f>IF(AND(S_1!$G$8="ja",S_1!$K$8="ja"),S_1!$K$14,"")</f>
        <v/>
      </c>
      <c r="N14" s="1609" t="str">
        <f>IF(AND(S_1!$G$8="ja",S_1!$K$8="ja"),S_1!$L$14,"")</f>
        <v/>
      </c>
      <c r="O14" s="1608" t="str">
        <f>IF(AND(S_1!$G$8="ja",S_1!$K$8="ja"),S_1!$M$14,"")</f>
        <v/>
      </c>
      <c r="P14" s="1609" t="str">
        <f>IF(AND(S_1!$G$8="ja",S_1!$K$8="ja"),S_1!$N$14,"")</f>
        <v/>
      </c>
      <c r="Q14" s="1608" t="str">
        <f>IF(AND(S_1!$G$8="ja",S_1!$K$8="ja"),S_1!$O$14,"")</f>
        <v/>
      </c>
      <c r="R14" s="1609" t="str">
        <f>IF(AND(S_1!$G$8="ja",S_1!$K$8="ja"),S_1!$P$14,"")</f>
        <v/>
      </c>
      <c r="S14" s="1617" t="str">
        <f>IF(AND(S_1!$G$8="ja",S_1!$K$8="ja"),S_1!Q23,"")</f>
        <v/>
      </c>
      <c r="T14" s="1617" t="str">
        <f>IF(AND(S_1!$G$8="ja",S_1!$K$8="ja"),S_1!R23,"")</f>
        <v/>
      </c>
      <c r="U14" s="1617" t="str">
        <f>IF(AND(S_1!$G$8="ja",S_1!$K$8="ja"),S_1!$S$14,"")</f>
        <v/>
      </c>
    </row>
    <row r="15" spans="2:25" ht="15" customHeight="1">
      <c r="B15" s="1608" t="str">
        <f>IF(AND(S_1!$G$8="ja",S_1!$K$8="ja"),S_1!$C$2,"")</f>
        <v/>
      </c>
      <c r="C15" s="1608" t="str">
        <f>IF(AND(S_1!$G$8="ja",S_1!$K$8="ja"),2,"")</f>
        <v/>
      </c>
      <c r="D15" s="1609" t="str">
        <f>IF(AND(S_1!$G$8="ja",S_1!$K$8="ja"),S_1!$B$15,"")</f>
        <v/>
      </c>
      <c r="E15" s="1618" t="str">
        <f>IF(AND(S_1!$G$8="ja",S_1!$K$8="ja"),S_1!$C$15,"")</f>
        <v/>
      </c>
      <c r="F15" s="1609" t="str">
        <f>IF(AND(S_1!$G$8="ja",S_1!$K$8="ja"),S_1!$D$15,"")</f>
        <v/>
      </c>
      <c r="G15" s="1608" t="str">
        <f>IF(AND(S_1!$G$8="ja",S_1!$K$8="ja"),S_1!$E$15,"")</f>
        <v/>
      </c>
      <c r="H15" s="1609" t="str">
        <f>IF(AND(S_1!$G$8="ja",S_1!$K$8="ja"),S_1!$F$15,"")</f>
        <v/>
      </c>
      <c r="I15" s="1608" t="str">
        <f>IF(AND(S_1!$G$8="ja",S_1!$K$8="ja"),S_1!$G$15,"")</f>
        <v/>
      </c>
      <c r="J15" s="1609" t="str">
        <f>IF(AND(S_1!$G$8="ja",S_1!$K$8="ja"),S_1!$H$15,"")</f>
        <v/>
      </c>
      <c r="K15" s="1608" t="str">
        <f>IF(AND(S_1!$G$8="ja",S_1!$K$8="ja"),S_1!$I$15,"")</f>
        <v/>
      </c>
      <c r="L15" s="1609" t="str">
        <f>IF(AND(S_1!$G$8="ja",S_1!$K$8="ja"),S_1!$J$15,"")</f>
        <v/>
      </c>
      <c r="M15" s="1608" t="str">
        <f>IF(AND(S_1!$G$8="ja",S_1!$K$8="ja"),S_1!$K$15,"")</f>
        <v/>
      </c>
      <c r="N15" s="1609" t="str">
        <f>IF(AND(S_1!$G$8="ja",S_1!$K$8="ja"),S_1!$L$15,"")</f>
        <v/>
      </c>
      <c r="O15" s="1608" t="str">
        <f>IF(AND(S_1!$G$8="ja",S_1!$K$8="ja"),S_1!$M$15,"")</f>
        <v/>
      </c>
      <c r="P15" s="1609" t="str">
        <f>IF(AND(S_1!$G$8="ja",S_1!$K$8="ja"),S_1!$N$15,"")</f>
        <v/>
      </c>
      <c r="Q15" s="1608" t="str">
        <f>IF(AND(S_1!$G$8="ja",S_1!$K$8="ja"),S_1!$O$15,"")</f>
        <v/>
      </c>
      <c r="R15" s="1609" t="str">
        <f>IF(AND(S_1!$G$8="ja",S_1!$K$8="ja"),S_1!$P$15,"")</f>
        <v/>
      </c>
      <c r="S15" s="1617" t="str">
        <f>IF(AND(S_1!$G$8="ja",S_1!$K$8="ja"),S_1!Q24,"")</f>
        <v/>
      </c>
      <c r="T15" s="1617" t="str">
        <f>IF(AND(S_1!$G$8="ja",S_1!$K$8="ja"),S_1!R24,"")</f>
        <v/>
      </c>
      <c r="U15" s="1617" t="str">
        <f>IF(AND(S_1!$G$8="ja",S_1!$K$8="ja"),S_1!$S$15,"")</f>
        <v/>
      </c>
    </row>
    <row r="16" spans="2:25" ht="15" customHeight="1">
      <c r="B16" s="1608" t="str">
        <f>IF(AND(S_1!$G$8="ja",S_1!$K$8="nein"),S_1!$C$2,"")</f>
        <v/>
      </c>
      <c r="C16" s="1608" t="str">
        <f>IF(AND(S_1!$G$8="ja",S_1!$K$8="nein"),"","")</f>
        <v/>
      </c>
      <c r="D16" s="1609" t="str">
        <f>IF(AND(S_1!$G$8="ja",S_1!$K$8="nein"),S_1!$B$13,"")</f>
        <v/>
      </c>
      <c r="E16" s="1618" t="str">
        <f>IF(AND(S_1!$G$8="ja",S_1!$K$8="nein"),S_1!$C$13,"")</f>
        <v/>
      </c>
      <c r="F16" s="1609" t="str">
        <f>IF(AND(S_1!$G$8="ja",S_1!$K$8="nein"),S_1!$D$13,"")</f>
        <v/>
      </c>
      <c r="G16" s="1608" t="str">
        <f>IF(AND(S_1!$G$8="ja",S_1!$K$8="nein"),S_1!$E$13,"")</f>
        <v/>
      </c>
      <c r="H16" s="1609" t="str">
        <f>IF(AND(S_1!$G$8="ja",S_1!$K$8="nein"),S_1!$F$13,"")</f>
        <v/>
      </c>
      <c r="I16" s="1608" t="str">
        <f>IF(AND(S_1!$G$8="ja",S_1!$K$8="nein"),S_1!$G$13,"")</f>
        <v/>
      </c>
      <c r="J16" s="1609" t="str">
        <f>IF(AND(S_1!$G$8="ja",S_1!$K$8="nein"),S_1!$H$13,"")</f>
        <v/>
      </c>
      <c r="K16" s="1608" t="str">
        <f>IF(AND(S_1!$G$8="ja",S_1!$K$8="nein"),S_1!$I$13,"")</f>
        <v/>
      </c>
      <c r="L16" s="1609" t="str">
        <f>IF(AND(S_1!$G$8="ja",S_1!$K$8="nein"),S_1!$J$13,"")</f>
        <v/>
      </c>
      <c r="M16" s="1608" t="str">
        <f>IF(AND(S_1!$G$8="ja",S_1!$K$8="nein"),S_1!$K$13,"")</f>
        <v/>
      </c>
      <c r="N16" s="1609" t="str">
        <f>IF(AND(S_1!$G$8="ja",S_1!$K$8="nein"),S_1!$L$13,"")</f>
        <v/>
      </c>
      <c r="O16" s="1608" t="str">
        <f>IF(AND(S_1!$G$8="ja",S_1!$K$8="nein"),S_1!$M$13,"")</f>
        <v/>
      </c>
      <c r="P16" s="1609" t="str">
        <f>IF(AND(S_1!$G$8="ja",S_1!$K$8="nein"),S_1!$N$13,"")</f>
        <v/>
      </c>
      <c r="Q16" s="1608" t="str">
        <f>IF(AND(S_1!$G$8="ja",S_1!$K$8="nein"),S_1!$O$13,"")</f>
        <v/>
      </c>
      <c r="R16" s="1609" t="str">
        <f>IF(AND(S_1!$G$8="ja",S_1!$K$8="nein"),S_1!$P$13,"")</f>
        <v/>
      </c>
      <c r="S16" s="1617" t="str">
        <f>IF(AND(S_1!$G$8="ja",S_1!$K$8="nein"),S_1!Q25,"")</f>
        <v/>
      </c>
      <c r="T16" s="1617" t="str">
        <f>IF(AND(S_1!$G$8="ja",S_1!$K$8="nein"),S_1!R25,"")</f>
        <v/>
      </c>
      <c r="U16" s="1617" t="str">
        <f>IF(AND(S_1!$G$8="ja",S_1!$K$8="nein"),S_1!$S$13,"")</f>
        <v/>
      </c>
    </row>
    <row r="17" spans="2:21" ht="15" customHeight="1">
      <c r="B17" s="1608" t="str">
        <f>IF(AND(S_1!$G$8="ja",S_1!$K$8="ja"),S_1!$C$2,"")</f>
        <v/>
      </c>
      <c r="C17" s="1608" t="str">
        <f>IF(AND(S_1!$G$8="ja",S_1!$K$8="ja"),1,"")</f>
        <v/>
      </c>
      <c r="D17" s="1609" t="str">
        <f>IF(AND(S_1!$G$8="ja",S_1!$K$8="ja"),S_1!$B$14,"")</f>
        <v/>
      </c>
      <c r="E17" s="1618" t="str">
        <f>IF(AND(S_1!$G$8="ja",S_1!$K$8="ja"),S_1!$C$14,"")</f>
        <v/>
      </c>
      <c r="F17" s="1609" t="str">
        <f>IF(AND(S_1!$G$8="ja",S_1!$K$8="ja"),S_1!$D$14,"")</f>
        <v/>
      </c>
      <c r="G17" s="1608" t="str">
        <f>IF(AND(S_1!$G$8="ja",S_1!$K$8="ja"),S_1!$E$14,"")</f>
        <v/>
      </c>
      <c r="H17" s="1609" t="str">
        <f>IF(AND(S_1!$G$8="ja",S_1!$K$8="ja"),S_1!$F$14,"")</f>
        <v/>
      </c>
      <c r="I17" s="1608" t="str">
        <f>IF(AND(S_1!$G$8="ja",S_1!$K$8="ja"),S_1!$G$14,"")</f>
        <v/>
      </c>
      <c r="J17" s="1609" t="str">
        <f>IF(AND(S_1!$G$8="ja",S_1!$K$8="ja"),S_1!$H$14,"")</f>
        <v/>
      </c>
      <c r="K17" s="1608" t="str">
        <f>IF(AND(S_1!$G$8="ja",S_1!$K$8="ja"),S_1!$I$14,"")</f>
        <v/>
      </c>
      <c r="L17" s="1609" t="str">
        <f>IF(AND(S_1!$G$8="ja",S_1!$K$8="ja"),S_1!$J$14,"")</f>
        <v/>
      </c>
      <c r="M17" s="1608" t="str">
        <f>IF(AND(S_1!$G$8="ja",S_1!$K$8="ja"),S_1!$K$14,"")</f>
        <v/>
      </c>
      <c r="N17" s="1609" t="str">
        <f>IF(AND(S_1!$G$8="ja",S_1!$K$8="ja"),S_1!$L$14,"")</f>
        <v/>
      </c>
      <c r="O17" s="1608" t="str">
        <f>IF(AND(S_1!$G$8="ja",S_1!$K$8="ja"),S_1!$M$14,"")</f>
        <v/>
      </c>
      <c r="P17" s="1609" t="str">
        <f>IF(AND(S_1!$G$8="ja",S_1!$K$8="ja"),S_1!$N$14,"")</f>
        <v/>
      </c>
      <c r="Q17" s="1608" t="str">
        <f>IF(AND(S_1!$G$8="ja",S_1!$K$8="ja"),S_1!$O$14,"")</f>
        <v/>
      </c>
      <c r="R17" s="1609" t="str">
        <f>IF(AND(S_1!$G$8="ja",S_1!$K$8="ja"),S_1!$P$14,"")</f>
        <v/>
      </c>
      <c r="S17" s="1617" t="str">
        <f>IF(AND(S_1!$G$8="ja",S_1!$K$8="ja"),S_1!Q26,"")</f>
        <v/>
      </c>
      <c r="T17" s="1617" t="str">
        <f>IF(AND(S_1!$G$8="ja",S_1!$K$8="ja"),S_1!R26,"")</f>
        <v/>
      </c>
      <c r="U17" s="1617" t="str">
        <f>IF(AND(S_1!$G$8="ja",S_1!$K$8="ja"),S_1!$S$14,"")</f>
        <v/>
      </c>
    </row>
    <row r="18" spans="2:21" ht="15" customHeight="1">
      <c r="B18" s="1608" t="str">
        <f>IF(AND(S_1!$G$8="ja",S_1!$K$8="ja"),S_1!$C$2,"")</f>
        <v/>
      </c>
      <c r="C18" s="1608" t="str">
        <f>IF(AND(S_1!$G$8="ja",S_1!$K$8="ja"),2,"")</f>
        <v/>
      </c>
      <c r="D18" s="1609" t="str">
        <f>IF(AND(S_1!$G$8="ja",S_1!$K$8="ja"),S_1!$B$15,"")</f>
        <v/>
      </c>
      <c r="E18" s="1618" t="str">
        <f>IF(AND(S_1!$G$8="ja",S_1!$K$8="ja"),S_1!$C$15,"")</f>
        <v/>
      </c>
      <c r="F18" s="1609" t="str">
        <f>IF(AND(S_1!$G$8="ja",S_1!$K$8="ja"),S_1!$D$15,"")</f>
        <v/>
      </c>
      <c r="G18" s="1608" t="str">
        <f>IF(AND(S_1!$G$8="ja",S_1!$K$8="ja"),S_1!$E$15,"")</f>
        <v/>
      </c>
      <c r="H18" s="1609" t="str">
        <f>IF(AND(S_1!$G$8="ja",S_1!$K$8="ja"),S_1!$F$15,"")</f>
        <v/>
      </c>
      <c r="I18" s="1608" t="str">
        <f>IF(AND(S_1!$G$8="ja",S_1!$K$8="ja"),S_1!$G$15,"")</f>
        <v/>
      </c>
      <c r="J18" s="1609" t="str">
        <f>IF(AND(S_1!$G$8="ja",S_1!$K$8="ja"),S_1!$H$15,"")</f>
        <v/>
      </c>
      <c r="K18" s="1608" t="str">
        <f>IF(AND(S_1!$G$8="ja",S_1!$K$8="ja"),S_1!$I$15,"")</f>
        <v/>
      </c>
      <c r="L18" s="1609" t="str">
        <f>IF(AND(S_1!$G$8="ja",S_1!$K$8="ja"),S_1!$J$15,"")</f>
        <v/>
      </c>
      <c r="M18" s="1608" t="str">
        <f>IF(AND(S_1!$G$8="ja",S_1!$K$8="ja"),S_1!$K$15,"")</f>
        <v/>
      </c>
      <c r="N18" s="1609" t="str">
        <f>IF(AND(S_1!$G$8="ja",S_1!$K$8="ja"),S_1!$L$15,"")</f>
        <v/>
      </c>
      <c r="O18" s="1608" t="str">
        <f>IF(AND(S_1!$G$8="ja",S_1!$K$8="ja"),S_1!$M$15,"")</f>
        <v/>
      </c>
      <c r="P18" s="1609" t="str">
        <f>IF(AND(S_1!$G$8="ja",S_1!$K$8="ja"),S_1!$N$15,"")</f>
        <v/>
      </c>
      <c r="Q18" s="1608" t="str">
        <f>IF(AND(S_1!$G$8="ja",S_1!$K$8="ja"),S_1!$O$15,"")</f>
        <v/>
      </c>
      <c r="R18" s="1609" t="str">
        <f>IF(AND(S_1!$G$8="ja",S_1!$K$8="ja"),S_1!$P$15,"")</f>
        <v/>
      </c>
      <c r="S18" s="1617" t="str">
        <f>IF(AND(S_1!$G$8="ja",S_1!$K$8="ja"),S_1!Q27,"")</f>
        <v/>
      </c>
      <c r="T18" s="1617" t="str">
        <f>IF(AND(S_1!$G$8="ja",S_1!$K$8="ja"),S_1!R27,"")</f>
        <v/>
      </c>
      <c r="U18" s="1617" t="str">
        <f>IF(AND(S_1!$G$8="ja",S_1!$K$8="ja"),S_1!$S$15,"")</f>
        <v/>
      </c>
    </row>
    <row r="19" spans="2:21" ht="15" customHeight="1">
      <c r="B19" s="1608" t="str">
        <f>IF(AND(S_1!$G$8="ja",S_1!$K$8="nein"),S_1!$C$2,"")</f>
        <v/>
      </c>
      <c r="C19" s="1608" t="str">
        <f>IF(AND(S_1!$G$8="ja",S_1!$K$8="nein"),"","")</f>
        <v/>
      </c>
      <c r="D19" s="1609" t="str">
        <f>IF(AND(S_1!$G$8="ja",S_1!$K$8="nein"),S_1!$B$13,"")</f>
        <v/>
      </c>
      <c r="E19" s="1618" t="str">
        <f>IF(AND(S_1!$G$8="ja",S_1!$K$8="nein"),S_1!$C$13,"")</f>
        <v/>
      </c>
      <c r="F19" s="1609" t="str">
        <f>IF(AND(S_1!$G$8="ja",S_1!$K$8="nein"),S_1!$D$13,"")</f>
        <v/>
      </c>
      <c r="G19" s="1608" t="str">
        <f>IF(AND(S_1!$G$8="ja",S_1!$K$8="nein"),S_1!$E$13,"")</f>
        <v/>
      </c>
      <c r="H19" s="1609" t="str">
        <f>IF(AND(S_1!$G$8="ja",S_1!$K$8="nein"),S_1!$F$13,"")</f>
        <v/>
      </c>
      <c r="I19" s="1608" t="str">
        <f>IF(AND(S_1!$G$8="ja",S_1!$K$8="nein"),S_1!$G$13,"")</f>
        <v/>
      </c>
      <c r="J19" s="1609" t="str">
        <f>IF(AND(S_1!$G$8="ja",S_1!$K$8="nein"),S_1!$H$13,"")</f>
        <v/>
      </c>
      <c r="K19" s="1608" t="str">
        <f>IF(AND(S_1!$G$8="ja",S_1!$K$8="nein"),S_1!$I$13,"")</f>
        <v/>
      </c>
      <c r="L19" s="1609" t="str">
        <f>IF(AND(S_1!$G$8="ja",S_1!$K$8="nein"),S_1!$J$13,"")</f>
        <v/>
      </c>
      <c r="M19" s="1608" t="str">
        <f>IF(AND(S_1!$G$8="ja",S_1!$K$8="nein"),S_1!$K$13,"")</f>
        <v/>
      </c>
      <c r="N19" s="1609" t="str">
        <f>IF(AND(S_1!$G$8="ja",S_1!$K$8="nein"),S_1!$L$13,"")</f>
        <v/>
      </c>
      <c r="O19" s="1608" t="str">
        <f>IF(AND(S_1!$G$8="ja",S_1!$K$8="nein"),S_1!$M$13,"")</f>
        <v/>
      </c>
      <c r="P19" s="1609" t="str">
        <f>IF(AND(S_1!$G$8="ja",S_1!$K$8="nein"),S_1!$N$13,"")</f>
        <v/>
      </c>
      <c r="Q19" s="1608" t="str">
        <f>IF(AND(S_1!$G$8="ja",S_1!$K$8="nein"),S_1!$O$13,"")</f>
        <v/>
      </c>
      <c r="R19" s="1609" t="str">
        <f>IF(AND(S_1!$G$8="ja",S_1!$K$8="nein"),S_1!$P$13,"")</f>
        <v/>
      </c>
      <c r="S19" s="1617" t="str">
        <f>IF(AND(S_1!$G$8="ja",S_1!$K$8="nein"),S_1!Q28,"")</f>
        <v/>
      </c>
      <c r="T19" s="1617" t="str">
        <f>IF(AND(S_1!$G$8="ja",S_1!$K$8="nein"),S_1!R28,"")</f>
        <v/>
      </c>
      <c r="U19" s="1617" t="str">
        <f>IF(AND(S_1!$G$8="ja",S_1!$K$8="nein"),S_1!$S$13,"")</f>
        <v/>
      </c>
    </row>
    <row r="20" spans="2:21" ht="15" customHeight="1">
      <c r="B20" s="1608" t="str">
        <f>IF(AND(S_1!$G$8="ja",S_1!$K$8="ja"),S_1!$C$2,"")</f>
        <v/>
      </c>
      <c r="C20" s="1608" t="str">
        <f>IF(AND(S_1!$G$8="ja",S_1!$K$8="ja"),1,"")</f>
        <v/>
      </c>
      <c r="D20" s="1609" t="str">
        <f>IF(AND(S_1!$G$8="ja",S_1!$K$8="ja"),S_1!$B$14,"")</f>
        <v/>
      </c>
      <c r="E20" s="1618" t="str">
        <f>IF(AND(S_1!$G$8="ja",S_1!$K$8="ja"),S_1!$C$14,"")</f>
        <v/>
      </c>
      <c r="F20" s="1609" t="str">
        <f>IF(AND(S_1!$G$8="ja",S_1!$K$8="ja"),S_1!$D$14,"")</f>
        <v/>
      </c>
      <c r="G20" s="1608" t="str">
        <f>IF(AND(S_1!$G$8="ja",S_1!$K$8="ja"),S_1!$E$14,"")</f>
        <v/>
      </c>
      <c r="H20" s="1609" t="str">
        <f>IF(AND(S_1!$G$8="ja",S_1!$K$8="ja"),S_1!$F$14,"")</f>
        <v/>
      </c>
      <c r="I20" s="1608" t="str">
        <f>IF(AND(S_1!$G$8="ja",S_1!$K$8="ja"),S_1!$G$14,"")</f>
        <v/>
      </c>
      <c r="J20" s="1609" t="str">
        <f>IF(AND(S_1!$G$8="ja",S_1!$K$8="ja"),S_1!$H$14,"")</f>
        <v/>
      </c>
      <c r="K20" s="1608" t="str">
        <f>IF(AND(S_1!$G$8="ja",S_1!$K$8="ja"),S_1!$I$14,"")</f>
        <v/>
      </c>
      <c r="L20" s="1609" t="str">
        <f>IF(AND(S_1!$G$8="ja",S_1!$K$8="ja"),S_1!$J$14,"")</f>
        <v/>
      </c>
      <c r="M20" s="1608" t="str">
        <f>IF(AND(S_1!$G$8="ja",S_1!$K$8="ja"),S_1!$K$14,"")</f>
        <v/>
      </c>
      <c r="N20" s="1609" t="str">
        <f>IF(AND(S_1!$G$8="ja",S_1!$K$8="ja"),S_1!$L$14,"")</f>
        <v/>
      </c>
      <c r="O20" s="1608" t="str">
        <f>IF(AND(S_1!$G$8="ja",S_1!$K$8="ja"),S_1!$M$14,"")</f>
        <v/>
      </c>
      <c r="P20" s="1609" t="str">
        <f>IF(AND(S_1!$G$8="ja",S_1!$K$8="ja"),S_1!$N$14,"")</f>
        <v/>
      </c>
      <c r="Q20" s="1608" t="str">
        <f>IF(AND(S_1!$G$8="ja",S_1!$K$8="ja"),S_1!$O$14,"")</f>
        <v/>
      </c>
      <c r="R20" s="1609" t="str">
        <f>IF(AND(S_1!$G$8="ja",S_1!$K$8="ja"),S_1!$P$14,"")</f>
        <v/>
      </c>
      <c r="S20" s="1617" t="str">
        <f>IF(AND(S_1!$G$8="ja",S_1!$K$8="ja"),S_1!Q29,"")</f>
        <v/>
      </c>
      <c r="T20" s="1617" t="str">
        <f>IF(AND(S_1!$G$8="ja",S_1!$K$8="ja"),S_1!R29,"")</f>
        <v/>
      </c>
      <c r="U20" s="1617" t="str">
        <f>IF(AND(S_1!$G$8="ja",S_1!$K$8="ja"),S_1!$S$14,"")</f>
        <v/>
      </c>
    </row>
    <row r="21" spans="2:21" ht="15" customHeight="1">
      <c r="B21" s="1608" t="str">
        <f>IF(AND(S_1!$G$8="ja",S_1!$K$8="ja"),S_1!$C$2,"")</f>
        <v/>
      </c>
      <c r="C21" s="1608" t="str">
        <f>IF(AND(S_1!$G$8="ja",S_1!$K$8="ja"),2,"")</f>
        <v/>
      </c>
      <c r="D21" s="1609" t="str">
        <f>IF(AND(S_1!$G$8="ja",S_1!$K$8="ja"),S_1!$B$15,"")</f>
        <v/>
      </c>
      <c r="E21" s="1618" t="str">
        <f>IF(AND(S_1!$G$8="ja",S_1!$K$8="ja"),S_1!$C$15,"")</f>
        <v/>
      </c>
      <c r="F21" s="1609" t="str">
        <f>IF(AND(S_1!$G$8="ja",S_1!$K$8="ja"),S_1!$D$15,"")</f>
        <v/>
      </c>
      <c r="G21" s="1608" t="str">
        <f>IF(AND(S_1!$G$8="ja",S_1!$K$8="ja"),S_1!$E$15,"")</f>
        <v/>
      </c>
      <c r="H21" s="1609" t="str">
        <f>IF(AND(S_1!$G$8="ja",S_1!$K$8="ja"),S_1!$F$15,"")</f>
        <v/>
      </c>
      <c r="I21" s="1608" t="str">
        <f>IF(AND(S_1!$G$8="ja",S_1!$K$8="ja"),S_1!$G$15,"")</f>
        <v/>
      </c>
      <c r="J21" s="1609" t="str">
        <f>IF(AND(S_1!$G$8="ja",S_1!$K$8="ja"),S_1!$H$15,"")</f>
        <v/>
      </c>
      <c r="K21" s="1608" t="str">
        <f>IF(AND(S_1!$G$8="ja",S_1!$K$8="ja"),S_1!$I$15,"")</f>
        <v/>
      </c>
      <c r="L21" s="1609" t="str">
        <f>IF(AND(S_1!$G$8="ja",S_1!$K$8="ja"),S_1!$J$15,"")</f>
        <v/>
      </c>
      <c r="M21" s="1608" t="str">
        <f>IF(AND(S_1!$G$8="ja",S_1!$K$8="ja"),S_1!$K$15,"")</f>
        <v/>
      </c>
      <c r="N21" s="1609" t="str">
        <f>IF(AND(S_1!$G$8="ja",S_1!$K$8="ja"),S_1!$L$15,"")</f>
        <v/>
      </c>
      <c r="O21" s="1608" t="str">
        <f>IF(AND(S_1!$G$8="ja",S_1!$K$8="ja"),S_1!$M$15,"")</f>
        <v/>
      </c>
      <c r="P21" s="1609" t="str">
        <f>IF(AND(S_1!$G$8="ja",S_1!$K$8="ja"),S_1!$N$15,"")</f>
        <v/>
      </c>
      <c r="Q21" s="1608" t="str">
        <f>IF(AND(S_1!$G$8="ja",S_1!$K$8="ja"),S_1!$O$15,"")</f>
        <v/>
      </c>
      <c r="R21" s="1609" t="str">
        <f>IF(AND(S_1!$G$8="ja",S_1!$K$8="ja"),S_1!$P$15,"")</f>
        <v/>
      </c>
      <c r="S21" s="1617" t="str">
        <f>IF(AND(S_1!$G$8="ja",S_1!$K$8="ja"),S_1!Q30,"")</f>
        <v/>
      </c>
      <c r="T21" s="1617" t="str">
        <f>IF(AND(S_1!$G$8="ja",S_1!$K$8="ja"),S_1!R30,"")</f>
        <v/>
      </c>
      <c r="U21" s="1617" t="str">
        <f>IF(AND(S_1!$G$8="ja",S_1!$K$8="ja"),S_1!$S$15,"")</f>
        <v/>
      </c>
    </row>
    <row r="22" spans="2:21" ht="15" customHeight="1">
      <c r="B22" s="1608" t="str">
        <f>IF(AND(S_1!$G$8="ja",S_1!$K$8="nein"),S_1!$C$2,"")</f>
        <v/>
      </c>
      <c r="C22" s="1608" t="str">
        <f>IF(AND(S_1!$G$8="ja",S_1!$K$8="nein"),"","")</f>
        <v/>
      </c>
      <c r="D22" s="1609" t="str">
        <f>IF(AND(S_1!$G$8="ja",S_1!$K$8="nein"),S_1!$B$13,"")</f>
        <v/>
      </c>
      <c r="E22" s="1618" t="str">
        <f>IF(AND(S_1!$G$8="ja",S_1!$K$8="nein"),S_1!$C$13,"")</f>
        <v/>
      </c>
      <c r="F22" s="1609" t="str">
        <f>IF(AND(S_1!$G$8="ja",S_1!$K$8="nein"),S_1!$D$13,"")</f>
        <v/>
      </c>
      <c r="G22" s="1608" t="str">
        <f>IF(AND(S_1!$G$8="ja",S_1!$K$8="nein"),S_1!$E$13,"")</f>
        <v/>
      </c>
      <c r="H22" s="1609" t="str">
        <f>IF(AND(S_1!$G$8="ja",S_1!$K$8="nein"),S_1!$F$13,"")</f>
        <v/>
      </c>
      <c r="I22" s="1608" t="str">
        <f>IF(AND(S_1!$G$8="ja",S_1!$K$8="nein"),S_1!$G$13,"")</f>
        <v/>
      </c>
      <c r="J22" s="1609" t="str">
        <f>IF(AND(S_1!$G$8="ja",S_1!$K$8="nein"),S_1!$H$13,"")</f>
        <v/>
      </c>
      <c r="K22" s="1608" t="str">
        <f>IF(AND(S_1!$G$8="ja",S_1!$K$8="nein"),S_1!$I$13,"")</f>
        <v/>
      </c>
      <c r="L22" s="1609" t="str">
        <f>IF(AND(S_1!$G$8="ja",S_1!$K$8="nein"),S_1!$J$13,"")</f>
        <v/>
      </c>
      <c r="M22" s="1608" t="str">
        <f>IF(AND(S_1!$G$8="ja",S_1!$K$8="nein"),S_1!$K$13,"")</f>
        <v/>
      </c>
      <c r="N22" s="1609" t="str">
        <f>IF(AND(S_1!$G$8="ja",S_1!$K$8="nein"),S_1!$L$13,"")</f>
        <v/>
      </c>
      <c r="O22" s="1608" t="str">
        <f>IF(AND(S_1!$G$8="ja",S_1!$K$8="nein"),S_1!$M$13,"")</f>
        <v/>
      </c>
      <c r="P22" s="1609" t="str">
        <f>IF(AND(S_1!$G$8="ja",S_1!$K$8="nein"),S_1!$N$13,"")</f>
        <v/>
      </c>
      <c r="Q22" s="1608" t="str">
        <f>IF(AND(S_1!$G$8="ja",S_1!$K$8="nein"),S_1!$O$13,"")</f>
        <v/>
      </c>
      <c r="R22" s="1609" t="str">
        <f>IF(AND(S_1!$G$8="ja",S_1!$K$8="nein"),S_1!$P$13,"")</f>
        <v/>
      </c>
      <c r="S22" s="1617" t="str">
        <f>IF(AND(S_1!$G$8="ja",S_1!$K$8="nein"),S_1!Q31,"")</f>
        <v/>
      </c>
      <c r="T22" s="1617" t="str">
        <f>IF(AND(S_1!$G$8="ja",S_1!$K$8="nein"),S_1!R31,"")</f>
        <v/>
      </c>
      <c r="U22" s="1617" t="str">
        <f>IF(AND(S_1!$G$8="ja",S_1!$K$8="nein"),S_1!$S$13,"")</f>
        <v/>
      </c>
    </row>
    <row r="23" spans="2:21" ht="15" customHeight="1">
      <c r="B23" s="1608" t="str">
        <f>IF(AND(S_1!$G$8="ja",S_1!$K$8="ja"),S_1!$C$2,"")</f>
        <v/>
      </c>
      <c r="C23" s="1608" t="str">
        <f>IF(AND(S_1!$G$8="ja",S_1!$K$8="ja"),1,"")</f>
        <v/>
      </c>
      <c r="D23" s="1609" t="str">
        <f>IF(AND(S_1!$G$8="ja",S_1!$K$8="ja"),S_1!$B$14,"")</f>
        <v/>
      </c>
      <c r="E23" s="1618" t="str">
        <f>IF(AND(S_1!$G$8="ja",S_1!$K$8="ja"),S_1!$C$14,"")</f>
        <v/>
      </c>
      <c r="F23" s="1609" t="str">
        <f>IF(AND(S_1!$G$8="ja",S_1!$K$8="ja"),S_1!$D$14,"")</f>
        <v/>
      </c>
      <c r="G23" s="1608" t="str">
        <f>IF(AND(S_1!$G$8="ja",S_1!$K$8="ja"),S_1!$E$14,"")</f>
        <v/>
      </c>
      <c r="H23" s="1609" t="str">
        <f>IF(AND(S_1!$G$8="ja",S_1!$K$8="ja"),S_1!$F$14,"")</f>
        <v/>
      </c>
      <c r="I23" s="1608" t="str">
        <f>IF(AND(S_1!$G$8="ja",S_1!$K$8="ja"),S_1!$G$14,"")</f>
        <v/>
      </c>
      <c r="J23" s="1609" t="str">
        <f>IF(AND(S_1!$G$8="ja",S_1!$K$8="ja"),S_1!$H$14,"")</f>
        <v/>
      </c>
      <c r="K23" s="1608" t="str">
        <f>IF(AND(S_1!$G$8="ja",S_1!$K$8="ja"),S_1!$I$14,"")</f>
        <v/>
      </c>
      <c r="L23" s="1609" t="str">
        <f>IF(AND(S_1!$G$8="ja",S_1!$K$8="ja"),S_1!$J$14,"")</f>
        <v/>
      </c>
      <c r="M23" s="1608" t="str">
        <f>IF(AND(S_1!$G$8="ja",S_1!$K$8="ja"),S_1!$K$14,"")</f>
        <v/>
      </c>
      <c r="N23" s="1609" t="str">
        <f>IF(AND(S_1!$G$8="ja",S_1!$K$8="ja"),S_1!$L$14,"")</f>
        <v/>
      </c>
      <c r="O23" s="1608" t="str">
        <f>IF(AND(S_1!$G$8="ja",S_1!$K$8="ja"),S_1!$M$14,"")</f>
        <v/>
      </c>
      <c r="P23" s="1609" t="str">
        <f>IF(AND(S_1!$G$8="ja",S_1!$K$8="ja"),S_1!$N$14,"")</f>
        <v/>
      </c>
      <c r="Q23" s="1608" t="str">
        <f>IF(AND(S_1!$G$8="ja",S_1!$K$8="ja"),S_1!$O$14,"")</f>
        <v/>
      </c>
      <c r="R23" s="1609" t="str">
        <f>IF(AND(S_1!$G$8="ja",S_1!$K$8="ja"),S_1!$P$14,"")</f>
        <v/>
      </c>
      <c r="S23" s="1617" t="str">
        <f>IF(AND(S_1!$G$8="ja",S_1!$K$8="ja"),S_1!Q32,"")</f>
        <v/>
      </c>
      <c r="T23" s="1617" t="str">
        <f>IF(AND(S_1!$G$8="ja",S_1!$K$8="ja"),S_1!R32,"")</f>
        <v/>
      </c>
      <c r="U23" s="1617" t="str">
        <f>IF(AND(S_1!$G$8="ja",S_1!$K$8="ja"),S_1!$S$14,"")</f>
        <v/>
      </c>
    </row>
    <row r="24" spans="2:21" ht="15" customHeight="1">
      <c r="B24" s="1608" t="str">
        <f>IF(AND(S_1!$G$8="ja",S_1!$K$8="ja"),S_1!$C$2,"")</f>
        <v/>
      </c>
      <c r="C24" s="1608" t="str">
        <f>IF(AND(S_1!$G$8="ja",S_1!$K$8="ja"),2,"")</f>
        <v/>
      </c>
      <c r="D24" s="1609" t="str">
        <f>IF(AND(S_1!$G$8="ja",S_1!$K$8="ja"),S_1!$B$15,"")</f>
        <v/>
      </c>
      <c r="E24" s="1618" t="str">
        <f>IF(AND(S_1!$G$8="ja",S_1!$K$8="ja"),S_1!$C$15,"")</f>
        <v/>
      </c>
      <c r="F24" s="1609" t="str">
        <f>IF(AND(S_1!$G$8="ja",S_1!$K$8="ja"),S_1!$D$15,"")</f>
        <v/>
      </c>
      <c r="G24" s="1608" t="str">
        <f>IF(AND(S_1!$G$8="ja",S_1!$K$8="ja"),S_1!$E$15,"")</f>
        <v/>
      </c>
      <c r="H24" s="1609" t="str">
        <f>IF(AND(S_1!$G$8="ja",S_1!$K$8="ja"),S_1!$F$15,"")</f>
        <v/>
      </c>
      <c r="I24" s="1608" t="str">
        <f>IF(AND(S_1!$G$8="ja",S_1!$K$8="ja"),S_1!$G$15,"")</f>
        <v/>
      </c>
      <c r="J24" s="1609" t="str">
        <f>IF(AND(S_1!$G$8="ja",S_1!$K$8="ja"),S_1!$H$15,"")</f>
        <v/>
      </c>
      <c r="K24" s="1608" t="str">
        <f>IF(AND(S_1!$G$8="ja",S_1!$K$8="ja"),S_1!$I$15,"")</f>
        <v/>
      </c>
      <c r="L24" s="1609" t="str">
        <f>IF(AND(S_1!$G$8="ja",S_1!$K$8="ja"),S_1!$J$15,"")</f>
        <v/>
      </c>
      <c r="M24" s="1608" t="str">
        <f>IF(AND(S_1!$G$8="ja",S_1!$K$8="ja"),S_1!$K$15,"")</f>
        <v/>
      </c>
      <c r="N24" s="1609" t="str">
        <f>IF(AND(S_1!$G$8="ja",S_1!$K$8="ja"),S_1!$L$15,"")</f>
        <v/>
      </c>
      <c r="O24" s="1608" t="str">
        <f>IF(AND(S_1!$G$8="ja",S_1!$K$8="ja"),S_1!$M$15,"")</f>
        <v/>
      </c>
      <c r="P24" s="1609" t="str">
        <f>IF(AND(S_1!$G$8="ja",S_1!$K$8="ja"),S_1!$N$15,"")</f>
        <v/>
      </c>
      <c r="Q24" s="1608" t="str">
        <f>IF(AND(S_1!$G$8="ja",S_1!$K$8="ja"),S_1!$O$15,"")</f>
        <v/>
      </c>
      <c r="R24" s="1609" t="str">
        <f>IF(AND(S_1!$G$8="ja",S_1!$K$8="ja"),S_1!$P$15,"")</f>
        <v/>
      </c>
      <c r="S24" s="1617" t="str">
        <f>IF(AND(S_1!$G$8="ja",S_1!$K$8="ja"),S_1!Q33,"")</f>
        <v/>
      </c>
      <c r="T24" s="1617" t="str">
        <f>IF(AND(S_1!$G$8="ja",S_1!$K$8="ja"),S_1!R33,"")</f>
        <v/>
      </c>
      <c r="U24" s="1617" t="str">
        <f>IF(AND(S_1!$G$8="ja",S_1!$K$8="ja"),S_1!$S$15,"")</f>
        <v/>
      </c>
    </row>
    <row r="25" spans="2:21" ht="15" customHeight="1">
      <c r="B25" s="1608" t="str">
        <f>IF(AND(S_1!$G$8="ja",S_1!$K$8="nein"),S_1!$C$2,"")</f>
        <v/>
      </c>
      <c r="C25" s="1608" t="str">
        <f>IF(AND(S_1!$G$8="ja",S_1!$K$8="nein"),"","")</f>
        <v/>
      </c>
      <c r="D25" s="1609" t="str">
        <f>IF(AND(S_1!$G$8="ja",S_1!$K$8="nein"),S_1!$B$13,"")</f>
        <v/>
      </c>
      <c r="E25" s="1618" t="str">
        <f>IF(AND(S_1!$G$8="ja",S_1!$K$8="nein"),S_1!$C$13,"")</f>
        <v/>
      </c>
      <c r="F25" s="1609" t="str">
        <f>IF(AND(S_1!$G$8="ja",S_1!$K$8="nein"),S_1!$D$13,"")</f>
        <v/>
      </c>
      <c r="G25" s="1608" t="str">
        <f>IF(AND(S_1!$G$8="ja",S_1!$K$8="nein"),S_1!$E$13,"")</f>
        <v/>
      </c>
      <c r="H25" s="1609" t="str">
        <f>IF(AND(S_1!$G$8="ja",S_1!$K$8="nein"),S_1!$F$13,"")</f>
        <v/>
      </c>
      <c r="I25" s="1608" t="str">
        <f>IF(AND(S_1!$G$8="ja",S_1!$K$8="nein"),S_1!$G$13,"")</f>
        <v/>
      </c>
      <c r="J25" s="1609" t="str">
        <f>IF(AND(S_1!$G$8="ja",S_1!$K$8="nein"),S_1!$H$13,"")</f>
        <v/>
      </c>
      <c r="K25" s="1608" t="str">
        <f>IF(AND(S_1!$G$8="ja",S_1!$K$8="nein"),S_1!$I$13,"")</f>
        <v/>
      </c>
      <c r="L25" s="1609" t="str">
        <f>IF(AND(S_1!$G$8="ja",S_1!$K$8="nein"),S_1!$J$13,"")</f>
        <v/>
      </c>
      <c r="M25" s="1608" t="str">
        <f>IF(AND(S_1!$G$8="ja",S_1!$K$8="nein"),S_1!$K$13,"")</f>
        <v/>
      </c>
      <c r="N25" s="1609" t="str">
        <f>IF(AND(S_1!$G$8="ja",S_1!$K$8="nein"),S_1!$L$13,"")</f>
        <v/>
      </c>
      <c r="O25" s="1608" t="str">
        <f>IF(AND(S_1!$G$8="ja",S_1!$K$8="nein"),S_1!$M$13,"")</f>
        <v/>
      </c>
      <c r="P25" s="1609" t="str">
        <f>IF(AND(S_1!$G$8="ja",S_1!$K$8="nein"),S_1!$N$13,"")</f>
        <v/>
      </c>
      <c r="Q25" s="1608" t="str">
        <f>IF(AND(S_1!$G$8="ja",S_1!$K$8="nein"),S_1!$O$13,"")</f>
        <v/>
      </c>
      <c r="R25" s="1609" t="str">
        <f>IF(AND(S_1!$G$8="ja",S_1!$K$8="nein"),S_1!$P$13,"")</f>
        <v/>
      </c>
      <c r="S25" s="1617" t="str">
        <f>IF(AND(S_1!$G$8="ja",S_1!$K$8="nein"),S_1!Q34,"")</f>
        <v/>
      </c>
      <c r="T25" s="1617" t="str">
        <f>IF(AND(S_1!$G$8="ja",S_1!$K$8="nein"),S_1!R34,"")</f>
        <v/>
      </c>
      <c r="U25" s="1617" t="str">
        <f>IF(AND(S_1!$G$8="ja",S_1!$K$8="nein"),S_1!$S$13,"")</f>
        <v/>
      </c>
    </row>
    <row r="26" spans="2:21" ht="15" customHeight="1">
      <c r="B26" s="1608" t="str">
        <f>IF(AND(S_1!$G$8="ja",S_1!$K$8="ja"),S_1!$C$2,"")</f>
        <v/>
      </c>
      <c r="C26" s="1608" t="str">
        <f>IF(AND(S_1!$G$8="ja",S_1!$K$8="ja"),1,"")</f>
        <v/>
      </c>
      <c r="D26" s="1609" t="str">
        <f>IF(AND(S_1!$G$8="ja",S_1!$K$8="ja"),S_1!$B$14,"")</f>
        <v/>
      </c>
      <c r="E26" s="1618" t="str">
        <f>IF(AND(S_1!$G$8="ja",S_1!$K$8="ja"),S_1!$C$14,"")</f>
        <v/>
      </c>
      <c r="F26" s="1609" t="str">
        <f>IF(AND(S_1!$G$8="ja",S_1!$K$8="ja"),S_1!$D$14,"")</f>
        <v/>
      </c>
      <c r="G26" s="1608" t="str">
        <f>IF(AND(S_1!$G$8="ja",S_1!$K$8="ja"),S_1!$E$14,"")</f>
        <v/>
      </c>
      <c r="H26" s="1609" t="str">
        <f>IF(AND(S_1!$G$8="ja",S_1!$K$8="ja"),S_1!$F$14,"")</f>
        <v/>
      </c>
      <c r="I26" s="1608" t="str">
        <f>IF(AND(S_1!$G$8="ja",S_1!$K$8="ja"),S_1!$G$14,"")</f>
        <v/>
      </c>
      <c r="J26" s="1609" t="str">
        <f>IF(AND(S_1!$G$8="ja",S_1!$K$8="ja"),S_1!$H$14,"")</f>
        <v/>
      </c>
      <c r="K26" s="1608" t="str">
        <f>IF(AND(S_1!$G$8="ja",S_1!$K$8="ja"),S_1!$I$14,"")</f>
        <v/>
      </c>
      <c r="L26" s="1609" t="str">
        <f>IF(AND(S_1!$G$8="ja",S_1!$K$8="ja"),S_1!$J$14,"")</f>
        <v/>
      </c>
      <c r="M26" s="1608" t="str">
        <f>IF(AND(S_1!$G$8="ja",S_1!$K$8="ja"),S_1!$K$14,"")</f>
        <v/>
      </c>
      <c r="N26" s="1609" t="str">
        <f>IF(AND(S_1!$G$8="ja",S_1!$K$8="ja"),S_1!$L$14,"")</f>
        <v/>
      </c>
      <c r="O26" s="1608" t="str">
        <f>IF(AND(S_1!$G$8="ja",S_1!$K$8="ja"),S_1!$M$14,"")</f>
        <v/>
      </c>
      <c r="P26" s="1609" t="str">
        <f>IF(AND(S_1!$G$8="ja",S_1!$K$8="ja"),S_1!$N$14,"")</f>
        <v/>
      </c>
      <c r="Q26" s="1608" t="str">
        <f>IF(AND(S_1!$G$8="ja",S_1!$K$8="ja"),S_1!$O$14,"")</f>
        <v/>
      </c>
      <c r="R26" s="1609" t="str">
        <f>IF(AND(S_1!$G$8="ja",S_1!$K$8="ja"),S_1!$P$14,"")</f>
        <v/>
      </c>
      <c r="S26" s="1617" t="str">
        <f>IF(AND(S_1!$G$8="ja",S_1!$K$8="ja"),S_1!Q35,"")</f>
        <v/>
      </c>
      <c r="T26" s="1617" t="str">
        <f>IF(AND(S_1!$G$8="ja",S_1!$K$8="ja"),S_1!R35,"")</f>
        <v/>
      </c>
      <c r="U26" s="1617" t="str">
        <f>IF(AND(S_1!$G$8="ja",S_1!$K$8="ja"),S_1!$S$14,"")</f>
        <v/>
      </c>
    </row>
    <row r="27" spans="2:21" ht="15" customHeight="1">
      <c r="B27" s="1608" t="str">
        <f>IF(AND(S_1!$G$8="ja",S_1!$K$8="ja"),S_1!$C$2,"")</f>
        <v/>
      </c>
      <c r="C27" s="1608" t="str">
        <f>IF(AND(S_1!$G$8="ja",S_1!$K$8="ja"),2,"")</f>
        <v/>
      </c>
      <c r="D27" s="1609" t="str">
        <f>IF(AND(S_1!$G$8="ja",S_1!$K$8="ja"),S_1!$B$15,"")</f>
        <v/>
      </c>
      <c r="E27" s="1618" t="str">
        <f>IF(AND(S_1!$G$8="ja",S_1!$K$8="ja"),S_1!$C$15,"")</f>
        <v/>
      </c>
      <c r="F27" s="1609" t="str">
        <f>IF(AND(S_1!$G$8="ja",S_1!$K$8="ja"),S_1!$D$15,"")</f>
        <v/>
      </c>
      <c r="G27" s="1608" t="str">
        <f>IF(AND(S_1!$G$8="ja",S_1!$K$8="ja"),S_1!$E$15,"")</f>
        <v/>
      </c>
      <c r="H27" s="1609" t="str">
        <f>IF(AND(S_1!$G$8="ja",S_1!$K$8="ja"),S_1!$F$15,"")</f>
        <v/>
      </c>
      <c r="I27" s="1608" t="str">
        <f>IF(AND(S_1!$G$8="ja",S_1!$K$8="ja"),S_1!$G$15,"")</f>
        <v/>
      </c>
      <c r="J27" s="1609" t="str">
        <f>IF(AND(S_1!$G$8="ja",S_1!$K$8="ja"),S_1!$H$15,"")</f>
        <v/>
      </c>
      <c r="K27" s="1608" t="str">
        <f>IF(AND(S_1!$G$8="ja",S_1!$K$8="ja"),S_1!$I$15,"")</f>
        <v/>
      </c>
      <c r="L27" s="1609" t="str">
        <f>IF(AND(S_1!$G$8="ja",S_1!$K$8="ja"),S_1!$J$15,"")</f>
        <v/>
      </c>
      <c r="M27" s="1608" t="str">
        <f>IF(AND(S_1!$G$8="ja",S_1!$K$8="ja"),S_1!$K$15,"")</f>
        <v/>
      </c>
      <c r="N27" s="1609" t="str">
        <f>IF(AND(S_1!$G$8="ja",S_1!$K$8="ja"),S_1!$L$15,"")</f>
        <v/>
      </c>
      <c r="O27" s="1608" t="str">
        <f>IF(AND(S_1!$G$8="ja",S_1!$K$8="ja"),S_1!$M$15,"")</f>
        <v/>
      </c>
      <c r="P27" s="1609" t="str">
        <f>IF(AND(S_1!$G$8="ja",S_1!$K$8="ja"),S_1!$N$15,"")</f>
        <v/>
      </c>
      <c r="Q27" s="1608" t="str">
        <f>IF(AND(S_1!$G$8="ja",S_1!$K$8="ja"),S_1!$O$15,"")</f>
        <v/>
      </c>
      <c r="R27" s="1609" t="str">
        <f>IF(AND(S_1!$G$8="ja",S_1!$K$8="ja"),S_1!$P$15,"")</f>
        <v/>
      </c>
      <c r="S27" s="1617" t="str">
        <f>IF(AND(S_1!$G$8="ja",S_1!$K$8="ja"),S_1!Q36,"")</f>
        <v/>
      </c>
      <c r="T27" s="1617" t="str">
        <f>IF(AND(S_1!$G$8="ja",S_1!$K$8="ja"),S_1!R36,"")</f>
        <v/>
      </c>
      <c r="U27" s="1617" t="str">
        <f>IF(AND(S_1!$G$8="ja",S_1!$K$8="ja"),S_1!$S$15,"")</f>
        <v/>
      </c>
    </row>
    <row r="28" spans="2:21" ht="15" customHeight="1">
      <c r="B28" s="1608" t="str">
        <f>IF(AND(S_1!$G$8="ja",S_1!$K$8="nein"),S_1!$C$2,"")</f>
        <v/>
      </c>
      <c r="C28" s="1608" t="str">
        <f>IF(AND(S_1!$G$8="ja",S_1!$K$8="nein"),"","")</f>
        <v/>
      </c>
      <c r="D28" s="1609" t="str">
        <f>IF(AND(S_1!$G$8="ja",S_1!$K$8="nein"),S_1!$B$13,"")</f>
        <v/>
      </c>
      <c r="E28" s="1618" t="str">
        <f>IF(AND(S_1!$G$8="ja",S_1!$K$8="nein"),S_1!$C$13,"")</f>
        <v/>
      </c>
      <c r="F28" s="1609" t="str">
        <f>IF(AND(S_1!$G$8="ja",S_1!$K$8="nein"),S_1!$D$13,"")</f>
        <v/>
      </c>
      <c r="G28" s="1608" t="str">
        <f>IF(AND(S_1!$G$8="ja",S_1!$K$8="nein"),S_1!$E$13,"")</f>
        <v/>
      </c>
      <c r="H28" s="1609" t="str">
        <f>IF(AND(S_1!$G$8="ja",S_1!$K$8="nein"),S_1!$F$13,"")</f>
        <v/>
      </c>
      <c r="I28" s="1608" t="str">
        <f>IF(AND(S_1!$G$8="ja",S_1!$K$8="nein"),S_1!$G$13,"")</f>
        <v/>
      </c>
      <c r="J28" s="1609" t="str">
        <f>IF(AND(S_1!$G$8="ja",S_1!$K$8="nein"),S_1!$H$13,"")</f>
        <v/>
      </c>
      <c r="K28" s="1608" t="str">
        <f>IF(AND(S_1!$G$8="ja",S_1!$K$8="nein"),S_1!$I$13,"")</f>
        <v/>
      </c>
      <c r="L28" s="1609" t="str">
        <f>IF(AND(S_1!$G$8="ja",S_1!$K$8="nein"),S_1!$J$13,"")</f>
        <v/>
      </c>
      <c r="M28" s="1608" t="str">
        <f>IF(AND(S_1!$G$8="ja",S_1!$K$8="nein"),S_1!$K$13,"")</f>
        <v/>
      </c>
      <c r="N28" s="1609" t="str">
        <f>IF(AND(S_1!$G$8="ja",S_1!$K$8="nein"),S_1!$L$13,"")</f>
        <v/>
      </c>
      <c r="O28" s="1608" t="str">
        <f>IF(AND(S_1!$G$8="ja",S_1!$K$8="nein"),S_1!$M$13,"")</f>
        <v/>
      </c>
      <c r="P28" s="1609" t="str">
        <f>IF(AND(S_1!$G$8="ja",S_1!$K$8="nein"),S_1!$N$13,"")</f>
        <v/>
      </c>
      <c r="Q28" s="1608" t="str">
        <f>IF(AND(S_1!$G$8="ja",S_1!$K$8="nein"),S_1!$O$13,"")</f>
        <v/>
      </c>
      <c r="R28" s="1609" t="str">
        <f>IF(AND(S_1!$G$8="ja",S_1!$K$8="nein"),S_1!$P$13,"")</f>
        <v/>
      </c>
      <c r="S28" s="1617" t="str">
        <f>IF(AND(S_1!$G$8="ja",S_1!$K$8="nein"),S_1!Q37,"")</f>
        <v/>
      </c>
      <c r="T28" s="1617" t="str">
        <f>IF(AND(S_1!$G$8="ja",S_1!$K$8="nein"),S_1!R37,"")</f>
        <v/>
      </c>
      <c r="U28" s="1617" t="str">
        <f>IF(AND(S_1!$G$8="ja",S_1!$K$8="nein"),S_1!$S$13,"")</f>
        <v/>
      </c>
    </row>
    <row r="29" spans="2:21" ht="15" customHeight="1">
      <c r="B29" s="1608" t="str">
        <f>IF(AND(S_1!$G$8="ja",S_1!$K$8="ja"),S_1!$C$2,"")</f>
        <v/>
      </c>
      <c r="C29" s="1608" t="str">
        <f>IF(AND(S_1!$G$8="ja",S_1!$K$8="ja"),1,"")</f>
        <v/>
      </c>
      <c r="D29" s="1609" t="str">
        <f>IF(AND(S_1!$G$8="ja",S_1!$K$8="ja"),S_1!$B$14,"")</f>
        <v/>
      </c>
      <c r="E29" s="1618" t="str">
        <f>IF(AND(S_1!$G$8="ja",S_1!$K$8="ja"),S_1!$C$14,"")</f>
        <v/>
      </c>
      <c r="F29" s="1609" t="str">
        <f>IF(AND(S_1!$G$8="ja",S_1!$K$8="ja"),S_1!$D$14,"")</f>
        <v/>
      </c>
      <c r="G29" s="1608" t="str">
        <f>IF(AND(S_1!$G$8="ja",S_1!$K$8="ja"),S_1!$E$14,"")</f>
        <v/>
      </c>
      <c r="H29" s="1609" t="str">
        <f>IF(AND(S_1!$G$8="ja",S_1!$K$8="ja"),S_1!$F$14,"")</f>
        <v/>
      </c>
      <c r="I29" s="1608" t="str">
        <f>IF(AND(S_1!$G$8="ja",S_1!$K$8="ja"),S_1!$G$14,"")</f>
        <v/>
      </c>
      <c r="J29" s="1609" t="str">
        <f>IF(AND(S_1!$G$8="ja",S_1!$K$8="ja"),S_1!$H$14,"")</f>
        <v/>
      </c>
      <c r="K29" s="1608" t="str">
        <f>IF(AND(S_1!$G$8="ja",S_1!$K$8="ja"),S_1!$I$14,"")</f>
        <v/>
      </c>
      <c r="L29" s="1609" t="str">
        <f>IF(AND(S_1!$G$8="ja",S_1!$K$8="ja"),S_1!$J$14,"")</f>
        <v/>
      </c>
      <c r="M29" s="1608" t="str">
        <f>IF(AND(S_1!$G$8="ja",S_1!$K$8="ja"),S_1!$K$14,"")</f>
        <v/>
      </c>
      <c r="N29" s="1609" t="str">
        <f>IF(AND(S_1!$G$8="ja",S_1!$K$8="ja"),S_1!$L$14,"")</f>
        <v/>
      </c>
      <c r="O29" s="1608" t="str">
        <f>IF(AND(S_1!$G$8="ja",S_1!$K$8="ja"),S_1!$M$14,"")</f>
        <v/>
      </c>
      <c r="P29" s="1609" t="str">
        <f>IF(AND(S_1!$G$8="ja",S_1!$K$8="ja"),S_1!$N$14,"")</f>
        <v/>
      </c>
      <c r="Q29" s="1608" t="str">
        <f>IF(AND(S_1!$G$8="ja",S_1!$K$8="ja"),S_1!$O$14,"")</f>
        <v/>
      </c>
      <c r="R29" s="1609" t="str">
        <f>IF(AND(S_1!$G$8="ja",S_1!$K$8="ja"),S_1!$P$14,"")</f>
        <v/>
      </c>
      <c r="S29" s="1617" t="str">
        <f>IF(AND(S_1!$G$8="ja",S_1!$K$8="ja"),S_1!Q38,"")</f>
        <v/>
      </c>
      <c r="T29" s="1617" t="str">
        <f>IF(AND(S_1!$G$8="ja",S_1!$K$8="ja"),S_1!R38,"")</f>
        <v/>
      </c>
      <c r="U29" s="1617" t="str">
        <f>IF(AND(S_1!$G$8="ja",S_1!$K$8="ja"),S_1!$S$14,"")</f>
        <v/>
      </c>
    </row>
    <row r="30" spans="2:21" ht="15" customHeight="1">
      <c r="B30" s="1608" t="str">
        <f>IF(AND(S_1!$G$8="ja",S_1!$K$8="ja"),S_1!$C$2,"")</f>
        <v/>
      </c>
      <c r="C30" s="1608" t="str">
        <f>IF(AND(S_1!$G$8="ja",S_1!$K$8="ja"),2,"")</f>
        <v/>
      </c>
      <c r="D30" s="1609" t="str">
        <f>IF(AND(S_1!$G$8="ja",S_1!$K$8="ja"),S_1!$B$15,"")</f>
        <v/>
      </c>
      <c r="E30" s="1618" t="str">
        <f>IF(AND(S_1!$G$8="ja",S_1!$K$8="ja"),S_1!$C$15,"")</f>
        <v/>
      </c>
      <c r="F30" s="1609" t="str">
        <f>IF(AND(S_1!$G$8="ja",S_1!$K$8="ja"),S_1!$D$15,"")</f>
        <v/>
      </c>
      <c r="G30" s="1608" t="str">
        <f>IF(AND(S_1!$G$8="ja",S_1!$K$8="ja"),S_1!$E$15,"")</f>
        <v/>
      </c>
      <c r="H30" s="1609" t="str">
        <f>IF(AND(S_1!$G$8="ja",S_1!$K$8="ja"),S_1!$F$15,"")</f>
        <v/>
      </c>
      <c r="I30" s="1608" t="str">
        <f>IF(AND(S_1!$G$8="ja",S_1!$K$8="ja"),S_1!$G$15,"")</f>
        <v/>
      </c>
      <c r="J30" s="1609" t="str">
        <f>IF(AND(S_1!$G$8="ja",S_1!$K$8="ja"),S_1!$H$15,"")</f>
        <v/>
      </c>
      <c r="K30" s="1608" t="str">
        <f>IF(AND(S_1!$G$8="ja",S_1!$K$8="ja"),S_1!$I$15,"")</f>
        <v/>
      </c>
      <c r="L30" s="1609" t="str">
        <f>IF(AND(S_1!$G$8="ja",S_1!$K$8="ja"),S_1!$J$15,"")</f>
        <v/>
      </c>
      <c r="M30" s="1608" t="str">
        <f>IF(AND(S_1!$G$8="ja",S_1!$K$8="ja"),S_1!$K$15,"")</f>
        <v/>
      </c>
      <c r="N30" s="1609" t="str">
        <f>IF(AND(S_1!$G$8="ja",S_1!$K$8="ja"),S_1!$L$15,"")</f>
        <v/>
      </c>
      <c r="O30" s="1608" t="str">
        <f>IF(AND(S_1!$G$8="ja",S_1!$K$8="ja"),S_1!$M$15,"")</f>
        <v/>
      </c>
      <c r="P30" s="1609" t="str">
        <f>IF(AND(S_1!$G$8="ja",S_1!$K$8="ja"),S_1!$N$15,"")</f>
        <v/>
      </c>
      <c r="Q30" s="1608" t="str">
        <f>IF(AND(S_1!$G$8="ja",S_1!$K$8="ja"),S_1!$O$15,"")</f>
        <v/>
      </c>
      <c r="R30" s="1609" t="str">
        <f>IF(AND(S_1!$G$8="ja",S_1!$K$8="ja"),S_1!$P$15,"")</f>
        <v/>
      </c>
      <c r="S30" s="1617" t="str">
        <f>IF(AND(S_1!$G$8="ja",S_1!$K$8="ja"),S_1!Q39,"")</f>
        <v/>
      </c>
      <c r="T30" s="1617" t="str">
        <f>IF(AND(S_1!$G$8="ja",S_1!$K$8="ja"),S_1!R39,"")</f>
        <v/>
      </c>
      <c r="U30" s="1617" t="str">
        <f>IF(AND(S_1!$G$8="ja",S_1!$K$8="ja"),S_1!$S$15,"")</f>
        <v/>
      </c>
    </row>
    <row r="31" spans="2:21" ht="15" customHeight="1">
      <c r="B31" s="1608" t="str">
        <f>IF(AND(S_1!$G$8="ja",S_1!$K$8="nein"),S_1!$C$2,"")</f>
        <v/>
      </c>
      <c r="C31" s="1608" t="str">
        <f>IF(AND(S_1!$G$8="ja",S_1!$K$8="nein"),"","")</f>
        <v/>
      </c>
      <c r="D31" s="1609" t="str">
        <f>IF(AND(S_1!$G$8="ja",S_1!$K$8="nein"),S_1!$B$13,"")</f>
        <v/>
      </c>
      <c r="E31" s="1618" t="str">
        <f>IF(AND(S_1!$G$8="ja",S_1!$K$8="nein"),S_1!$C$13,"")</f>
        <v/>
      </c>
      <c r="F31" s="1609" t="str">
        <f>IF(AND(S_1!$G$8="ja",S_1!$K$8="nein"),S_1!$D$13,"")</f>
        <v/>
      </c>
      <c r="G31" s="1608" t="str">
        <f>IF(AND(S_1!$G$8="ja",S_1!$K$8="nein"),S_1!$E$13,"")</f>
        <v/>
      </c>
      <c r="H31" s="1609" t="str">
        <f>IF(AND(S_1!$G$8="ja",S_1!$K$8="nein"),S_1!$F$13,"")</f>
        <v/>
      </c>
      <c r="I31" s="1608" t="str">
        <f>IF(AND(S_1!$G$8="ja",S_1!$K$8="nein"),S_1!$G$13,"")</f>
        <v/>
      </c>
      <c r="J31" s="1609" t="str">
        <f>IF(AND(S_1!$G$8="ja",S_1!$K$8="nein"),S_1!$H$13,"")</f>
        <v/>
      </c>
      <c r="K31" s="1608" t="str">
        <f>IF(AND(S_1!$G$8="ja",S_1!$K$8="nein"),S_1!$I$13,"")</f>
        <v/>
      </c>
      <c r="L31" s="1609" t="str">
        <f>IF(AND(S_1!$G$8="ja",S_1!$K$8="nein"),S_1!$J$13,"")</f>
        <v/>
      </c>
      <c r="M31" s="1608" t="str">
        <f>IF(AND(S_1!$G$8="ja",S_1!$K$8="nein"),S_1!$K$13,"")</f>
        <v/>
      </c>
      <c r="N31" s="1609" t="str">
        <f>IF(AND(S_1!$G$8="ja",S_1!$K$8="nein"),S_1!$L$13,"")</f>
        <v/>
      </c>
      <c r="O31" s="1608" t="str">
        <f>IF(AND(S_1!$G$8="ja",S_1!$K$8="nein"),S_1!$M$13,"")</f>
        <v/>
      </c>
      <c r="P31" s="1609" t="str">
        <f>IF(AND(S_1!$G$8="ja",S_1!$K$8="nein"),S_1!$N$13,"")</f>
        <v/>
      </c>
      <c r="Q31" s="1608" t="str">
        <f>IF(AND(S_1!$G$8="ja",S_1!$K$8="nein"),S_1!$O$13,"")</f>
        <v/>
      </c>
      <c r="R31" s="1609" t="str">
        <f>IF(AND(S_1!$G$8="ja",S_1!$K$8="nein"),S_1!$P$13,"")</f>
        <v/>
      </c>
      <c r="S31" s="1617" t="str">
        <f>IF(AND(S_1!$G$8="ja",S_1!$K$8="nein"),S_1!Q40,"")</f>
        <v/>
      </c>
      <c r="T31" s="1617" t="str">
        <f>IF(AND(S_1!$G$8="ja",S_1!$K$8="nein"),S_1!R40,"")</f>
        <v/>
      </c>
      <c r="U31" s="1617" t="str">
        <f>IF(AND(S_1!$G$8="ja",S_1!$K$8="nein"),S_1!$S$13,"")</f>
        <v/>
      </c>
    </row>
    <row r="32" spans="2:21" ht="15" customHeight="1">
      <c r="B32" s="1608" t="str">
        <f>IF(AND(S_1!$G$8="ja",S_1!$K$8="ja"),S_1!$C$2,"")</f>
        <v/>
      </c>
      <c r="C32" s="1608" t="str">
        <f>IF(AND(S_1!$G$8="ja",S_1!$K$8="ja"),1,"")</f>
        <v/>
      </c>
      <c r="D32" s="1609" t="str">
        <f>IF(AND(S_1!$G$8="ja",S_1!$K$8="ja"),S_1!$B$14,"")</f>
        <v/>
      </c>
      <c r="E32" s="1618" t="str">
        <f>IF(AND(S_1!$G$8="ja",S_1!$K$8="ja"),S_1!$C$14,"")</f>
        <v/>
      </c>
      <c r="F32" s="1609" t="str">
        <f>IF(AND(S_1!$G$8="ja",S_1!$K$8="ja"),S_1!$D$14,"")</f>
        <v/>
      </c>
      <c r="G32" s="1608" t="str">
        <f>IF(AND(S_1!$G$8="ja",S_1!$K$8="ja"),S_1!$E$14,"")</f>
        <v/>
      </c>
      <c r="H32" s="1609" t="str">
        <f>IF(AND(S_1!$G$8="ja",S_1!$K$8="ja"),S_1!$F$14,"")</f>
        <v/>
      </c>
      <c r="I32" s="1608" t="str">
        <f>IF(AND(S_1!$G$8="ja",S_1!$K$8="ja"),S_1!$G$14,"")</f>
        <v/>
      </c>
      <c r="J32" s="1609" t="str">
        <f>IF(AND(S_1!$G$8="ja",S_1!$K$8="ja"),S_1!$H$14,"")</f>
        <v/>
      </c>
      <c r="K32" s="1608" t="str">
        <f>IF(AND(S_1!$G$8="ja",S_1!$K$8="ja"),S_1!$I$14,"")</f>
        <v/>
      </c>
      <c r="L32" s="1609" t="str">
        <f>IF(AND(S_1!$G$8="ja",S_1!$K$8="ja"),S_1!$J$14,"")</f>
        <v/>
      </c>
      <c r="M32" s="1608" t="str">
        <f>IF(AND(S_1!$G$8="ja",S_1!$K$8="ja"),S_1!$K$14,"")</f>
        <v/>
      </c>
      <c r="N32" s="1609" t="str">
        <f>IF(AND(S_1!$G$8="ja",S_1!$K$8="ja"),S_1!$L$14,"")</f>
        <v/>
      </c>
      <c r="O32" s="1608" t="str">
        <f>IF(AND(S_1!$G$8="ja",S_1!$K$8="ja"),S_1!$M$14,"")</f>
        <v/>
      </c>
      <c r="P32" s="1609" t="str">
        <f>IF(AND(S_1!$G$8="ja",S_1!$K$8="ja"),S_1!$N$14,"")</f>
        <v/>
      </c>
      <c r="Q32" s="1608" t="str">
        <f>IF(AND(S_1!$G$8="ja",S_1!$K$8="ja"),S_1!$O$14,"")</f>
        <v/>
      </c>
      <c r="R32" s="1609" t="str">
        <f>IF(AND(S_1!$G$8="ja",S_1!$K$8="ja"),S_1!$P$14,"")</f>
        <v/>
      </c>
      <c r="S32" s="1617" t="str">
        <f>IF(AND(S_1!$G$8="ja",S_1!$K$8="ja"),S_1!Q41,"")</f>
        <v/>
      </c>
      <c r="T32" s="1617" t="str">
        <f>IF(AND(S_1!$G$8="ja",S_1!$K$8="ja"),S_1!R41,"")</f>
        <v/>
      </c>
      <c r="U32" s="1617" t="str">
        <f>IF(AND(S_1!$G$8="ja",S_1!$K$8="ja"),S_1!$S$14,"")</f>
        <v/>
      </c>
    </row>
    <row r="33" spans="2:21" ht="15" customHeight="1">
      <c r="B33" s="1608" t="str">
        <f>IF(AND(S_1!$G$8="ja",S_1!$K$8="ja"),S_1!$C$2,"")</f>
        <v/>
      </c>
      <c r="C33" s="1608" t="str">
        <f>IF(AND(S_1!$G$8="ja",S_1!$K$8="ja"),2,"")</f>
        <v/>
      </c>
      <c r="D33" s="1609" t="str">
        <f>IF(AND(S_1!$G$8="ja",S_1!$K$8="ja"),S_1!$B$15,"")</f>
        <v/>
      </c>
      <c r="E33" s="1618" t="str">
        <f>IF(AND(S_1!$G$8="ja",S_1!$K$8="ja"),S_1!$C$15,"")</f>
        <v/>
      </c>
      <c r="F33" s="1609" t="str">
        <f>IF(AND(S_1!$G$8="ja",S_1!$K$8="ja"),S_1!$D$15,"")</f>
        <v/>
      </c>
      <c r="G33" s="1608" t="str">
        <f>IF(AND(S_1!$G$8="ja",S_1!$K$8="ja"),S_1!$E$15,"")</f>
        <v/>
      </c>
      <c r="H33" s="1609" t="str">
        <f>IF(AND(S_1!$G$8="ja",S_1!$K$8="ja"),S_1!$F$15,"")</f>
        <v/>
      </c>
      <c r="I33" s="1608" t="str">
        <f>IF(AND(S_1!$G$8="ja",S_1!$K$8="ja"),S_1!$G$15,"")</f>
        <v/>
      </c>
      <c r="J33" s="1609" t="str">
        <f>IF(AND(S_1!$G$8="ja",S_1!$K$8="ja"),S_1!$H$15,"")</f>
        <v/>
      </c>
      <c r="K33" s="1608" t="str">
        <f>IF(AND(S_1!$G$8="ja",S_1!$K$8="ja"),S_1!$I$15,"")</f>
        <v/>
      </c>
      <c r="L33" s="1609" t="str">
        <f>IF(AND(S_1!$G$8="ja",S_1!$K$8="ja"),S_1!$J$15,"")</f>
        <v/>
      </c>
      <c r="M33" s="1608" t="str">
        <f>IF(AND(S_1!$G$8="ja",S_1!$K$8="ja"),S_1!$K$15,"")</f>
        <v/>
      </c>
      <c r="N33" s="1609" t="str">
        <f>IF(AND(S_1!$G$8="ja",S_1!$K$8="ja"),S_1!$L$15,"")</f>
        <v/>
      </c>
      <c r="O33" s="1608" t="str">
        <f>IF(AND(S_1!$G$8="ja",S_1!$K$8="ja"),S_1!$M$15,"")</f>
        <v/>
      </c>
      <c r="P33" s="1609" t="str">
        <f>IF(AND(S_1!$G$8="ja",S_1!$K$8="ja"),S_1!$N$15,"")</f>
        <v/>
      </c>
      <c r="Q33" s="1608" t="str">
        <f>IF(AND(S_1!$G$8="ja",S_1!$K$8="ja"),S_1!$O$15,"")</f>
        <v/>
      </c>
      <c r="R33" s="1609" t="str">
        <f>IF(AND(S_1!$G$8="ja",S_1!$K$8="ja"),S_1!$P$15,"")</f>
        <v/>
      </c>
      <c r="S33" s="1617" t="str">
        <f>IF(AND(S_1!$G$8="ja",S_1!$K$8="ja"),S_1!Q42,"")</f>
        <v/>
      </c>
      <c r="T33" s="1617" t="str">
        <f>IF(AND(S_1!$G$8="ja",S_1!$K$8="ja"),S_1!R42,"")</f>
        <v/>
      </c>
      <c r="U33" s="1617" t="str">
        <f>IF(AND(S_1!$G$8="ja",S_1!$K$8="ja"),S_1!$S$15,"")</f>
        <v/>
      </c>
    </row>
    <row r="34" spans="2:21" ht="15" customHeight="1">
      <c r="B34" s="1608" t="str">
        <f>IF(AND(S_1!$G$8="ja",S_1!$K$8="nein"),S_1!$C$2,"")</f>
        <v/>
      </c>
      <c r="C34" s="1608" t="str">
        <f>IF(AND(S_1!$G$8="ja",S_1!$K$8="nein"),"","")</f>
        <v/>
      </c>
      <c r="D34" s="1609" t="str">
        <f>IF(AND(S_1!$G$8="ja",S_1!$K$8="nein"),S_1!$B$13,"")</f>
        <v/>
      </c>
      <c r="E34" s="1618" t="str">
        <f>IF(AND(S_1!$G$8="ja",S_1!$K$8="nein"),S_1!$C$13,"")</f>
        <v/>
      </c>
      <c r="F34" s="1609" t="str">
        <f>IF(AND(S_1!$G$8="ja",S_1!$K$8="nein"),S_1!$D$13,"")</f>
        <v/>
      </c>
      <c r="G34" s="1608" t="str">
        <f>IF(AND(S_1!$G$8="ja",S_1!$K$8="nein"),S_1!$E$13,"")</f>
        <v/>
      </c>
      <c r="H34" s="1609" t="str">
        <f>IF(AND(S_1!$G$8="ja",S_1!$K$8="nein"),S_1!$F$13,"")</f>
        <v/>
      </c>
      <c r="I34" s="1608" t="str">
        <f>IF(AND(S_1!$G$8="ja",S_1!$K$8="nein"),S_1!$G$13,"")</f>
        <v/>
      </c>
      <c r="J34" s="1609" t="str">
        <f>IF(AND(S_1!$G$8="ja",S_1!$K$8="nein"),S_1!$H$13,"")</f>
        <v/>
      </c>
      <c r="K34" s="1608" t="str">
        <f>IF(AND(S_1!$G$8="ja",S_1!$K$8="nein"),S_1!$I$13,"")</f>
        <v/>
      </c>
      <c r="L34" s="1609" t="str">
        <f>IF(AND(S_1!$G$8="ja",S_1!$K$8="nein"),S_1!$J$13,"")</f>
        <v/>
      </c>
      <c r="M34" s="1608" t="str">
        <f>IF(AND(S_1!$G$8="ja",S_1!$K$8="nein"),S_1!$K$13,"")</f>
        <v/>
      </c>
      <c r="N34" s="1609" t="str">
        <f>IF(AND(S_1!$G$8="ja",S_1!$K$8="nein"),S_1!$L$13,"")</f>
        <v/>
      </c>
      <c r="O34" s="1608" t="str">
        <f>IF(AND(S_1!$G$8="ja",S_1!$K$8="nein"),S_1!$M$13,"")</f>
        <v/>
      </c>
      <c r="P34" s="1609" t="str">
        <f>IF(AND(S_1!$G$8="ja",S_1!$K$8="nein"),S_1!$N$13,"")</f>
        <v/>
      </c>
      <c r="Q34" s="1608" t="str">
        <f>IF(AND(S_1!$G$8="ja",S_1!$K$8="nein"),S_1!$O$13,"")</f>
        <v/>
      </c>
      <c r="R34" s="1609" t="str">
        <f>IF(AND(S_1!$G$8="ja",S_1!$K$8="nein"),S_1!$P$13,"")</f>
        <v/>
      </c>
      <c r="S34" s="1617" t="str">
        <f>IF(AND(S_1!$G$8="ja",S_1!$K$8="nein"),S_1!Q43,"")</f>
        <v/>
      </c>
      <c r="T34" s="1617" t="str">
        <f>IF(AND(S_1!$G$8="ja",S_1!$K$8="nein"),S_1!R43,"")</f>
        <v/>
      </c>
      <c r="U34" s="1617" t="str">
        <f>IF(AND(S_1!$G$8="ja",S_1!$K$8="nein"),S_1!$S$13,"")</f>
        <v/>
      </c>
    </row>
    <row r="35" spans="2:21" ht="15" customHeight="1">
      <c r="B35" s="1608" t="str">
        <f>IF(AND(S_1!$G$8="ja",S_1!$K$8="ja"),S_1!$C$2,"")</f>
        <v/>
      </c>
      <c r="C35" s="1608" t="str">
        <f>IF(AND(S_1!$G$8="ja",S_1!$K$8="ja"),1,"")</f>
        <v/>
      </c>
      <c r="D35" s="1609" t="str">
        <f>IF(AND(S_1!$G$8="ja",S_1!$K$8="ja"),S_1!$B$14,"")</f>
        <v/>
      </c>
      <c r="E35" s="1618" t="str">
        <f>IF(AND(S_1!$G$8="ja",S_1!$K$8="ja"),S_1!$C$14,"")</f>
        <v/>
      </c>
      <c r="F35" s="1609" t="str">
        <f>IF(AND(S_1!$G$8="ja",S_1!$K$8="ja"),S_1!$D$14,"")</f>
        <v/>
      </c>
      <c r="G35" s="1608" t="str">
        <f>IF(AND(S_1!$G$8="ja",S_1!$K$8="ja"),S_1!$E$14,"")</f>
        <v/>
      </c>
      <c r="H35" s="1609" t="str">
        <f>IF(AND(S_1!$G$8="ja",S_1!$K$8="ja"),S_1!$F$14,"")</f>
        <v/>
      </c>
      <c r="I35" s="1608" t="str">
        <f>IF(AND(S_1!$G$8="ja",S_1!$K$8="ja"),S_1!$G$14,"")</f>
        <v/>
      </c>
      <c r="J35" s="1609" t="str">
        <f>IF(AND(S_1!$G$8="ja",S_1!$K$8="ja"),S_1!$H$14,"")</f>
        <v/>
      </c>
      <c r="K35" s="1608" t="str">
        <f>IF(AND(S_1!$G$8="ja",S_1!$K$8="ja"),S_1!$I$14,"")</f>
        <v/>
      </c>
      <c r="L35" s="1609" t="str">
        <f>IF(AND(S_1!$G$8="ja",S_1!$K$8="ja"),S_1!$J$14,"")</f>
        <v/>
      </c>
      <c r="M35" s="1608" t="str">
        <f>IF(AND(S_1!$G$8="ja",S_1!$K$8="ja"),S_1!$K$14,"")</f>
        <v/>
      </c>
      <c r="N35" s="1609" t="str">
        <f>IF(AND(S_1!$G$8="ja",S_1!$K$8="ja"),S_1!$L$14,"")</f>
        <v/>
      </c>
      <c r="O35" s="1608" t="str">
        <f>IF(AND(S_1!$G$8="ja",S_1!$K$8="ja"),S_1!$M$14,"")</f>
        <v/>
      </c>
      <c r="P35" s="1609" t="str">
        <f>IF(AND(S_1!$G$8="ja",S_1!$K$8="ja"),S_1!$N$14,"")</f>
        <v/>
      </c>
      <c r="Q35" s="1608" t="str">
        <f>IF(AND(S_1!$G$8="ja",S_1!$K$8="ja"),S_1!$O$14,"")</f>
        <v/>
      </c>
      <c r="R35" s="1609" t="str">
        <f>IF(AND(S_1!$G$8="ja",S_1!$K$8="ja"),S_1!$P$14,"")</f>
        <v/>
      </c>
      <c r="S35" s="1617" t="str">
        <f>IF(AND(S_1!$G$8="ja",S_1!$K$8="ja"),S_1!Q44,"")</f>
        <v/>
      </c>
      <c r="T35" s="1617" t="str">
        <f>IF(AND(S_1!$G$8="ja",S_1!$K$8="ja"),S_1!R44,"")</f>
        <v/>
      </c>
      <c r="U35" s="1617" t="str">
        <f>IF(AND(S_1!$G$8="ja",S_1!$K$8="ja"),S_1!$S$14,"")</f>
        <v/>
      </c>
    </row>
    <row r="36" spans="2:21" ht="15" customHeight="1">
      <c r="B36" s="1608" t="str">
        <f>IF(AND(S_1!$G$8="ja",S_1!$K$8="ja"),S_1!$C$2,"")</f>
        <v/>
      </c>
      <c r="C36" s="1608" t="str">
        <f>IF(AND(S_1!$G$8="ja",S_1!$K$8="ja"),2,"")</f>
        <v/>
      </c>
      <c r="D36" s="1609" t="str">
        <f>IF(AND(S_1!$G$8="ja",S_1!$K$8="ja"),S_1!$B$15,"")</f>
        <v/>
      </c>
      <c r="E36" s="1618" t="str">
        <f>IF(AND(S_1!$G$8="ja",S_1!$K$8="ja"),S_1!$C$15,"")</f>
        <v/>
      </c>
      <c r="F36" s="1609" t="str">
        <f>IF(AND(S_1!$G$8="ja",S_1!$K$8="ja"),S_1!$D$15,"")</f>
        <v/>
      </c>
      <c r="G36" s="1608" t="str">
        <f>IF(AND(S_1!$G$8="ja",S_1!$K$8="ja"),S_1!$E$15,"")</f>
        <v/>
      </c>
      <c r="H36" s="1609" t="str">
        <f>IF(AND(S_1!$G$8="ja",S_1!$K$8="ja"),S_1!$F$15,"")</f>
        <v/>
      </c>
      <c r="I36" s="1608" t="str">
        <f>IF(AND(S_1!$G$8="ja",S_1!$K$8="ja"),S_1!$G$15,"")</f>
        <v/>
      </c>
      <c r="J36" s="1609" t="str">
        <f>IF(AND(S_1!$G$8="ja",S_1!$K$8="ja"),S_1!$H$15,"")</f>
        <v/>
      </c>
      <c r="K36" s="1608" t="str">
        <f>IF(AND(S_1!$G$8="ja",S_1!$K$8="ja"),S_1!$I$15,"")</f>
        <v/>
      </c>
      <c r="L36" s="1609" t="str">
        <f>IF(AND(S_1!$G$8="ja",S_1!$K$8="ja"),S_1!$J$15,"")</f>
        <v/>
      </c>
      <c r="M36" s="1608" t="str">
        <f>IF(AND(S_1!$G$8="ja",S_1!$K$8="ja"),S_1!$K$15,"")</f>
        <v/>
      </c>
      <c r="N36" s="1609" t="str">
        <f>IF(AND(S_1!$G$8="ja",S_1!$K$8="ja"),S_1!$L$15,"")</f>
        <v/>
      </c>
      <c r="O36" s="1608" t="str">
        <f>IF(AND(S_1!$G$8="ja",S_1!$K$8="ja"),S_1!$M$15,"")</f>
        <v/>
      </c>
      <c r="P36" s="1609" t="str">
        <f>IF(AND(S_1!$G$8="ja",S_1!$K$8="ja"),S_1!$N$15,"")</f>
        <v/>
      </c>
      <c r="Q36" s="1608" t="str">
        <f>IF(AND(S_1!$G$8="ja",S_1!$K$8="ja"),S_1!$O$15,"")</f>
        <v/>
      </c>
      <c r="R36" s="1609" t="str">
        <f>IF(AND(S_1!$G$8="ja",S_1!$K$8="ja"),S_1!$P$15,"")</f>
        <v/>
      </c>
      <c r="S36" s="1617" t="str">
        <f>IF(AND(S_1!$G$8="ja",S_1!$K$8="ja"),S_1!Q45,"")</f>
        <v/>
      </c>
      <c r="T36" s="1617" t="str">
        <f>IF(AND(S_1!$G$8="ja",S_1!$K$8="ja"),S_1!R45,"")</f>
        <v/>
      </c>
      <c r="U36" s="1617" t="str">
        <f>IF(AND(S_1!$G$8="ja",S_1!$K$8="ja"),S_1!$S$15,"")</f>
        <v/>
      </c>
    </row>
    <row r="37" spans="2:21" ht="15" customHeight="1">
      <c r="B37" s="1608" t="str">
        <f>IF(AND(S_1!$G$8="ja",S_1!$K$8="nein"),S_1!$C$2,"")</f>
        <v/>
      </c>
      <c r="C37" s="1608" t="str">
        <f>IF(AND(S_1!$G$8="ja",S_1!$K$8="nein"),"","")</f>
        <v/>
      </c>
      <c r="D37" s="1609" t="str">
        <f>IF(AND(S_1!$G$8="ja",S_1!$K$8="nein"),S_1!$B$13,"")</f>
        <v/>
      </c>
      <c r="E37" s="1618" t="str">
        <f>IF(AND(S_1!$G$8="ja",S_1!$K$8="nein"),S_1!$C$13,"")</f>
        <v/>
      </c>
      <c r="F37" s="1609" t="str">
        <f>IF(AND(S_1!$G$8="ja",S_1!$K$8="nein"),S_1!$D$13,"")</f>
        <v/>
      </c>
      <c r="G37" s="1608" t="str">
        <f>IF(AND(S_1!$G$8="ja",S_1!$K$8="nein"),S_1!$E$13,"")</f>
        <v/>
      </c>
      <c r="H37" s="1609" t="str">
        <f>IF(AND(S_1!$G$8="ja",S_1!$K$8="nein"),S_1!$F$13,"")</f>
        <v/>
      </c>
      <c r="I37" s="1608" t="str">
        <f>IF(AND(S_1!$G$8="ja",S_1!$K$8="nein"),S_1!$G$13,"")</f>
        <v/>
      </c>
      <c r="J37" s="1609" t="str">
        <f>IF(AND(S_1!$G$8="ja",S_1!$K$8="nein"),S_1!$H$13,"")</f>
        <v/>
      </c>
      <c r="K37" s="1608" t="str">
        <f>IF(AND(S_1!$G$8="ja",S_1!$K$8="nein"),S_1!$I$13,"")</f>
        <v/>
      </c>
      <c r="L37" s="1609" t="str">
        <f>IF(AND(S_1!$G$8="ja",S_1!$K$8="nein"),S_1!$J$13,"")</f>
        <v/>
      </c>
      <c r="M37" s="1608" t="str">
        <f>IF(AND(S_1!$G$8="ja",S_1!$K$8="nein"),S_1!$K$13,"")</f>
        <v/>
      </c>
      <c r="N37" s="1609" t="str">
        <f>IF(AND(S_1!$G$8="ja",S_1!$K$8="nein"),S_1!$L$13,"")</f>
        <v/>
      </c>
      <c r="O37" s="1608" t="str">
        <f>IF(AND(S_1!$G$8="ja",S_1!$K$8="nein"),S_1!$M$13,"")</f>
        <v/>
      </c>
      <c r="P37" s="1609" t="str">
        <f>IF(AND(S_1!$G$8="ja",S_1!$K$8="nein"),S_1!$N$13,"")</f>
        <v/>
      </c>
      <c r="Q37" s="1608" t="str">
        <f>IF(AND(S_1!$G$8="ja",S_1!$K$8="nein"),S_1!$O$13,"")</f>
        <v/>
      </c>
      <c r="R37" s="1609" t="str">
        <f>IF(AND(S_1!$G$8="ja",S_1!$K$8="nein"),S_1!$P$13,"")</f>
        <v/>
      </c>
      <c r="S37" s="1617" t="str">
        <f>IF(AND(S_1!$G$8="ja",S_1!$K$8="nein"),S_1!Q46,"")</f>
        <v/>
      </c>
      <c r="T37" s="1617" t="str">
        <f>IF(AND(S_1!$G$8="ja",S_1!$K$8="nein"),S_1!R46,"")</f>
        <v/>
      </c>
      <c r="U37" s="1617" t="str">
        <f>IF(AND(S_1!$G$8="ja",S_1!$K$8="nein"),S_1!$S$13,"")</f>
        <v/>
      </c>
    </row>
    <row r="38" spans="2:21" ht="15" customHeight="1">
      <c r="B38" s="1608" t="str">
        <f>IF(AND(S_1!$G$8="ja",S_1!$K$8="ja"),S_1!$C$2,"")</f>
        <v/>
      </c>
      <c r="C38" s="1608" t="str">
        <f>IF(AND(S_1!$G$8="ja",S_1!$K$8="ja"),1,"")</f>
        <v/>
      </c>
      <c r="D38" s="1609" t="str">
        <f>IF(AND(S_1!$G$8="ja",S_1!$K$8="ja"),S_1!$B$14,"")</f>
        <v/>
      </c>
      <c r="E38" s="1618" t="str">
        <f>IF(AND(S_1!$G$8="ja",S_1!$K$8="ja"),S_1!$C$14,"")</f>
        <v/>
      </c>
      <c r="F38" s="1609" t="str">
        <f>IF(AND(S_1!$G$8="ja",S_1!$K$8="ja"),S_1!$D$14,"")</f>
        <v/>
      </c>
      <c r="G38" s="1608" t="str">
        <f>IF(AND(S_1!$G$8="ja",S_1!$K$8="ja"),S_1!$E$14,"")</f>
        <v/>
      </c>
      <c r="H38" s="1609" t="str">
        <f>IF(AND(S_1!$G$8="ja",S_1!$K$8="ja"),S_1!$F$14,"")</f>
        <v/>
      </c>
      <c r="I38" s="1608" t="str">
        <f>IF(AND(S_1!$G$8="ja",S_1!$K$8="ja"),S_1!$G$14,"")</f>
        <v/>
      </c>
      <c r="J38" s="1609" t="str">
        <f>IF(AND(S_1!$G$8="ja",S_1!$K$8="ja"),S_1!$H$14,"")</f>
        <v/>
      </c>
      <c r="K38" s="1608" t="str">
        <f>IF(AND(S_1!$G$8="ja",S_1!$K$8="ja"),S_1!$I$14,"")</f>
        <v/>
      </c>
      <c r="L38" s="1609" t="str">
        <f>IF(AND(S_1!$G$8="ja",S_1!$K$8="ja"),S_1!$J$14,"")</f>
        <v/>
      </c>
      <c r="M38" s="1608" t="str">
        <f>IF(AND(S_1!$G$8="ja",S_1!$K$8="ja"),S_1!$K$14,"")</f>
        <v/>
      </c>
      <c r="N38" s="1609" t="str">
        <f>IF(AND(S_1!$G$8="ja",S_1!$K$8="ja"),S_1!$L$14,"")</f>
        <v/>
      </c>
      <c r="O38" s="1608" t="str">
        <f>IF(AND(S_1!$G$8="ja",S_1!$K$8="ja"),S_1!$M$14,"")</f>
        <v/>
      </c>
      <c r="P38" s="1609" t="str">
        <f>IF(AND(S_1!$G$8="ja",S_1!$K$8="ja"),S_1!$N$14,"")</f>
        <v/>
      </c>
      <c r="Q38" s="1608" t="str">
        <f>IF(AND(S_1!$G$8="ja",S_1!$K$8="ja"),S_1!$O$14,"")</f>
        <v/>
      </c>
      <c r="R38" s="1609" t="str">
        <f>IF(AND(S_1!$G$8="ja",S_1!$K$8="ja"),S_1!$P$14,"")</f>
        <v/>
      </c>
      <c r="S38" s="1617" t="str">
        <f>IF(AND(S_1!$G$8="ja",S_1!$K$8="ja"),S_1!Q47,"")</f>
        <v/>
      </c>
      <c r="T38" s="1617" t="str">
        <f>IF(AND(S_1!$G$8="ja",S_1!$K$8="ja"),S_1!R47,"")</f>
        <v/>
      </c>
      <c r="U38" s="1617" t="str">
        <f>IF(AND(S_1!$G$8="ja",S_1!$K$8="ja"),S_1!$S$14,"")</f>
        <v/>
      </c>
    </row>
    <row r="39" spans="2:21" ht="15" customHeight="1">
      <c r="B39" s="1608" t="str">
        <f>IF(AND(S_1!$G$8="ja",S_1!$K$8="ja"),S_1!$C$2,"")</f>
        <v/>
      </c>
      <c r="C39" s="1608" t="str">
        <f>IF(AND(S_1!$G$8="ja",S_1!$K$8="ja"),2,"")</f>
        <v/>
      </c>
      <c r="D39" s="1609" t="str">
        <f>IF(AND(S_1!$G$8="ja",S_1!$K$8="ja"),S_1!$B$15,"")</f>
        <v/>
      </c>
      <c r="E39" s="1618" t="str">
        <f>IF(AND(S_1!$G$8="ja",S_1!$K$8="ja"),S_1!$C$15,"")</f>
        <v/>
      </c>
      <c r="F39" s="1609" t="str">
        <f>IF(AND(S_1!$G$8="ja",S_1!$K$8="ja"),S_1!$D$15,"")</f>
        <v/>
      </c>
      <c r="G39" s="1608" t="str">
        <f>IF(AND(S_1!$G$8="ja",S_1!$K$8="ja"),S_1!$E$15,"")</f>
        <v/>
      </c>
      <c r="H39" s="1609" t="str">
        <f>IF(AND(S_1!$G$8="ja",S_1!$K$8="ja"),S_1!$F$15,"")</f>
        <v/>
      </c>
      <c r="I39" s="1608" t="str">
        <f>IF(AND(S_1!$G$8="ja",S_1!$K$8="ja"),S_1!$G$15,"")</f>
        <v/>
      </c>
      <c r="J39" s="1609" t="str">
        <f>IF(AND(S_1!$G$8="ja",S_1!$K$8="ja"),S_1!$H$15,"")</f>
        <v/>
      </c>
      <c r="K39" s="1608" t="str">
        <f>IF(AND(S_1!$G$8="ja",S_1!$K$8="ja"),S_1!$I$15,"")</f>
        <v/>
      </c>
      <c r="L39" s="1609" t="str">
        <f>IF(AND(S_1!$G$8="ja",S_1!$K$8="ja"),S_1!$J$15,"")</f>
        <v/>
      </c>
      <c r="M39" s="1608" t="str">
        <f>IF(AND(S_1!$G$8="ja",S_1!$K$8="ja"),S_1!$K$15,"")</f>
        <v/>
      </c>
      <c r="N39" s="1609" t="str">
        <f>IF(AND(S_1!$G$8="ja",S_1!$K$8="ja"),S_1!$L$15,"")</f>
        <v/>
      </c>
      <c r="O39" s="1608" t="str">
        <f>IF(AND(S_1!$G$8="ja",S_1!$K$8="ja"),S_1!$M$15,"")</f>
        <v/>
      </c>
      <c r="P39" s="1609" t="str">
        <f>IF(AND(S_1!$G$8="ja",S_1!$K$8="ja"),S_1!$N$15,"")</f>
        <v/>
      </c>
      <c r="Q39" s="1608" t="str">
        <f>IF(AND(S_1!$G$8="ja",S_1!$K$8="ja"),S_1!$O$15,"")</f>
        <v/>
      </c>
      <c r="R39" s="1609" t="str">
        <f>IF(AND(S_1!$G$8="ja",S_1!$K$8="ja"),S_1!$P$15,"")</f>
        <v/>
      </c>
      <c r="S39" s="1617" t="str">
        <f>IF(AND(S_1!$G$8="ja",S_1!$K$8="ja"),S_1!Q48,"")</f>
        <v/>
      </c>
      <c r="T39" s="1617" t="str">
        <f>IF(AND(S_1!$G$8="ja",S_1!$K$8="ja"),S_1!R48,"")</f>
        <v/>
      </c>
      <c r="U39" s="1617" t="str">
        <f>IF(AND(S_1!$G$8="ja",S_1!$K$8="ja"),S_1!$S$15,"")</f>
        <v/>
      </c>
    </row>
    <row r="40" spans="2:21" ht="15" customHeight="1">
      <c r="B40" s="1608" t="str">
        <f>IF(AND(S_1!$G$8="ja",S_1!$K$8="nein"),S_1!$C$2,"")</f>
        <v/>
      </c>
      <c r="C40" s="1608" t="str">
        <f>IF(AND(S_1!$G$8="ja",S_1!$K$8="nein"),"","")</f>
        <v/>
      </c>
      <c r="D40" s="1609" t="str">
        <f>IF(AND(S_1!$G$8="ja",S_1!$K$8="nein"),S_1!$B$13,"")</f>
        <v/>
      </c>
      <c r="E40" s="1618" t="str">
        <f>IF(AND(S_1!$G$8="ja",S_1!$K$8="nein"),S_1!$C$13,"")</f>
        <v/>
      </c>
      <c r="F40" s="1609" t="str">
        <f>IF(AND(S_1!$G$8="ja",S_1!$K$8="nein"),S_1!$D$13,"")</f>
        <v/>
      </c>
      <c r="G40" s="1608" t="str">
        <f>IF(AND(S_1!$G$8="ja",S_1!$K$8="nein"),S_1!$E$13,"")</f>
        <v/>
      </c>
      <c r="H40" s="1609" t="str">
        <f>IF(AND(S_1!$G$8="ja",S_1!$K$8="nein"),S_1!$F$13,"")</f>
        <v/>
      </c>
      <c r="I40" s="1608" t="str">
        <f>IF(AND(S_1!$G$8="ja",S_1!$K$8="nein"),S_1!$G$13,"")</f>
        <v/>
      </c>
      <c r="J40" s="1609" t="str">
        <f>IF(AND(S_1!$G$8="ja",S_1!$K$8="nein"),S_1!$H$13,"")</f>
        <v/>
      </c>
      <c r="K40" s="1608" t="str">
        <f>IF(AND(S_1!$G$8="ja",S_1!$K$8="nein"),S_1!$I$13,"")</f>
        <v/>
      </c>
      <c r="L40" s="1609" t="str">
        <f>IF(AND(S_1!$G$8="ja",S_1!$K$8="nein"),S_1!$J$13,"")</f>
        <v/>
      </c>
      <c r="M40" s="1608" t="str">
        <f>IF(AND(S_1!$G$8="ja",S_1!$K$8="nein"),S_1!$K$13,"")</f>
        <v/>
      </c>
      <c r="N40" s="1609" t="str">
        <f>IF(AND(S_1!$G$8="ja",S_1!$K$8="nein"),S_1!$L$13,"")</f>
        <v/>
      </c>
      <c r="O40" s="1608" t="str">
        <f>IF(AND(S_1!$G$8="ja",S_1!$K$8="nein"),S_1!$M$13,"")</f>
        <v/>
      </c>
      <c r="P40" s="1609" t="str">
        <f>IF(AND(S_1!$G$8="ja",S_1!$K$8="nein"),S_1!$N$13,"")</f>
        <v/>
      </c>
      <c r="Q40" s="1608" t="str">
        <f>IF(AND(S_1!$G$8="ja",S_1!$K$8="nein"),S_1!$O$13,"")</f>
        <v/>
      </c>
      <c r="R40" s="1609" t="str">
        <f>IF(AND(S_1!$G$8="ja",S_1!$K$8="nein"),S_1!$P$13,"")</f>
        <v/>
      </c>
      <c r="S40" s="1617" t="str">
        <f>IF(AND(S_1!$G$8="ja",S_1!$K$8="nein"),S_1!Q49,"")</f>
        <v/>
      </c>
      <c r="T40" s="1617" t="str">
        <f>IF(AND(S_1!$G$8="ja",S_1!$K$8="nein"),S_1!R49,"")</f>
        <v/>
      </c>
      <c r="U40" s="1617" t="str">
        <f>IF(AND(S_1!$G$8="ja",S_1!$K$8="nein"),S_1!$S$13,"")</f>
        <v/>
      </c>
    </row>
    <row r="41" spans="2:21" ht="15" customHeight="1">
      <c r="B41" s="1608" t="str">
        <f>IF(AND(S_1!$G$8="ja",S_1!$K$8="ja"),S_1!$C$2,"")</f>
        <v/>
      </c>
      <c r="C41" s="1608" t="str">
        <f>IF(AND(S_1!$G$8="ja",S_1!$K$8="ja"),1,"")</f>
        <v/>
      </c>
      <c r="D41" s="1609" t="str">
        <f>IF(AND(S_1!$G$8="ja",S_1!$K$8="ja"),S_1!$B$14,"")</f>
        <v/>
      </c>
      <c r="E41" s="1618" t="str">
        <f>IF(AND(S_1!$G$8="ja",S_1!$K$8="ja"),S_1!$C$14,"")</f>
        <v/>
      </c>
      <c r="F41" s="1609" t="str">
        <f>IF(AND(S_1!$G$8="ja",S_1!$K$8="ja"),S_1!$D$14,"")</f>
        <v/>
      </c>
      <c r="G41" s="1608" t="str">
        <f>IF(AND(S_1!$G$8="ja",S_1!$K$8="ja"),S_1!$E$14,"")</f>
        <v/>
      </c>
      <c r="H41" s="1609" t="str">
        <f>IF(AND(S_1!$G$8="ja",S_1!$K$8="ja"),S_1!$F$14,"")</f>
        <v/>
      </c>
      <c r="I41" s="1608" t="str">
        <f>IF(AND(S_1!$G$8="ja",S_1!$K$8="ja"),S_1!$G$14,"")</f>
        <v/>
      </c>
      <c r="J41" s="1609" t="str">
        <f>IF(AND(S_1!$G$8="ja",S_1!$K$8="ja"),S_1!$H$14,"")</f>
        <v/>
      </c>
      <c r="K41" s="1608" t="str">
        <f>IF(AND(S_1!$G$8="ja",S_1!$K$8="ja"),S_1!$I$14,"")</f>
        <v/>
      </c>
      <c r="L41" s="1609" t="str">
        <f>IF(AND(S_1!$G$8="ja",S_1!$K$8="ja"),S_1!$J$14,"")</f>
        <v/>
      </c>
      <c r="M41" s="1608" t="str">
        <f>IF(AND(S_1!$G$8="ja",S_1!$K$8="ja"),S_1!$K$14,"")</f>
        <v/>
      </c>
      <c r="N41" s="1609" t="str">
        <f>IF(AND(S_1!$G$8="ja",S_1!$K$8="ja"),S_1!$L$14,"")</f>
        <v/>
      </c>
      <c r="O41" s="1608" t="str">
        <f>IF(AND(S_1!$G$8="ja",S_1!$K$8="ja"),S_1!$M$14,"")</f>
        <v/>
      </c>
      <c r="P41" s="1609" t="str">
        <f>IF(AND(S_1!$G$8="ja",S_1!$K$8="ja"),S_1!$N$14,"")</f>
        <v/>
      </c>
      <c r="Q41" s="1608" t="str">
        <f>IF(AND(S_1!$G$8="ja",S_1!$K$8="ja"),S_1!$O$14,"")</f>
        <v/>
      </c>
      <c r="R41" s="1609" t="str">
        <f>IF(AND(S_1!$G$8="ja",S_1!$K$8="ja"),S_1!$P$14,"")</f>
        <v/>
      </c>
      <c r="S41" s="1617" t="str">
        <f>IF(AND(S_1!$G$8="ja",S_1!$K$8="ja"),S_1!Q50,"")</f>
        <v/>
      </c>
      <c r="T41" s="1617" t="str">
        <f>IF(AND(S_1!$G$8="ja",S_1!$K$8="ja"),S_1!R50,"")</f>
        <v/>
      </c>
      <c r="U41" s="1617" t="str">
        <f>IF(AND(S_1!$G$8="ja",S_1!$K$8="ja"),S_1!$S$14,"")</f>
        <v/>
      </c>
    </row>
    <row r="42" spans="2:21" ht="15" customHeight="1">
      <c r="B42" s="1608" t="str">
        <f>IF(AND(S_1!$G$8="ja",S_1!$K$8="ja"),S_1!$C$2,"")</f>
        <v/>
      </c>
      <c r="C42" s="1608" t="str">
        <f>IF(AND(S_1!$G$8="ja",S_1!$K$8="ja"),2,"")</f>
        <v/>
      </c>
      <c r="D42" s="1609" t="str">
        <f>IF(AND(S_1!$G$8="ja",S_1!$K$8="ja"),S_1!$B$15,"")</f>
        <v/>
      </c>
      <c r="E42" s="1618" t="str">
        <f>IF(AND(S_1!$G$8="ja",S_1!$K$8="ja"),S_1!$C$15,"")</f>
        <v/>
      </c>
      <c r="F42" s="1609" t="str">
        <f>IF(AND(S_1!$G$8="ja",S_1!$K$8="ja"),S_1!$D$15,"")</f>
        <v/>
      </c>
      <c r="G42" s="1608" t="str">
        <f>IF(AND(S_1!$G$8="ja",S_1!$K$8="ja"),S_1!$E$15,"")</f>
        <v/>
      </c>
      <c r="H42" s="1609" t="str">
        <f>IF(AND(S_1!$G$8="ja",S_1!$K$8="ja"),S_1!$F$15,"")</f>
        <v/>
      </c>
      <c r="I42" s="1608" t="str">
        <f>IF(AND(S_1!$G$8="ja",S_1!$K$8="ja"),S_1!$G$15,"")</f>
        <v/>
      </c>
      <c r="J42" s="1609" t="str">
        <f>IF(AND(S_1!$G$8="ja",S_1!$K$8="ja"),S_1!$H$15,"")</f>
        <v/>
      </c>
      <c r="K42" s="1608" t="str">
        <f>IF(AND(S_1!$G$8="ja",S_1!$K$8="ja"),S_1!$I$15,"")</f>
        <v/>
      </c>
      <c r="L42" s="1609" t="str">
        <f>IF(AND(S_1!$G$8="ja",S_1!$K$8="ja"),S_1!$J$15,"")</f>
        <v/>
      </c>
      <c r="M42" s="1608" t="str">
        <f>IF(AND(S_1!$G$8="ja",S_1!$K$8="ja"),S_1!$K$15,"")</f>
        <v/>
      </c>
      <c r="N42" s="1609" t="str">
        <f>IF(AND(S_1!$G$8="ja",S_1!$K$8="ja"),S_1!$L$15,"")</f>
        <v/>
      </c>
      <c r="O42" s="1608" t="str">
        <f>IF(AND(S_1!$G$8="ja",S_1!$K$8="ja"),S_1!$M$15,"")</f>
        <v/>
      </c>
      <c r="P42" s="1609" t="str">
        <f>IF(AND(S_1!$G$8="ja",S_1!$K$8="ja"),S_1!$N$15,"")</f>
        <v/>
      </c>
      <c r="Q42" s="1608" t="str">
        <f>IF(AND(S_1!$G$8="ja",S_1!$K$8="ja"),S_1!$O$15,"")</f>
        <v/>
      </c>
      <c r="R42" s="1609" t="str">
        <f>IF(AND(S_1!$G$8="ja",S_1!$K$8="ja"),S_1!$P$15,"")</f>
        <v/>
      </c>
      <c r="S42" s="1617" t="str">
        <f>IF(AND(S_1!$G$8="ja",S_1!$K$8="ja"),S_1!Q51,"")</f>
        <v/>
      </c>
      <c r="T42" s="1617" t="str">
        <f>IF(AND(S_1!$G$8="ja",S_1!$K$8="ja"),S_1!R51,"")</f>
        <v/>
      </c>
      <c r="U42" s="1617" t="str">
        <f>IF(AND(S_1!$G$8="ja",S_1!$K$8="ja"),S_1!$S$15,"")</f>
        <v/>
      </c>
    </row>
    <row r="43" spans="2:21" ht="15" customHeight="1">
      <c r="B43" s="1608" t="str">
        <f>IF(AND(S_1!$G$8="ja",S_1!$K$8="nein"),S_1!$C$2,"")</f>
        <v/>
      </c>
      <c r="C43" s="1608" t="str">
        <f>IF(AND(S_1!$G$8="ja",S_1!$K$8="nein"),"","")</f>
        <v/>
      </c>
      <c r="D43" s="1609" t="str">
        <f>IF(AND(S_1!$G$8="ja",S_1!$K$8="nein"),S_1!$B$13,"")</f>
        <v/>
      </c>
      <c r="E43" s="1618" t="str">
        <f>IF(AND(S_1!$G$8="ja",S_1!$K$8="nein"),S_1!$C$13,"")</f>
        <v/>
      </c>
      <c r="F43" s="1609" t="str">
        <f>IF(AND(S_1!$G$8="ja",S_1!$K$8="nein"),S_1!$D$13,"")</f>
        <v/>
      </c>
      <c r="G43" s="1608" t="str">
        <f>IF(AND(S_1!$G$8="ja",S_1!$K$8="nein"),S_1!$E$13,"")</f>
        <v/>
      </c>
      <c r="H43" s="1609" t="str">
        <f>IF(AND(S_1!$G$8="ja",S_1!$K$8="nein"),S_1!$F$13,"")</f>
        <v/>
      </c>
      <c r="I43" s="1608" t="str">
        <f>IF(AND(S_1!$G$8="ja",S_1!$K$8="nein"),S_1!$G$13,"")</f>
        <v/>
      </c>
      <c r="J43" s="1609" t="str">
        <f>IF(AND(S_1!$G$8="ja",S_1!$K$8="nein"),S_1!$H$13,"")</f>
        <v/>
      </c>
      <c r="K43" s="1608" t="str">
        <f>IF(AND(S_1!$G$8="ja",S_1!$K$8="nein"),S_1!$I$13,"")</f>
        <v/>
      </c>
      <c r="L43" s="1609" t="str">
        <f>IF(AND(S_1!$G$8="ja",S_1!$K$8="nein"),S_1!$J$13,"")</f>
        <v/>
      </c>
      <c r="M43" s="1608" t="str">
        <f>IF(AND(S_1!$G$8="ja",S_1!$K$8="nein"),S_1!$K$13,"")</f>
        <v/>
      </c>
      <c r="N43" s="1609" t="str">
        <f>IF(AND(S_1!$G$8="ja",S_1!$K$8="nein"),S_1!$L$13,"")</f>
        <v/>
      </c>
      <c r="O43" s="1608" t="str">
        <f>IF(AND(S_1!$G$8="ja",S_1!$K$8="nein"),S_1!$M$13,"")</f>
        <v/>
      </c>
      <c r="P43" s="1609" t="str">
        <f>IF(AND(S_1!$G$8="ja",S_1!$K$8="nein"),S_1!$N$13,"")</f>
        <v/>
      </c>
      <c r="Q43" s="1608" t="str">
        <f>IF(AND(S_1!$G$8="ja",S_1!$K$8="nein"),S_1!$O$13,"")</f>
        <v/>
      </c>
      <c r="R43" s="1609" t="str">
        <f>IF(AND(S_1!$G$8="ja",S_1!$K$8="nein"),S_1!$P$13,"")</f>
        <v/>
      </c>
      <c r="S43" s="1617" t="str">
        <f>IF(AND(S_1!$G$8="ja",S_1!$K$8="nein"),S_1!Q52,"")</f>
        <v/>
      </c>
      <c r="T43" s="1617" t="str">
        <f>IF(AND(S_1!$G$8="ja",S_1!$K$8="nein"),S_1!R52,"")</f>
        <v/>
      </c>
      <c r="U43" s="1617" t="str">
        <f>IF(AND(S_1!$G$8="ja",S_1!$K$8="nein"),S_1!$S$13,"")</f>
        <v/>
      </c>
    </row>
    <row r="44" spans="2:21" ht="15" customHeight="1">
      <c r="B44" s="1608" t="str">
        <f>IF(AND(S_1!$G$8="ja",S_1!$K$8="ja"),S_1!$C$2,"")</f>
        <v/>
      </c>
      <c r="C44" s="1608" t="str">
        <f>IF(AND(S_1!$G$8="ja",S_1!$K$8="ja"),1,"")</f>
        <v/>
      </c>
      <c r="D44" s="1609" t="str">
        <f>IF(AND(S_1!$G$8="ja",S_1!$K$8="ja"),S_1!$B$14,"")</f>
        <v/>
      </c>
      <c r="E44" s="1618" t="str">
        <f>IF(AND(S_1!$G$8="ja",S_1!$K$8="ja"),S_1!$C$14,"")</f>
        <v/>
      </c>
      <c r="F44" s="1609" t="str">
        <f>IF(AND(S_1!$G$8="ja",S_1!$K$8="ja"),S_1!$D$14,"")</f>
        <v/>
      </c>
      <c r="G44" s="1608" t="str">
        <f>IF(AND(S_1!$G$8="ja",S_1!$K$8="ja"),S_1!$E$14,"")</f>
        <v/>
      </c>
      <c r="H44" s="1609" t="str">
        <f>IF(AND(S_1!$G$8="ja",S_1!$K$8="ja"),S_1!$F$14,"")</f>
        <v/>
      </c>
      <c r="I44" s="1608" t="str">
        <f>IF(AND(S_1!$G$8="ja",S_1!$K$8="ja"),S_1!$G$14,"")</f>
        <v/>
      </c>
      <c r="J44" s="1609" t="str">
        <f>IF(AND(S_1!$G$8="ja",S_1!$K$8="ja"),S_1!$H$14,"")</f>
        <v/>
      </c>
      <c r="K44" s="1608" t="str">
        <f>IF(AND(S_1!$G$8="ja",S_1!$K$8="ja"),S_1!$I$14,"")</f>
        <v/>
      </c>
      <c r="L44" s="1609" t="str">
        <f>IF(AND(S_1!$G$8="ja",S_1!$K$8="ja"),S_1!$J$14,"")</f>
        <v/>
      </c>
      <c r="M44" s="1608" t="str">
        <f>IF(AND(S_1!$G$8="ja",S_1!$K$8="ja"),S_1!$K$14,"")</f>
        <v/>
      </c>
      <c r="N44" s="1609" t="str">
        <f>IF(AND(S_1!$G$8="ja",S_1!$K$8="ja"),S_1!$L$14,"")</f>
        <v/>
      </c>
      <c r="O44" s="1608" t="str">
        <f>IF(AND(S_1!$G$8="ja",S_1!$K$8="ja"),S_1!$M$14,"")</f>
        <v/>
      </c>
      <c r="P44" s="1609" t="str">
        <f>IF(AND(S_1!$G$8="ja",S_1!$K$8="ja"),S_1!$N$14,"")</f>
        <v/>
      </c>
      <c r="Q44" s="1608" t="str">
        <f>IF(AND(S_1!$G$8="ja",S_1!$K$8="ja"),S_1!$O$14,"")</f>
        <v/>
      </c>
      <c r="R44" s="1609" t="str">
        <f>IF(AND(S_1!$G$8="ja",S_1!$K$8="ja"),S_1!$P$14,"")</f>
        <v/>
      </c>
      <c r="S44" s="1617" t="str">
        <f>IF(AND(S_1!$G$8="ja",S_1!$K$8="ja"),S_1!Q53,"")</f>
        <v/>
      </c>
      <c r="T44" s="1617" t="str">
        <f>IF(AND(S_1!$G$8="ja",S_1!$K$8="ja"),S_1!R53,"")</f>
        <v/>
      </c>
      <c r="U44" s="1617" t="str">
        <f>IF(AND(S_1!$G$8="ja",S_1!$K$8="ja"),S_1!$S$14,"")</f>
        <v/>
      </c>
    </row>
    <row r="45" spans="2:21" ht="15" customHeight="1">
      <c r="B45" s="1608" t="str">
        <f>IF(AND(S_1!$G$8="ja",S_1!$K$8="ja"),S_1!$C$2,"")</f>
        <v/>
      </c>
      <c r="C45" s="1608" t="str">
        <f>IF(AND(S_1!$G$8="ja",S_1!$K$8="ja"),2,"")</f>
        <v/>
      </c>
      <c r="D45" s="1609" t="str">
        <f>IF(AND(S_1!$G$8="ja",S_1!$K$8="ja"),S_1!$B$15,"")</f>
        <v/>
      </c>
      <c r="E45" s="1618" t="str">
        <f>IF(AND(S_1!$G$8="ja",S_1!$K$8="ja"),S_1!$C$15,"")</f>
        <v/>
      </c>
      <c r="F45" s="1609" t="str">
        <f>IF(AND(S_1!$G$8="ja",S_1!$K$8="ja"),S_1!$D$15,"")</f>
        <v/>
      </c>
      <c r="G45" s="1608" t="str">
        <f>IF(AND(S_1!$G$8="ja",S_1!$K$8="ja"),S_1!$E$15,"")</f>
        <v/>
      </c>
      <c r="H45" s="1609" t="str">
        <f>IF(AND(S_1!$G$8="ja",S_1!$K$8="ja"),S_1!$F$15,"")</f>
        <v/>
      </c>
      <c r="I45" s="1608" t="str">
        <f>IF(AND(S_1!$G$8="ja",S_1!$K$8="ja"),S_1!$G$15,"")</f>
        <v/>
      </c>
      <c r="J45" s="1609" t="str">
        <f>IF(AND(S_1!$G$8="ja",S_1!$K$8="ja"),S_1!$H$15,"")</f>
        <v/>
      </c>
      <c r="K45" s="1608" t="str">
        <f>IF(AND(S_1!$G$8="ja",S_1!$K$8="ja"),S_1!$I$15,"")</f>
        <v/>
      </c>
      <c r="L45" s="1609" t="str">
        <f>IF(AND(S_1!$G$8="ja",S_1!$K$8="ja"),S_1!$J$15,"")</f>
        <v/>
      </c>
      <c r="M45" s="1608" t="str">
        <f>IF(AND(S_1!$G$8="ja",S_1!$K$8="ja"),S_1!$K$15,"")</f>
        <v/>
      </c>
      <c r="N45" s="1609" t="str">
        <f>IF(AND(S_1!$G$8="ja",S_1!$K$8="ja"),S_1!$L$15,"")</f>
        <v/>
      </c>
      <c r="O45" s="1608" t="str">
        <f>IF(AND(S_1!$G$8="ja",S_1!$K$8="ja"),S_1!$M$15,"")</f>
        <v/>
      </c>
      <c r="P45" s="1609" t="str">
        <f>IF(AND(S_1!$G$8="ja",S_1!$K$8="ja"),S_1!$N$15,"")</f>
        <v/>
      </c>
      <c r="Q45" s="1608" t="str">
        <f>IF(AND(S_1!$G$8="ja",S_1!$K$8="ja"),S_1!$O$15,"")</f>
        <v/>
      </c>
      <c r="R45" s="1609" t="str">
        <f>IF(AND(S_1!$G$8="ja",S_1!$K$8="ja"),S_1!$P$15,"")</f>
        <v/>
      </c>
      <c r="S45" s="1617" t="str">
        <f>IF(AND(S_1!$G$8="ja",S_1!$K$8="ja"),S_1!Q54,"")</f>
        <v/>
      </c>
      <c r="T45" s="1617" t="str">
        <f>IF(AND(S_1!$G$8="ja",S_1!$K$8="ja"),S_1!R54,"")</f>
        <v/>
      </c>
      <c r="U45" s="1617" t="str">
        <f>IF(AND(S_1!$G$8="ja",S_1!$K$8="ja"),S_1!$S$15,"")</f>
        <v/>
      </c>
    </row>
    <row r="46" spans="2:21" ht="15" customHeight="1">
      <c r="B46" s="1608" t="str">
        <f>IF(AND(S_1!$G$8="ja",S_1!$K$8="nein"),S_1!$C$2,"")</f>
        <v/>
      </c>
      <c r="C46" s="1608" t="str">
        <f>IF(AND(S_1!$G$8="ja",S_1!$K$8="nein"),"","")</f>
        <v/>
      </c>
      <c r="D46" s="1609" t="str">
        <f>IF(AND(S_1!$G$8="ja",S_1!$K$8="nein"),S_1!$B$13,"")</f>
        <v/>
      </c>
      <c r="E46" s="1618" t="str">
        <f>IF(AND(S_1!$G$8="ja",S_1!$K$8="nein"),S_1!$C$13,"")</f>
        <v/>
      </c>
      <c r="F46" s="1609" t="str">
        <f>IF(AND(S_1!$G$8="ja",S_1!$K$8="nein"),S_1!$D$13,"")</f>
        <v/>
      </c>
      <c r="G46" s="1608" t="str">
        <f>IF(AND(S_1!$G$8="ja",S_1!$K$8="nein"),S_1!$E$13,"")</f>
        <v/>
      </c>
      <c r="H46" s="1609" t="str">
        <f>IF(AND(S_1!$G$8="ja",S_1!$K$8="nein"),S_1!$F$13,"")</f>
        <v/>
      </c>
      <c r="I46" s="1608" t="str">
        <f>IF(AND(S_1!$G$8="ja",S_1!$K$8="nein"),S_1!$G$13,"")</f>
        <v/>
      </c>
      <c r="J46" s="1609" t="str">
        <f>IF(AND(S_1!$G$8="ja",S_1!$K$8="nein"),S_1!$H$13,"")</f>
        <v/>
      </c>
      <c r="K46" s="1608" t="str">
        <f>IF(AND(S_1!$G$8="ja",S_1!$K$8="nein"),S_1!$I$13,"")</f>
        <v/>
      </c>
      <c r="L46" s="1609" t="str">
        <f>IF(AND(S_1!$G$8="ja",S_1!$K$8="nein"),S_1!$J$13,"")</f>
        <v/>
      </c>
      <c r="M46" s="1608" t="str">
        <f>IF(AND(S_1!$G$8="ja",S_1!$K$8="nein"),S_1!$K$13,"")</f>
        <v/>
      </c>
      <c r="N46" s="1609" t="str">
        <f>IF(AND(S_1!$G$8="ja",S_1!$K$8="nein"),S_1!$L$13,"")</f>
        <v/>
      </c>
      <c r="O46" s="1608" t="str">
        <f>IF(AND(S_1!$G$8="ja",S_1!$K$8="nein"),S_1!$M$13,"")</f>
        <v/>
      </c>
      <c r="P46" s="1609" t="str">
        <f>IF(AND(S_1!$G$8="ja",S_1!$K$8="nein"),S_1!$N$13,"")</f>
        <v/>
      </c>
      <c r="Q46" s="1608" t="str">
        <f>IF(AND(S_1!$G$8="ja",S_1!$K$8="nein"),S_1!$O$13,"")</f>
        <v/>
      </c>
      <c r="R46" s="1609" t="str">
        <f>IF(AND(S_1!$G$8="ja",S_1!$K$8="nein"),S_1!$P$13,"")</f>
        <v/>
      </c>
      <c r="S46" s="1617" t="str">
        <f>IF(AND(S_1!$G$8="ja",S_1!$K$8="nein"),S_1!Q55,"")</f>
        <v/>
      </c>
      <c r="T46" s="1617" t="str">
        <f>IF(AND(S_1!$G$8="ja",S_1!$K$8="nein"),S_1!R55,"")</f>
        <v/>
      </c>
      <c r="U46" s="1617" t="str">
        <f>IF(AND(S_1!$G$8="ja",S_1!$K$8="nein"),S_1!$S$13,"")</f>
        <v/>
      </c>
    </row>
    <row r="47" spans="2:21" ht="15" customHeight="1">
      <c r="B47" s="1608" t="str">
        <f>IF(AND(S_1!$G$8="ja",S_1!$K$8="ja"),S_1!$C$2,"")</f>
        <v/>
      </c>
      <c r="C47" s="1608" t="str">
        <f>IF(AND(S_1!$G$8="ja",S_1!$K$8="ja"),1,"")</f>
        <v/>
      </c>
      <c r="D47" s="1609" t="str">
        <f>IF(AND(S_1!$G$8="ja",S_1!$K$8="ja"),S_1!$B$14,"")</f>
        <v/>
      </c>
      <c r="E47" s="1618" t="str">
        <f>IF(AND(S_1!$G$8="ja",S_1!$K$8="ja"),S_1!$C$14,"")</f>
        <v/>
      </c>
      <c r="F47" s="1609" t="str">
        <f>IF(AND(S_1!$G$8="ja",S_1!$K$8="ja"),S_1!$D$14,"")</f>
        <v/>
      </c>
      <c r="G47" s="1608" t="str">
        <f>IF(AND(S_1!$G$8="ja",S_1!$K$8="ja"),S_1!$E$14,"")</f>
        <v/>
      </c>
      <c r="H47" s="1609" t="str">
        <f>IF(AND(S_1!$G$8="ja",S_1!$K$8="ja"),S_1!$F$14,"")</f>
        <v/>
      </c>
      <c r="I47" s="1608" t="str">
        <f>IF(AND(S_1!$G$8="ja",S_1!$K$8="ja"),S_1!$G$14,"")</f>
        <v/>
      </c>
      <c r="J47" s="1609" t="str">
        <f>IF(AND(S_1!$G$8="ja",S_1!$K$8="ja"),S_1!$H$14,"")</f>
        <v/>
      </c>
      <c r="K47" s="1608" t="str">
        <f>IF(AND(S_1!$G$8="ja",S_1!$K$8="ja"),S_1!$I$14,"")</f>
        <v/>
      </c>
      <c r="L47" s="1609" t="str">
        <f>IF(AND(S_1!$G$8="ja",S_1!$K$8="ja"),S_1!$J$14,"")</f>
        <v/>
      </c>
      <c r="M47" s="1608" t="str">
        <f>IF(AND(S_1!$G$8="ja",S_1!$K$8="ja"),S_1!$K$14,"")</f>
        <v/>
      </c>
      <c r="N47" s="1609" t="str">
        <f>IF(AND(S_1!$G$8="ja",S_1!$K$8="ja"),S_1!$L$14,"")</f>
        <v/>
      </c>
      <c r="O47" s="1608" t="str">
        <f>IF(AND(S_1!$G$8="ja",S_1!$K$8="ja"),S_1!$M$14,"")</f>
        <v/>
      </c>
      <c r="P47" s="1609" t="str">
        <f>IF(AND(S_1!$G$8="ja",S_1!$K$8="ja"),S_1!$N$14,"")</f>
        <v/>
      </c>
      <c r="Q47" s="1608" t="str">
        <f>IF(AND(S_1!$G$8="ja",S_1!$K$8="ja"),S_1!$O$14,"")</f>
        <v/>
      </c>
      <c r="R47" s="1609" t="str">
        <f>IF(AND(S_1!$G$8="ja",S_1!$K$8="ja"),S_1!$P$14,"")</f>
        <v/>
      </c>
      <c r="S47" s="1617" t="str">
        <f>IF(AND(S_1!$G$8="ja",S_1!$K$8="ja"),S_1!Q56,"")</f>
        <v/>
      </c>
      <c r="T47" s="1617" t="str">
        <f>IF(AND(S_1!$G$8="ja",S_1!$K$8="ja"),S_1!R56,"")</f>
        <v/>
      </c>
      <c r="U47" s="1617" t="str">
        <f>IF(AND(S_1!$G$8="ja",S_1!$K$8="ja"),S_1!$S$14,"")</f>
        <v/>
      </c>
    </row>
    <row r="48" spans="2:21" ht="15" customHeight="1">
      <c r="B48" s="1608" t="str">
        <f>IF(AND(S_1!$G$8="ja",S_1!$K$8="ja"),S_1!$C$2,"")</f>
        <v/>
      </c>
      <c r="C48" s="1608" t="str">
        <f>IF(AND(S_1!$G$8="ja",S_1!$K$8="ja"),2,"")</f>
        <v/>
      </c>
      <c r="D48" s="1609" t="str">
        <f>IF(AND(S_1!$G$8="ja",S_1!$K$8="ja"),S_1!$B$15,"")</f>
        <v/>
      </c>
      <c r="E48" s="1618" t="str">
        <f>IF(AND(S_1!$G$8="ja",S_1!$K$8="ja"),S_1!$C$15,"")</f>
        <v/>
      </c>
      <c r="F48" s="1609" t="str">
        <f>IF(AND(S_1!$G$8="ja",S_1!$K$8="ja"),S_1!$D$15,"")</f>
        <v/>
      </c>
      <c r="G48" s="1608" t="str">
        <f>IF(AND(S_1!$G$8="ja",S_1!$K$8="ja"),S_1!$E$15,"")</f>
        <v/>
      </c>
      <c r="H48" s="1609" t="str">
        <f>IF(AND(S_1!$G$8="ja",S_1!$K$8="ja"),S_1!$F$15,"")</f>
        <v/>
      </c>
      <c r="I48" s="1608" t="str">
        <f>IF(AND(S_1!$G$8="ja",S_1!$K$8="ja"),S_1!$G$15,"")</f>
        <v/>
      </c>
      <c r="J48" s="1609" t="str">
        <f>IF(AND(S_1!$G$8="ja",S_1!$K$8="ja"),S_1!$H$15,"")</f>
        <v/>
      </c>
      <c r="K48" s="1608" t="str">
        <f>IF(AND(S_1!$G$8="ja",S_1!$K$8="ja"),S_1!$I$15,"")</f>
        <v/>
      </c>
      <c r="L48" s="1609" t="str">
        <f>IF(AND(S_1!$G$8="ja",S_1!$K$8="ja"),S_1!$J$15,"")</f>
        <v/>
      </c>
      <c r="M48" s="1608" t="str">
        <f>IF(AND(S_1!$G$8="ja",S_1!$K$8="ja"),S_1!$K$15,"")</f>
        <v/>
      </c>
      <c r="N48" s="1609" t="str">
        <f>IF(AND(S_1!$G$8="ja",S_1!$K$8="ja"),S_1!$L$15,"")</f>
        <v/>
      </c>
      <c r="O48" s="1608" t="str">
        <f>IF(AND(S_1!$G$8="ja",S_1!$K$8="ja"),S_1!$M$15,"")</f>
        <v/>
      </c>
      <c r="P48" s="1609" t="str">
        <f>IF(AND(S_1!$G$8="ja",S_1!$K$8="ja"),S_1!$N$15,"")</f>
        <v/>
      </c>
      <c r="Q48" s="1608" t="str">
        <f>IF(AND(S_1!$G$8="ja",S_1!$K$8="ja"),S_1!$O$15,"")</f>
        <v/>
      </c>
      <c r="R48" s="1609" t="str">
        <f>IF(AND(S_1!$G$8="ja",S_1!$K$8="ja"),S_1!$P$15,"")</f>
        <v/>
      </c>
      <c r="S48" s="1617" t="str">
        <f>IF(AND(S_1!$G$8="ja",S_1!$K$8="ja"),S_1!Q57,"")</f>
        <v/>
      </c>
      <c r="T48" s="1617" t="str">
        <f>IF(AND(S_1!$G$8="ja",S_1!$K$8="ja"),S_1!R57,"")</f>
        <v/>
      </c>
      <c r="U48" s="1617" t="str">
        <f>IF(AND(S_1!$G$8="ja",S_1!$K$8="ja"),S_1!$S$15,"")</f>
        <v/>
      </c>
    </row>
    <row r="49" spans="2:21" ht="15" customHeight="1">
      <c r="B49" s="1608" t="str">
        <f>IF(AND(S_1!$G$8="ja",S_1!$K$8="nein"),S_1!$C$2,"")</f>
        <v/>
      </c>
      <c r="C49" s="1608" t="str">
        <f>IF(AND(S_1!$G$8="ja",S_1!$K$8="nein"),"","")</f>
        <v/>
      </c>
      <c r="D49" s="1609" t="str">
        <f>IF(AND(S_1!$G$8="ja",S_1!$K$8="nein"),S_1!$B$13,"")</f>
        <v/>
      </c>
      <c r="E49" s="1618" t="str">
        <f>IF(AND(S_1!$G$8="ja",S_1!$K$8="nein"),S_1!$C$13,"")</f>
        <v/>
      </c>
      <c r="F49" s="1609" t="str">
        <f>IF(AND(S_1!$G$8="ja",S_1!$K$8="nein"),S_1!$D$13,"")</f>
        <v/>
      </c>
      <c r="G49" s="1608" t="str">
        <f>IF(AND(S_1!$G$8="ja",S_1!$K$8="nein"),S_1!$E$13,"")</f>
        <v/>
      </c>
      <c r="H49" s="1609" t="str">
        <f>IF(AND(S_1!$G$8="ja",S_1!$K$8="nein"),S_1!$F$13,"")</f>
        <v/>
      </c>
      <c r="I49" s="1608" t="str">
        <f>IF(AND(S_1!$G$8="ja",S_1!$K$8="nein"),S_1!$G$13,"")</f>
        <v/>
      </c>
      <c r="J49" s="1609" t="str">
        <f>IF(AND(S_1!$G$8="ja",S_1!$K$8="nein"),S_1!$H$13,"")</f>
        <v/>
      </c>
      <c r="K49" s="1608" t="str">
        <f>IF(AND(S_1!$G$8="ja",S_1!$K$8="nein"),S_1!$I$13,"")</f>
        <v/>
      </c>
      <c r="L49" s="1609" t="str">
        <f>IF(AND(S_1!$G$8="ja",S_1!$K$8="nein"),S_1!$J$13,"")</f>
        <v/>
      </c>
      <c r="M49" s="1608" t="str">
        <f>IF(AND(S_1!$G$8="ja",S_1!$K$8="nein"),S_1!$K$13,"")</f>
        <v/>
      </c>
      <c r="N49" s="1609" t="str">
        <f>IF(AND(S_1!$G$8="ja",S_1!$K$8="nein"),S_1!$L$13,"")</f>
        <v/>
      </c>
      <c r="O49" s="1608" t="str">
        <f>IF(AND(S_1!$G$8="ja",S_1!$K$8="nein"),S_1!$M$13,"")</f>
        <v/>
      </c>
      <c r="P49" s="1609" t="str">
        <f>IF(AND(S_1!$G$8="ja",S_1!$K$8="nein"),S_1!$N$13,"")</f>
        <v/>
      </c>
      <c r="Q49" s="1608" t="str">
        <f>IF(AND(S_1!$G$8="ja",S_1!$K$8="nein"),S_1!$O$13,"")</f>
        <v/>
      </c>
      <c r="R49" s="1609" t="str">
        <f>IF(AND(S_1!$G$8="ja",S_1!$K$8="nein"),S_1!$P$13,"")</f>
        <v/>
      </c>
      <c r="S49" s="1617" t="str">
        <f>IF(AND(S_1!$G$8="ja",S_1!$K$8="nein"),S_1!Q58,"")</f>
        <v/>
      </c>
      <c r="T49" s="1617" t="str">
        <f>IF(AND(S_1!$G$8="ja",S_1!$K$8="nein"),S_1!R58,"")</f>
        <v/>
      </c>
      <c r="U49" s="1617" t="str">
        <f>IF(AND(S_1!$G$8="ja",S_1!$K$8="nein"),S_1!$S$13,"")</f>
        <v/>
      </c>
    </row>
    <row r="50" spans="2:21" ht="15" customHeight="1">
      <c r="B50" s="1608" t="str">
        <f>IF(AND(S_1!$G$8="ja",S_1!$K$8="ja"),S_1!$C$2,"")</f>
        <v/>
      </c>
      <c r="C50" s="1608" t="str">
        <f>IF(AND(S_1!$G$8="ja",S_1!$K$8="ja"),1,"")</f>
        <v/>
      </c>
      <c r="D50" s="1609" t="str">
        <f>IF(AND(S_1!$G$8="ja",S_1!$K$8="ja"),S_1!$B$14,"")</f>
        <v/>
      </c>
      <c r="E50" s="1618" t="str">
        <f>IF(AND(S_1!$G$8="ja",S_1!$K$8="ja"),S_1!$C$14,"")</f>
        <v/>
      </c>
      <c r="F50" s="1609" t="str">
        <f>IF(AND(S_1!$G$8="ja",S_1!$K$8="ja"),S_1!$D$14,"")</f>
        <v/>
      </c>
      <c r="G50" s="1608" t="str">
        <f>IF(AND(S_1!$G$8="ja",S_1!$K$8="ja"),S_1!$E$14,"")</f>
        <v/>
      </c>
      <c r="H50" s="1609" t="str">
        <f>IF(AND(S_1!$G$8="ja",S_1!$K$8="ja"),S_1!$F$14,"")</f>
        <v/>
      </c>
      <c r="I50" s="1608" t="str">
        <f>IF(AND(S_1!$G$8="ja",S_1!$K$8="ja"),S_1!$G$14,"")</f>
        <v/>
      </c>
      <c r="J50" s="1609" t="str">
        <f>IF(AND(S_1!$G$8="ja",S_1!$K$8="ja"),S_1!$H$14,"")</f>
        <v/>
      </c>
      <c r="K50" s="1608" t="str">
        <f>IF(AND(S_1!$G$8="ja",S_1!$K$8="ja"),S_1!$I$14,"")</f>
        <v/>
      </c>
      <c r="L50" s="1609" t="str">
        <f>IF(AND(S_1!$G$8="ja",S_1!$K$8="ja"),S_1!$J$14,"")</f>
        <v/>
      </c>
      <c r="M50" s="1608" t="str">
        <f>IF(AND(S_1!$G$8="ja",S_1!$K$8="ja"),S_1!$K$14,"")</f>
        <v/>
      </c>
      <c r="N50" s="1609" t="str">
        <f>IF(AND(S_1!$G$8="ja",S_1!$K$8="ja"),S_1!$L$14,"")</f>
        <v/>
      </c>
      <c r="O50" s="1608" t="str">
        <f>IF(AND(S_1!$G$8="ja",S_1!$K$8="ja"),S_1!$M$14,"")</f>
        <v/>
      </c>
      <c r="P50" s="1609" t="str">
        <f>IF(AND(S_1!$G$8="ja",S_1!$K$8="ja"),S_1!$N$14,"")</f>
        <v/>
      </c>
      <c r="Q50" s="1608" t="str">
        <f>IF(AND(S_1!$G$8="ja",S_1!$K$8="ja"),S_1!$O$14,"")</f>
        <v/>
      </c>
      <c r="R50" s="1609" t="str">
        <f>IF(AND(S_1!$G$8="ja",S_1!$K$8="ja"),S_1!$P$14,"")</f>
        <v/>
      </c>
      <c r="S50" s="1617" t="str">
        <f>IF(AND(S_1!$G$8="ja",S_1!$K$8="ja"),S_1!Q59,"")</f>
        <v/>
      </c>
      <c r="T50" s="1617" t="str">
        <f>IF(AND(S_1!$G$8="ja",S_1!$K$8="ja"),S_1!R59,"")</f>
        <v/>
      </c>
      <c r="U50" s="1617" t="str">
        <f>IF(AND(S_1!$G$8="ja",S_1!$K$8="ja"),S_1!$S$14,"")</f>
        <v/>
      </c>
    </row>
    <row r="51" spans="2:21" ht="15" customHeight="1">
      <c r="B51" s="1608" t="str">
        <f>IF(AND(S_1!$G$8="ja",S_1!$K$8="ja"),S_1!$C$2,"")</f>
        <v/>
      </c>
      <c r="C51" s="1608" t="str">
        <f>IF(AND(S_1!$G$8="ja",S_1!$K$8="ja"),2,"")</f>
        <v/>
      </c>
      <c r="D51" s="1609" t="str">
        <f>IF(AND(S_1!$G$8="ja",S_1!$K$8="ja"),S_1!$B$15,"")</f>
        <v/>
      </c>
      <c r="E51" s="1618" t="str">
        <f>IF(AND(S_1!$G$8="ja",S_1!$K$8="ja"),S_1!$C$15,"")</f>
        <v/>
      </c>
      <c r="F51" s="1609" t="str">
        <f>IF(AND(S_1!$G$8="ja",S_1!$K$8="ja"),S_1!$D$15,"")</f>
        <v/>
      </c>
      <c r="G51" s="1608" t="str">
        <f>IF(AND(S_1!$G$8="ja",S_1!$K$8="ja"),S_1!$E$15,"")</f>
        <v/>
      </c>
      <c r="H51" s="1609" t="str">
        <f>IF(AND(S_1!$G$8="ja",S_1!$K$8="ja"),S_1!$F$15,"")</f>
        <v/>
      </c>
      <c r="I51" s="1608" t="str">
        <f>IF(AND(S_1!$G$8="ja",S_1!$K$8="ja"),S_1!$G$15,"")</f>
        <v/>
      </c>
      <c r="J51" s="1609" t="str">
        <f>IF(AND(S_1!$G$8="ja",S_1!$K$8="ja"),S_1!$H$15,"")</f>
        <v/>
      </c>
      <c r="K51" s="1608" t="str">
        <f>IF(AND(S_1!$G$8="ja",S_1!$K$8="ja"),S_1!$I$15,"")</f>
        <v/>
      </c>
      <c r="L51" s="1609" t="str">
        <f>IF(AND(S_1!$G$8="ja",S_1!$K$8="ja"),S_1!$J$15,"")</f>
        <v/>
      </c>
      <c r="M51" s="1608" t="str">
        <f>IF(AND(S_1!$G$8="ja",S_1!$K$8="ja"),S_1!$K$15,"")</f>
        <v/>
      </c>
      <c r="N51" s="1609" t="str">
        <f>IF(AND(S_1!$G$8="ja",S_1!$K$8="ja"),S_1!$L$15,"")</f>
        <v/>
      </c>
      <c r="O51" s="1608" t="str">
        <f>IF(AND(S_1!$G$8="ja",S_1!$K$8="ja"),S_1!$M$15,"")</f>
        <v/>
      </c>
      <c r="P51" s="1609" t="str">
        <f>IF(AND(S_1!$G$8="ja",S_1!$K$8="ja"),S_1!$N$15,"")</f>
        <v/>
      </c>
      <c r="Q51" s="1608" t="str">
        <f>IF(AND(S_1!$G$8="ja",S_1!$K$8="ja"),S_1!$O$15,"")</f>
        <v/>
      </c>
      <c r="R51" s="1609" t="str">
        <f>IF(AND(S_1!$G$8="ja",S_1!$K$8="ja"),S_1!$P$15,"")</f>
        <v/>
      </c>
      <c r="S51" s="1617" t="str">
        <f>IF(AND(S_1!$G$8="ja",S_1!$K$8="ja"),S_1!Q60,"")</f>
        <v/>
      </c>
      <c r="T51" s="1617" t="str">
        <f>IF(AND(S_1!$G$8="ja",S_1!$K$8="ja"),S_1!R60,"")</f>
        <v/>
      </c>
      <c r="U51" s="1617" t="str">
        <f>IF(AND(S_1!$G$8="ja",S_1!$K$8="ja"),S_1!$S$15,"")</f>
        <v/>
      </c>
    </row>
    <row r="52" spans="2:21" ht="15" customHeight="1">
      <c r="B52" s="1608" t="str">
        <f>IF(AND(S_1!$G$8="ja",S_1!$K$8="nein"),S_1!$C$2,"")</f>
        <v/>
      </c>
      <c r="C52" s="1608" t="str">
        <f>IF(AND(S_1!$G$8="ja",S_1!$K$8="nein"),"","")</f>
        <v/>
      </c>
      <c r="D52" s="1609" t="str">
        <f>IF(AND(S_1!$G$8="ja",S_1!$K$8="nein"),S_1!$B$13,"")</f>
        <v/>
      </c>
      <c r="E52" s="1618" t="str">
        <f>IF(AND(S_1!$G$8="ja",S_1!$K$8="nein"),S_1!$C$13,"")</f>
        <v/>
      </c>
      <c r="F52" s="1609" t="str">
        <f>IF(AND(S_1!$G$8="ja",S_1!$K$8="nein"),S_1!$D$13,"")</f>
        <v/>
      </c>
      <c r="G52" s="1608" t="str">
        <f>IF(AND(S_1!$G$8="ja",S_1!$K$8="nein"),S_1!$E$13,"")</f>
        <v/>
      </c>
      <c r="H52" s="1609" t="str">
        <f>IF(AND(S_1!$G$8="ja",S_1!$K$8="nein"),S_1!$F$13,"")</f>
        <v/>
      </c>
      <c r="I52" s="1608" t="str">
        <f>IF(AND(S_1!$G$8="ja",S_1!$K$8="nein"),S_1!$G$13,"")</f>
        <v/>
      </c>
      <c r="J52" s="1609" t="str">
        <f>IF(AND(S_1!$G$8="ja",S_1!$K$8="nein"),S_1!$H$13,"")</f>
        <v/>
      </c>
      <c r="K52" s="1608" t="str">
        <f>IF(AND(S_1!$G$8="ja",S_1!$K$8="nein"),S_1!$I$13,"")</f>
        <v/>
      </c>
      <c r="L52" s="1609" t="str">
        <f>IF(AND(S_1!$G$8="ja",S_1!$K$8="nein"),S_1!$J$13,"")</f>
        <v/>
      </c>
      <c r="M52" s="1608" t="str">
        <f>IF(AND(S_1!$G$8="ja",S_1!$K$8="nein"),S_1!$K$13,"")</f>
        <v/>
      </c>
      <c r="N52" s="1609" t="str">
        <f>IF(AND(S_1!$G$8="ja",S_1!$K$8="nein"),S_1!$L$13,"")</f>
        <v/>
      </c>
      <c r="O52" s="1608" t="str">
        <f>IF(AND(S_1!$G$8="ja",S_1!$K$8="nein"),S_1!$M$13,"")</f>
        <v/>
      </c>
      <c r="P52" s="1609" t="str">
        <f>IF(AND(S_1!$G$8="ja",S_1!$K$8="nein"),S_1!$N$13,"")</f>
        <v/>
      </c>
      <c r="Q52" s="1608" t="str">
        <f>IF(AND(S_1!$G$8="ja",S_1!$K$8="nein"),S_1!$O$13,"")</f>
        <v/>
      </c>
      <c r="R52" s="1609" t="str">
        <f>IF(AND(S_1!$G$8="ja",S_1!$K$8="nein"),S_1!$P$13,"")</f>
        <v/>
      </c>
      <c r="S52" s="1617" t="str">
        <f>IF(AND(S_1!$G$8="ja",S_1!$K$8="nein"),S_1!Q61,"")</f>
        <v/>
      </c>
      <c r="T52" s="1617" t="str">
        <f>IF(AND(S_1!$G$8="ja",S_1!$K$8="nein"),S_1!R61,"")</f>
        <v/>
      </c>
      <c r="U52" s="1617" t="str">
        <f>IF(AND(S_1!$G$8="ja",S_1!$K$8="nein"),S_1!$S$13,"")</f>
        <v/>
      </c>
    </row>
    <row r="53" spans="2:21" ht="15" customHeight="1">
      <c r="B53" s="1608" t="str">
        <f>IF(AND(S_1!$G$8="ja",S_1!$K$8="ja"),S_1!$C$2,"")</f>
        <v/>
      </c>
      <c r="C53" s="1608" t="str">
        <f>IF(AND(S_1!$G$8="ja",S_1!$K$8="ja"),1,"")</f>
        <v/>
      </c>
      <c r="D53" s="1609" t="str">
        <f>IF(AND(S_1!$G$8="ja",S_1!$K$8="ja"),S_1!$B$14,"")</f>
        <v/>
      </c>
      <c r="E53" s="1618" t="str">
        <f>IF(AND(S_1!$G$8="ja",S_1!$K$8="ja"),S_1!$C$14,"")</f>
        <v/>
      </c>
      <c r="F53" s="1609" t="str">
        <f>IF(AND(S_1!$G$8="ja",S_1!$K$8="ja"),S_1!$D$14,"")</f>
        <v/>
      </c>
      <c r="G53" s="1608" t="str">
        <f>IF(AND(S_1!$G$8="ja",S_1!$K$8="ja"),S_1!$E$14,"")</f>
        <v/>
      </c>
      <c r="H53" s="1609" t="str">
        <f>IF(AND(S_1!$G$8="ja",S_1!$K$8="ja"),S_1!$F$14,"")</f>
        <v/>
      </c>
      <c r="I53" s="1608" t="str">
        <f>IF(AND(S_1!$G$8="ja",S_1!$K$8="ja"),S_1!$G$14,"")</f>
        <v/>
      </c>
      <c r="J53" s="1609" t="str">
        <f>IF(AND(S_1!$G$8="ja",S_1!$K$8="ja"),S_1!$H$14,"")</f>
        <v/>
      </c>
      <c r="K53" s="1608" t="str">
        <f>IF(AND(S_1!$G$8="ja",S_1!$K$8="ja"),S_1!$I$14,"")</f>
        <v/>
      </c>
      <c r="L53" s="1609" t="str">
        <f>IF(AND(S_1!$G$8="ja",S_1!$K$8="ja"),S_1!$J$14,"")</f>
        <v/>
      </c>
      <c r="M53" s="1608" t="str">
        <f>IF(AND(S_1!$G$8="ja",S_1!$K$8="ja"),S_1!$K$14,"")</f>
        <v/>
      </c>
      <c r="N53" s="1609" t="str">
        <f>IF(AND(S_1!$G$8="ja",S_1!$K$8="ja"),S_1!$L$14,"")</f>
        <v/>
      </c>
      <c r="O53" s="1608" t="str">
        <f>IF(AND(S_1!$G$8="ja",S_1!$K$8="ja"),S_1!$M$14,"")</f>
        <v/>
      </c>
      <c r="P53" s="1609" t="str">
        <f>IF(AND(S_1!$G$8="ja",S_1!$K$8="ja"),S_1!$N$14,"")</f>
        <v/>
      </c>
      <c r="Q53" s="1608" t="str">
        <f>IF(AND(S_1!$G$8="ja",S_1!$K$8="ja"),S_1!$O$14,"")</f>
        <v/>
      </c>
      <c r="R53" s="1609" t="str">
        <f>IF(AND(S_1!$G$8="ja",S_1!$K$8="ja"),S_1!$P$14,"")</f>
        <v/>
      </c>
      <c r="S53" s="1617" t="str">
        <f>IF(AND(S_1!$G$8="ja",S_1!$K$8="ja"),S_1!Q62,"")</f>
        <v/>
      </c>
      <c r="T53" s="1617" t="str">
        <f>IF(AND(S_1!$G$8="ja",S_1!$K$8="ja"),S_1!R62,"")</f>
        <v/>
      </c>
      <c r="U53" s="1617" t="str">
        <f>IF(AND(S_1!$G$8="ja",S_1!$K$8="ja"),S_1!$S$14,"")</f>
        <v/>
      </c>
    </row>
    <row r="54" spans="2:21" ht="15" customHeight="1">
      <c r="B54" s="1608" t="str">
        <f>IF(AND(S_1!$G$8="ja",S_1!$K$8="ja"),S_1!$C$2,"")</f>
        <v/>
      </c>
      <c r="C54" s="1608" t="str">
        <f>IF(AND(S_1!$G$8="ja",S_1!$K$8="ja"),2,"")</f>
        <v/>
      </c>
      <c r="D54" s="1609" t="str">
        <f>IF(AND(S_1!$G$8="ja",S_1!$K$8="ja"),S_1!$B$15,"")</f>
        <v/>
      </c>
      <c r="E54" s="1618" t="str">
        <f>IF(AND(S_1!$G$8="ja",S_1!$K$8="ja"),S_1!$C$15,"")</f>
        <v/>
      </c>
      <c r="F54" s="1609" t="str">
        <f>IF(AND(S_1!$G$8="ja",S_1!$K$8="ja"),S_1!$D$15,"")</f>
        <v/>
      </c>
      <c r="G54" s="1608" t="str">
        <f>IF(AND(S_1!$G$8="ja",S_1!$K$8="ja"),S_1!$E$15,"")</f>
        <v/>
      </c>
      <c r="H54" s="1609" t="str">
        <f>IF(AND(S_1!$G$8="ja",S_1!$K$8="ja"),S_1!$F$15,"")</f>
        <v/>
      </c>
      <c r="I54" s="1608" t="str">
        <f>IF(AND(S_1!$G$8="ja",S_1!$K$8="ja"),S_1!$G$15,"")</f>
        <v/>
      </c>
      <c r="J54" s="1609" t="str">
        <f>IF(AND(S_1!$G$8="ja",S_1!$K$8="ja"),S_1!$H$15,"")</f>
        <v/>
      </c>
      <c r="K54" s="1608" t="str">
        <f>IF(AND(S_1!$G$8="ja",S_1!$K$8="ja"),S_1!$I$15,"")</f>
        <v/>
      </c>
      <c r="L54" s="1609" t="str">
        <f>IF(AND(S_1!$G$8="ja",S_1!$K$8="ja"),S_1!$J$15,"")</f>
        <v/>
      </c>
      <c r="M54" s="1608" t="str">
        <f>IF(AND(S_1!$G$8="ja",S_1!$K$8="ja"),S_1!$K$15,"")</f>
        <v/>
      </c>
      <c r="N54" s="1609" t="str">
        <f>IF(AND(S_1!$G$8="ja",S_1!$K$8="ja"),S_1!$L$15,"")</f>
        <v/>
      </c>
      <c r="O54" s="1608" t="str">
        <f>IF(AND(S_1!$G$8="ja",S_1!$K$8="ja"),S_1!$M$15,"")</f>
        <v/>
      </c>
      <c r="P54" s="1609" t="str">
        <f>IF(AND(S_1!$G$8="ja",S_1!$K$8="ja"),S_1!$N$15,"")</f>
        <v/>
      </c>
      <c r="Q54" s="1608" t="str">
        <f>IF(AND(S_1!$G$8="ja",S_1!$K$8="ja"),S_1!$O$15,"")</f>
        <v/>
      </c>
      <c r="R54" s="1609" t="str">
        <f>IF(AND(S_1!$G$8="ja",S_1!$K$8="ja"),S_1!$P$15,"")</f>
        <v/>
      </c>
      <c r="S54" s="1617" t="str">
        <f>IF(AND(S_1!$G$8="ja",S_1!$K$8="ja"),S_1!Q63,"")</f>
        <v/>
      </c>
      <c r="T54" s="1617" t="str">
        <f>IF(AND(S_1!$G$8="ja",S_1!$K$8="ja"),S_1!R63,"")</f>
        <v/>
      </c>
      <c r="U54" s="1617" t="str">
        <f>IF(AND(S_1!$G$8="ja",S_1!$K$8="ja"),S_1!$S$15,"")</f>
        <v/>
      </c>
    </row>
    <row r="55" spans="2:21" ht="15" customHeight="1">
      <c r="B55" s="1608" t="str">
        <f>IF(AND(S_1!$G$8="ja",S_1!$K$8="nein"),S_1!$C$2,"")</f>
        <v/>
      </c>
      <c r="C55" s="1608" t="str">
        <f>IF(AND(S_1!$G$8="ja",S_1!$K$8="nein"),"","")</f>
        <v/>
      </c>
      <c r="D55" s="1609" t="str">
        <f>IF(AND(S_1!$G$8="ja",S_1!$K$8="nein"),S_1!$B$13,"")</f>
        <v/>
      </c>
      <c r="E55" s="1618" t="str">
        <f>IF(AND(S_1!$G$8="ja",S_1!$K$8="nein"),S_1!$C$13,"")</f>
        <v/>
      </c>
      <c r="F55" s="1609" t="str">
        <f>IF(AND(S_1!$G$8="ja",S_1!$K$8="nein"),S_1!$D$13,"")</f>
        <v/>
      </c>
      <c r="G55" s="1608" t="str">
        <f>IF(AND(S_1!$G$8="ja",S_1!$K$8="nein"),S_1!$E$13,"")</f>
        <v/>
      </c>
      <c r="H55" s="1609" t="str">
        <f>IF(AND(S_1!$G$8="ja",S_1!$K$8="nein"),S_1!$F$13,"")</f>
        <v/>
      </c>
      <c r="I55" s="1608" t="str">
        <f>IF(AND(S_1!$G$8="ja",S_1!$K$8="nein"),S_1!$G$13,"")</f>
        <v/>
      </c>
      <c r="J55" s="1609" t="str">
        <f>IF(AND(S_1!$G$8="ja",S_1!$K$8="nein"),S_1!$H$13,"")</f>
        <v/>
      </c>
      <c r="K55" s="1608" t="str">
        <f>IF(AND(S_1!$G$8="ja",S_1!$K$8="nein"),S_1!$I$13,"")</f>
        <v/>
      </c>
      <c r="L55" s="1609" t="str">
        <f>IF(AND(S_1!$G$8="ja",S_1!$K$8="nein"),S_1!$J$13,"")</f>
        <v/>
      </c>
      <c r="M55" s="1608" t="str">
        <f>IF(AND(S_1!$G$8="ja",S_1!$K$8="nein"),S_1!$K$13,"")</f>
        <v/>
      </c>
      <c r="N55" s="1609" t="str">
        <f>IF(AND(S_1!$G$8="ja",S_1!$K$8="nein"),S_1!$L$13,"")</f>
        <v/>
      </c>
      <c r="O55" s="1608" t="str">
        <f>IF(AND(S_1!$G$8="ja",S_1!$K$8="nein"),S_1!$M$13,"")</f>
        <v/>
      </c>
      <c r="P55" s="1609" t="str">
        <f>IF(AND(S_1!$G$8="ja",S_1!$K$8="nein"),S_1!$N$13,"")</f>
        <v/>
      </c>
      <c r="Q55" s="1608" t="str">
        <f>IF(AND(S_1!$G$8="ja",S_1!$K$8="nein"),S_1!$O$13,"")</f>
        <v/>
      </c>
      <c r="R55" s="1609" t="str">
        <f>IF(AND(S_1!$G$8="ja",S_1!$K$8="nein"),S_1!$P$13,"")</f>
        <v/>
      </c>
      <c r="S55" s="1617" t="str">
        <f>IF(AND(S_1!$G$8="ja",S_1!$K$8="nein"),S_1!Q64,"")</f>
        <v/>
      </c>
      <c r="T55" s="1617" t="str">
        <f>IF(AND(S_1!$G$8="ja",S_1!$K$8="nein"),S_1!R64,"")</f>
        <v/>
      </c>
      <c r="U55" s="1617" t="str">
        <f>IF(AND(S_1!$G$8="ja",S_1!$K$8="nein"),S_1!$S$13,"")</f>
        <v/>
      </c>
    </row>
    <row r="56" spans="2:21" ht="15" customHeight="1">
      <c r="B56" s="1608" t="str">
        <f>IF(AND(S_1!$G$8="ja",S_1!$K$8="ja"),S_1!$C$2,"")</f>
        <v/>
      </c>
      <c r="C56" s="1608" t="str">
        <f>IF(AND(S_1!$G$8="ja",S_1!$K$8="ja"),1,"")</f>
        <v/>
      </c>
      <c r="D56" s="1609" t="str">
        <f>IF(AND(S_1!$G$8="ja",S_1!$K$8="ja"),S_1!$B$14,"")</f>
        <v/>
      </c>
      <c r="E56" s="1618" t="str">
        <f>IF(AND(S_1!$G$8="ja",S_1!$K$8="ja"),S_1!$C$14,"")</f>
        <v/>
      </c>
      <c r="F56" s="1609" t="str">
        <f>IF(AND(S_1!$G$8="ja",S_1!$K$8="ja"),S_1!$D$14,"")</f>
        <v/>
      </c>
      <c r="G56" s="1608" t="str">
        <f>IF(AND(S_1!$G$8="ja",S_1!$K$8="ja"),S_1!$E$14,"")</f>
        <v/>
      </c>
      <c r="H56" s="1609" t="str">
        <f>IF(AND(S_1!$G$8="ja",S_1!$K$8="ja"),S_1!$F$14,"")</f>
        <v/>
      </c>
      <c r="I56" s="1608" t="str">
        <f>IF(AND(S_1!$G$8="ja",S_1!$K$8="ja"),S_1!$G$14,"")</f>
        <v/>
      </c>
      <c r="J56" s="1609" t="str">
        <f>IF(AND(S_1!$G$8="ja",S_1!$K$8="ja"),S_1!$H$14,"")</f>
        <v/>
      </c>
      <c r="K56" s="1608" t="str">
        <f>IF(AND(S_1!$G$8="ja",S_1!$K$8="ja"),S_1!$I$14,"")</f>
        <v/>
      </c>
      <c r="L56" s="1609" t="str">
        <f>IF(AND(S_1!$G$8="ja",S_1!$K$8="ja"),S_1!$J$14,"")</f>
        <v/>
      </c>
      <c r="M56" s="1608" t="str">
        <f>IF(AND(S_1!$G$8="ja",S_1!$K$8="ja"),S_1!$K$14,"")</f>
        <v/>
      </c>
      <c r="N56" s="1609" t="str">
        <f>IF(AND(S_1!$G$8="ja",S_1!$K$8="ja"),S_1!$L$14,"")</f>
        <v/>
      </c>
      <c r="O56" s="1608" t="str">
        <f>IF(AND(S_1!$G$8="ja",S_1!$K$8="ja"),S_1!$M$14,"")</f>
        <v/>
      </c>
      <c r="P56" s="1609" t="str">
        <f>IF(AND(S_1!$G$8="ja",S_1!$K$8="ja"),S_1!$N$14,"")</f>
        <v/>
      </c>
      <c r="Q56" s="1608" t="str">
        <f>IF(AND(S_1!$G$8="ja",S_1!$K$8="ja"),S_1!$O$14,"")</f>
        <v/>
      </c>
      <c r="R56" s="1609" t="str">
        <f>IF(AND(S_1!$G$8="ja",S_1!$K$8="ja"),S_1!$P$14,"")</f>
        <v/>
      </c>
      <c r="S56" s="1617" t="str">
        <f>IF(AND(S_1!$G$8="ja",S_1!$K$8="ja"),S_1!Q65,"")</f>
        <v/>
      </c>
      <c r="T56" s="1617" t="str">
        <f>IF(AND(S_1!$G$8="ja",S_1!$K$8="ja"),S_1!R65,"")</f>
        <v/>
      </c>
      <c r="U56" s="1617" t="str">
        <f>IF(AND(S_1!$G$8="ja",S_1!$K$8="ja"),S_1!$S$14,"")</f>
        <v/>
      </c>
    </row>
    <row r="57" spans="2:21" ht="15" customHeight="1">
      <c r="B57" s="1608" t="str">
        <f>IF(AND(S_1!$G$8="ja",S_1!$K$8="ja"),S_1!$C$2,"")</f>
        <v/>
      </c>
      <c r="C57" s="1608" t="str">
        <f>IF(AND(S_1!$G$8="ja",S_1!$K$8="ja"),2,"")</f>
        <v/>
      </c>
      <c r="D57" s="1609" t="str">
        <f>IF(AND(S_1!$G$8="ja",S_1!$K$8="ja"),S_1!$B$15,"")</f>
        <v/>
      </c>
      <c r="E57" s="1618" t="str">
        <f>IF(AND(S_1!$G$8="ja",S_1!$K$8="ja"),S_1!$C$15,"")</f>
        <v/>
      </c>
      <c r="F57" s="1609" t="str">
        <f>IF(AND(S_1!$G$8="ja",S_1!$K$8="ja"),S_1!$D$15,"")</f>
        <v/>
      </c>
      <c r="G57" s="1608" t="str">
        <f>IF(AND(S_1!$G$8="ja",S_1!$K$8="ja"),S_1!$E$15,"")</f>
        <v/>
      </c>
      <c r="H57" s="1609" t="str">
        <f>IF(AND(S_1!$G$8="ja",S_1!$K$8="ja"),S_1!$F$15,"")</f>
        <v/>
      </c>
      <c r="I57" s="1608" t="str">
        <f>IF(AND(S_1!$G$8="ja",S_1!$K$8="ja"),S_1!$G$15,"")</f>
        <v/>
      </c>
      <c r="J57" s="1609" t="str">
        <f>IF(AND(S_1!$G$8="ja",S_1!$K$8="ja"),S_1!$H$15,"")</f>
        <v/>
      </c>
      <c r="K57" s="1608" t="str">
        <f>IF(AND(S_1!$G$8="ja",S_1!$K$8="ja"),S_1!$I$15,"")</f>
        <v/>
      </c>
      <c r="L57" s="1609" t="str">
        <f>IF(AND(S_1!$G$8="ja",S_1!$K$8="ja"),S_1!$J$15,"")</f>
        <v/>
      </c>
      <c r="M57" s="1608" t="str">
        <f>IF(AND(S_1!$G$8="ja",S_1!$K$8="ja"),S_1!$K$15,"")</f>
        <v/>
      </c>
      <c r="N57" s="1609" t="str">
        <f>IF(AND(S_1!$G$8="ja",S_1!$K$8="ja"),S_1!$L$15,"")</f>
        <v/>
      </c>
      <c r="O57" s="1608" t="str">
        <f>IF(AND(S_1!$G$8="ja",S_1!$K$8="ja"),S_1!$M$15,"")</f>
        <v/>
      </c>
      <c r="P57" s="1609" t="str">
        <f>IF(AND(S_1!$G$8="ja",S_1!$K$8="ja"),S_1!$N$15,"")</f>
        <v/>
      </c>
      <c r="Q57" s="1608" t="str">
        <f>IF(AND(S_1!$G$8="ja",S_1!$K$8="ja"),S_1!$O$15,"")</f>
        <v/>
      </c>
      <c r="R57" s="1609" t="str">
        <f>IF(AND(S_1!$G$8="ja",S_1!$K$8="ja"),S_1!$P$15,"")</f>
        <v/>
      </c>
      <c r="S57" s="1617" t="str">
        <f>IF(AND(S_1!$G$8="ja",S_1!$K$8="ja"),S_1!Q66,"")</f>
        <v/>
      </c>
      <c r="T57" s="1617" t="str">
        <f>IF(AND(S_1!$G$8="ja",S_1!$K$8="ja"),S_1!R66,"")</f>
        <v/>
      </c>
      <c r="U57" s="1617" t="str">
        <f>IF(AND(S_1!$G$8="ja",S_1!$K$8="ja"),S_1!$S$15,"")</f>
        <v/>
      </c>
    </row>
    <row r="58" spans="2:21" ht="15" customHeight="1">
      <c r="B58" s="1608" t="str">
        <f>IF(AND(S_1!$G$8="ja",S_1!$K$8="nein"),S_1!$C$2,"")</f>
        <v/>
      </c>
      <c r="C58" s="1608" t="str">
        <f>IF(AND(S_1!$G$8="ja",S_1!$K$8="nein"),"","")</f>
        <v/>
      </c>
      <c r="D58" s="1609" t="str">
        <f>IF(AND(S_1!$G$8="ja",S_1!$K$8="nein"),S_1!$B$13,"")</f>
        <v/>
      </c>
      <c r="E58" s="1618" t="str">
        <f>IF(AND(S_1!$G$8="ja",S_1!$K$8="nein"),S_1!$C$13,"")</f>
        <v/>
      </c>
      <c r="F58" s="1609" t="str">
        <f>IF(AND(S_1!$G$8="ja",S_1!$K$8="nein"),S_1!$D$13,"")</f>
        <v/>
      </c>
      <c r="G58" s="1608" t="str">
        <f>IF(AND(S_1!$G$8="ja",S_1!$K$8="nein"),S_1!$E$13,"")</f>
        <v/>
      </c>
      <c r="H58" s="1609" t="str">
        <f>IF(AND(S_1!$G$8="ja",S_1!$K$8="nein"),S_1!$F$13,"")</f>
        <v/>
      </c>
      <c r="I58" s="1608" t="str">
        <f>IF(AND(S_1!$G$8="ja",S_1!$K$8="nein"),S_1!$G$13,"")</f>
        <v/>
      </c>
      <c r="J58" s="1609" t="str">
        <f>IF(AND(S_1!$G$8="ja",S_1!$K$8="nein"),S_1!$H$13,"")</f>
        <v/>
      </c>
      <c r="K58" s="1608" t="str">
        <f>IF(AND(S_1!$G$8="ja",S_1!$K$8="nein"),S_1!$I$13,"")</f>
        <v/>
      </c>
      <c r="L58" s="1609" t="str">
        <f>IF(AND(S_1!$G$8="ja",S_1!$K$8="nein"),S_1!$J$13,"")</f>
        <v/>
      </c>
      <c r="M58" s="1608" t="str">
        <f>IF(AND(S_1!$G$8="ja",S_1!$K$8="nein"),S_1!$K$13,"")</f>
        <v/>
      </c>
      <c r="N58" s="1609" t="str">
        <f>IF(AND(S_1!$G$8="ja",S_1!$K$8="nein"),S_1!$L$13,"")</f>
        <v/>
      </c>
      <c r="O58" s="1608" t="str">
        <f>IF(AND(S_1!$G$8="ja",S_1!$K$8="nein"),S_1!$M$13,"")</f>
        <v/>
      </c>
      <c r="P58" s="1609" t="str">
        <f>IF(AND(S_1!$G$8="ja",S_1!$K$8="nein"),S_1!$N$13,"")</f>
        <v/>
      </c>
      <c r="Q58" s="1608" t="str">
        <f>IF(AND(S_1!$G$8="ja",S_1!$K$8="nein"),S_1!$O$13,"")</f>
        <v/>
      </c>
      <c r="R58" s="1609" t="str">
        <f>IF(AND(S_1!$G$8="ja",S_1!$K$8="nein"),S_1!$P$13,"")</f>
        <v/>
      </c>
      <c r="S58" s="1617" t="str">
        <f>IF(AND(S_1!$G$8="ja",S_1!$K$8="nein"),S_1!Q67,"")</f>
        <v/>
      </c>
      <c r="T58" s="1617" t="str">
        <f>IF(AND(S_1!$G$8="ja",S_1!$K$8="nein"),S_1!R67,"")</f>
        <v/>
      </c>
      <c r="U58" s="1617" t="str">
        <f>IF(AND(S_1!$G$8="ja",S_1!$K$8="nein"),S_1!$S$13,"")</f>
        <v/>
      </c>
    </row>
    <row r="59" spans="2:21" ht="15" customHeight="1">
      <c r="B59" s="1608" t="str">
        <f>IF(AND(S_1!$G$8="ja",S_1!$K$8="ja"),S_1!$C$2,"")</f>
        <v/>
      </c>
      <c r="C59" s="1608" t="str">
        <f>IF(AND(S_1!$G$8="ja",S_1!$K$8="ja"),1,"")</f>
        <v/>
      </c>
      <c r="D59" s="1609" t="str">
        <f>IF(AND(S_1!$G$8="ja",S_1!$K$8="ja"),S_1!$B$14,"")</f>
        <v/>
      </c>
      <c r="E59" s="1618" t="str">
        <f>IF(AND(S_1!$G$8="ja",S_1!$K$8="ja"),S_1!$C$14,"")</f>
        <v/>
      </c>
      <c r="F59" s="1609" t="str">
        <f>IF(AND(S_1!$G$8="ja",S_1!$K$8="ja"),S_1!$D$14,"")</f>
        <v/>
      </c>
      <c r="G59" s="1608" t="str">
        <f>IF(AND(S_1!$G$8="ja",S_1!$K$8="ja"),S_1!$E$14,"")</f>
        <v/>
      </c>
      <c r="H59" s="1609" t="str">
        <f>IF(AND(S_1!$G$8="ja",S_1!$K$8="ja"),S_1!$F$14,"")</f>
        <v/>
      </c>
      <c r="I59" s="1608" t="str">
        <f>IF(AND(S_1!$G$8="ja",S_1!$K$8="ja"),S_1!$G$14,"")</f>
        <v/>
      </c>
      <c r="J59" s="1609" t="str">
        <f>IF(AND(S_1!$G$8="ja",S_1!$K$8="ja"),S_1!$H$14,"")</f>
        <v/>
      </c>
      <c r="K59" s="1608" t="str">
        <f>IF(AND(S_1!$G$8="ja",S_1!$K$8="ja"),S_1!$I$14,"")</f>
        <v/>
      </c>
      <c r="L59" s="1609" t="str">
        <f>IF(AND(S_1!$G$8="ja",S_1!$K$8="ja"),S_1!$J$14,"")</f>
        <v/>
      </c>
      <c r="M59" s="1608" t="str">
        <f>IF(AND(S_1!$G$8="ja",S_1!$K$8="ja"),S_1!$K$14,"")</f>
        <v/>
      </c>
      <c r="N59" s="1609" t="str">
        <f>IF(AND(S_1!$G$8="ja",S_1!$K$8="ja"),S_1!$L$14,"")</f>
        <v/>
      </c>
      <c r="O59" s="1608" t="str">
        <f>IF(AND(S_1!$G$8="ja",S_1!$K$8="ja"),S_1!$M$14,"")</f>
        <v/>
      </c>
      <c r="P59" s="1609" t="str">
        <f>IF(AND(S_1!$G$8="ja",S_1!$K$8="ja"),S_1!$N$14,"")</f>
        <v/>
      </c>
      <c r="Q59" s="1608" t="str">
        <f>IF(AND(S_1!$G$8="ja",S_1!$K$8="ja"),S_1!$O$14,"")</f>
        <v/>
      </c>
      <c r="R59" s="1609" t="str">
        <f>IF(AND(S_1!$G$8="ja",S_1!$K$8="ja"),S_1!$P$14,"")</f>
        <v/>
      </c>
      <c r="S59" s="1617" t="str">
        <f>IF(AND(S_1!$G$8="ja",S_1!$K$8="ja"),S_1!Q68,"")</f>
        <v/>
      </c>
      <c r="T59" s="1617" t="str">
        <f>IF(AND(S_1!$G$8="ja",S_1!$K$8="ja"),S_1!R68,"")</f>
        <v/>
      </c>
      <c r="U59" s="1617" t="str">
        <f>IF(AND(S_1!$G$8="ja",S_1!$K$8="ja"),S_1!$S$14,"")</f>
        <v/>
      </c>
    </row>
    <row r="60" spans="2:21" ht="15" customHeight="1">
      <c r="B60" s="1608" t="str">
        <f>IF(AND(S_1!$G$8="ja",S_1!$K$8="ja"),S_1!$C$2,"")</f>
        <v/>
      </c>
      <c r="C60" s="1608" t="str">
        <f>IF(AND(S_1!$G$8="ja",S_1!$K$8="ja"),2,"")</f>
        <v/>
      </c>
      <c r="D60" s="1609" t="str">
        <f>IF(AND(S_1!$G$8="ja",S_1!$K$8="ja"),S_1!$B$15,"")</f>
        <v/>
      </c>
      <c r="E60" s="1618" t="str">
        <f>IF(AND(S_1!$G$8="ja",S_1!$K$8="ja"),S_1!$C$15,"")</f>
        <v/>
      </c>
      <c r="F60" s="1609" t="str">
        <f>IF(AND(S_1!$G$8="ja",S_1!$K$8="ja"),S_1!$D$15,"")</f>
        <v/>
      </c>
      <c r="G60" s="1608" t="str">
        <f>IF(AND(S_1!$G$8="ja",S_1!$K$8="ja"),S_1!$E$15,"")</f>
        <v/>
      </c>
      <c r="H60" s="1609" t="str">
        <f>IF(AND(S_1!$G$8="ja",S_1!$K$8="ja"),S_1!$F$15,"")</f>
        <v/>
      </c>
      <c r="I60" s="1608" t="str">
        <f>IF(AND(S_1!$G$8="ja",S_1!$K$8="ja"),S_1!$G$15,"")</f>
        <v/>
      </c>
      <c r="J60" s="1609" t="str">
        <f>IF(AND(S_1!$G$8="ja",S_1!$K$8="ja"),S_1!$H$15,"")</f>
        <v/>
      </c>
      <c r="K60" s="1608" t="str">
        <f>IF(AND(S_1!$G$8="ja",S_1!$K$8="ja"),S_1!$I$15,"")</f>
        <v/>
      </c>
      <c r="L60" s="1609" t="str">
        <f>IF(AND(S_1!$G$8="ja",S_1!$K$8="ja"),S_1!$J$15,"")</f>
        <v/>
      </c>
      <c r="M60" s="1608" t="str">
        <f>IF(AND(S_1!$G$8="ja",S_1!$K$8="ja"),S_1!$K$15,"")</f>
        <v/>
      </c>
      <c r="N60" s="1609" t="str">
        <f>IF(AND(S_1!$G$8="ja",S_1!$K$8="ja"),S_1!$L$15,"")</f>
        <v/>
      </c>
      <c r="O60" s="1608" t="str">
        <f>IF(AND(S_1!$G$8="ja",S_1!$K$8="ja"),S_1!$M$15,"")</f>
        <v/>
      </c>
      <c r="P60" s="1609" t="str">
        <f>IF(AND(S_1!$G$8="ja",S_1!$K$8="ja"),S_1!$N$15,"")</f>
        <v/>
      </c>
      <c r="Q60" s="1608" t="str">
        <f>IF(AND(S_1!$G$8="ja",S_1!$K$8="ja"),S_1!$O$15,"")</f>
        <v/>
      </c>
      <c r="R60" s="1609" t="str">
        <f>IF(AND(S_1!$G$8="ja",S_1!$K$8="ja"),S_1!$P$15,"")</f>
        <v/>
      </c>
      <c r="S60" s="1617" t="str">
        <f>IF(AND(S_1!$G$8="ja",S_1!$K$8="ja"),S_1!Q69,"")</f>
        <v/>
      </c>
      <c r="T60" s="1617" t="str">
        <f>IF(AND(S_1!$G$8="ja",S_1!$K$8="ja"),S_1!R69,"")</f>
        <v/>
      </c>
      <c r="U60" s="1617" t="str">
        <f>IF(AND(S_1!$G$8="ja",S_1!$K$8="ja"),S_1!$S$15,"")</f>
        <v/>
      </c>
    </row>
    <row r="61" spans="2:21" ht="15" customHeight="1">
      <c r="B61" s="1608" t="str">
        <f>IF(AND(S_1!$G$8="ja",S_1!$K$8="nein"),S_1!$C$2,"")</f>
        <v/>
      </c>
      <c r="C61" s="1608" t="str">
        <f>IF(AND(S_1!$G$8="ja",S_1!$K$8="nein"),"","")</f>
        <v/>
      </c>
      <c r="D61" s="1609" t="str">
        <f>IF(AND(S_1!$G$8="ja",S_1!$K$8="nein"),S_1!$B$13,"")</f>
        <v/>
      </c>
      <c r="E61" s="1618" t="str">
        <f>IF(AND(S_1!$G$8="ja",S_1!$K$8="nein"),S_1!$C$13,"")</f>
        <v/>
      </c>
      <c r="F61" s="1609" t="str">
        <f>IF(AND(S_1!$G$8="ja",S_1!$K$8="nein"),S_1!$D$13,"")</f>
        <v/>
      </c>
      <c r="G61" s="1608" t="str">
        <f>IF(AND(S_1!$G$8="ja",S_1!$K$8="nein"),S_1!$E$13,"")</f>
        <v/>
      </c>
      <c r="H61" s="1609" t="str">
        <f>IF(AND(S_1!$G$8="ja",S_1!$K$8="nein"),S_1!$F$13,"")</f>
        <v/>
      </c>
      <c r="I61" s="1608" t="str">
        <f>IF(AND(S_1!$G$8="ja",S_1!$K$8="nein"),S_1!$G$13,"")</f>
        <v/>
      </c>
      <c r="J61" s="1609" t="str">
        <f>IF(AND(S_1!$G$8="ja",S_1!$K$8="nein"),S_1!$H$13,"")</f>
        <v/>
      </c>
      <c r="K61" s="1608" t="str">
        <f>IF(AND(S_1!$G$8="ja",S_1!$K$8="nein"),S_1!$I$13,"")</f>
        <v/>
      </c>
      <c r="L61" s="1609" t="str">
        <f>IF(AND(S_1!$G$8="ja",S_1!$K$8="nein"),S_1!$J$13,"")</f>
        <v/>
      </c>
      <c r="M61" s="1608" t="str">
        <f>IF(AND(S_1!$G$8="ja",S_1!$K$8="nein"),S_1!$K$13,"")</f>
        <v/>
      </c>
      <c r="N61" s="1609" t="str">
        <f>IF(AND(S_1!$G$8="ja",S_1!$K$8="nein"),S_1!$L$13,"")</f>
        <v/>
      </c>
      <c r="O61" s="1608" t="str">
        <f>IF(AND(S_1!$G$8="ja",S_1!$K$8="nein"),S_1!$M$13,"")</f>
        <v/>
      </c>
      <c r="P61" s="1609" t="str">
        <f>IF(AND(S_1!$G$8="ja",S_1!$K$8="nein"),S_1!$N$13,"")</f>
        <v/>
      </c>
      <c r="Q61" s="1608" t="str">
        <f>IF(AND(S_1!$G$8="ja",S_1!$K$8="nein"),S_1!$O$13,"")</f>
        <v/>
      </c>
      <c r="R61" s="1609" t="str">
        <f>IF(AND(S_1!$G$8="ja",S_1!$K$8="nein"),S_1!$P$13,"")</f>
        <v/>
      </c>
      <c r="S61" s="1617" t="str">
        <f>IF(AND(S_1!$G$8="ja",S_1!$K$8="nein"),S_1!Q70,"")</f>
        <v/>
      </c>
      <c r="T61" s="1617" t="str">
        <f>IF(AND(S_1!$G$8="ja",S_1!$K$8="nein"),S_1!R70,"")</f>
        <v/>
      </c>
      <c r="U61" s="1617" t="str">
        <f>IF(AND(S_1!$G$8="ja",S_1!$K$8="nein"),S_1!$S$13,"")</f>
        <v/>
      </c>
    </row>
    <row r="62" spans="2:21" ht="15" customHeight="1">
      <c r="B62" s="1608" t="str">
        <f>IF(AND(S_1!$G$8="ja",S_1!$K$8="ja"),S_1!$C$2,"")</f>
        <v/>
      </c>
      <c r="C62" s="1608" t="str">
        <f>IF(AND(S_1!$G$8="ja",S_1!$K$8="ja"),1,"")</f>
        <v/>
      </c>
      <c r="D62" s="1609" t="str">
        <f>IF(AND(S_1!$G$8="ja",S_1!$K$8="ja"),S_1!$B$14,"")</f>
        <v/>
      </c>
      <c r="E62" s="1618" t="str">
        <f>IF(AND(S_1!$G$8="ja",S_1!$K$8="ja"),S_1!$C$14,"")</f>
        <v/>
      </c>
      <c r="F62" s="1609" t="str">
        <f>IF(AND(S_1!$G$8="ja",S_1!$K$8="ja"),S_1!$D$14,"")</f>
        <v/>
      </c>
      <c r="G62" s="1608" t="str">
        <f>IF(AND(S_1!$G$8="ja",S_1!$K$8="ja"),S_1!$E$14,"")</f>
        <v/>
      </c>
      <c r="H62" s="1609" t="str">
        <f>IF(AND(S_1!$G$8="ja",S_1!$K$8="ja"),S_1!$F$14,"")</f>
        <v/>
      </c>
      <c r="I62" s="1608" t="str">
        <f>IF(AND(S_1!$G$8="ja",S_1!$K$8="ja"),S_1!$G$14,"")</f>
        <v/>
      </c>
      <c r="J62" s="1609" t="str">
        <f>IF(AND(S_1!$G$8="ja",S_1!$K$8="ja"),S_1!$H$14,"")</f>
        <v/>
      </c>
      <c r="K62" s="1608" t="str">
        <f>IF(AND(S_1!$G$8="ja",S_1!$K$8="ja"),S_1!$I$14,"")</f>
        <v/>
      </c>
      <c r="L62" s="1609" t="str">
        <f>IF(AND(S_1!$G$8="ja",S_1!$K$8="ja"),S_1!$J$14,"")</f>
        <v/>
      </c>
      <c r="M62" s="1608" t="str">
        <f>IF(AND(S_1!$G$8="ja",S_1!$K$8="ja"),S_1!$K$14,"")</f>
        <v/>
      </c>
      <c r="N62" s="1609" t="str">
        <f>IF(AND(S_1!$G$8="ja",S_1!$K$8="ja"),S_1!$L$14,"")</f>
        <v/>
      </c>
      <c r="O62" s="1608" t="str">
        <f>IF(AND(S_1!$G$8="ja",S_1!$K$8="ja"),S_1!$M$14,"")</f>
        <v/>
      </c>
      <c r="P62" s="1609" t="str">
        <f>IF(AND(S_1!$G$8="ja",S_1!$K$8="ja"),S_1!$N$14,"")</f>
        <v/>
      </c>
      <c r="Q62" s="1608" t="str">
        <f>IF(AND(S_1!$G$8="ja",S_1!$K$8="ja"),S_1!$O$14,"")</f>
        <v/>
      </c>
      <c r="R62" s="1609" t="str">
        <f>IF(AND(S_1!$G$8="ja",S_1!$K$8="ja"),S_1!$P$14,"")</f>
        <v/>
      </c>
      <c r="S62" s="1617" t="str">
        <f>IF(AND(S_1!$G$8="ja",S_1!$K$8="ja"),S_1!Q71,"")</f>
        <v/>
      </c>
      <c r="T62" s="1617" t="str">
        <f>IF(AND(S_1!$G$8="ja",S_1!$K$8="ja"),S_1!R71,"")</f>
        <v/>
      </c>
      <c r="U62" s="1617" t="str">
        <f>IF(AND(S_1!$G$8="ja",S_1!$K$8="ja"),S_1!$S$14,"")</f>
        <v/>
      </c>
    </row>
    <row r="63" spans="2:21" ht="15" customHeight="1">
      <c r="B63" s="1608" t="str">
        <f>IF(AND(S_1!$G$8="ja",S_1!$K$8="ja"),S_1!$C$2,"")</f>
        <v/>
      </c>
      <c r="C63" s="1608" t="str">
        <f>IF(AND(S_1!$G$8="ja",S_1!$K$8="ja"),2,"")</f>
        <v/>
      </c>
      <c r="D63" s="1609" t="str">
        <f>IF(AND(S_1!$G$8="ja",S_1!$K$8="ja"),S_1!$B$15,"")</f>
        <v/>
      </c>
      <c r="E63" s="1618" t="str">
        <f>IF(AND(S_1!$G$8="ja",S_1!$K$8="ja"),S_1!$C$15,"")</f>
        <v/>
      </c>
      <c r="F63" s="1609" t="str">
        <f>IF(AND(S_1!$G$8="ja",S_1!$K$8="ja"),S_1!$D$15,"")</f>
        <v/>
      </c>
      <c r="G63" s="1608" t="str">
        <f>IF(AND(S_1!$G$8="ja",S_1!$K$8="ja"),S_1!$E$15,"")</f>
        <v/>
      </c>
      <c r="H63" s="1609" t="str">
        <f>IF(AND(S_1!$G$8="ja",S_1!$K$8="ja"),S_1!$F$15,"")</f>
        <v/>
      </c>
      <c r="I63" s="1608" t="str">
        <f>IF(AND(S_1!$G$8="ja",S_1!$K$8="ja"),S_1!$G$15,"")</f>
        <v/>
      </c>
      <c r="J63" s="1609" t="str">
        <f>IF(AND(S_1!$G$8="ja",S_1!$K$8="ja"),S_1!$H$15,"")</f>
        <v/>
      </c>
      <c r="K63" s="1608" t="str">
        <f>IF(AND(S_1!$G$8="ja",S_1!$K$8="ja"),S_1!$I$15,"")</f>
        <v/>
      </c>
      <c r="L63" s="1609" t="str">
        <f>IF(AND(S_1!$G$8="ja",S_1!$K$8="ja"),S_1!$J$15,"")</f>
        <v/>
      </c>
      <c r="M63" s="1608" t="str">
        <f>IF(AND(S_1!$G$8="ja",S_1!$K$8="ja"),S_1!$K$15,"")</f>
        <v/>
      </c>
      <c r="N63" s="1609" t="str">
        <f>IF(AND(S_1!$G$8="ja",S_1!$K$8="ja"),S_1!$L$15,"")</f>
        <v/>
      </c>
      <c r="O63" s="1608" t="str">
        <f>IF(AND(S_1!$G$8="ja",S_1!$K$8="ja"),S_1!$M$15,"")</f>
        <v/>
      </c>
      <c r="P63" s="1609" t="str">
        <f>IF(AND(S_1!$G$8="ja",S_1!$K$8="ja"),S_1!$N$15,"")</f>
        <v/>
      </c>
      <c r="Q63" s="1608" t="str">
        <f>IF(AND(S_1!$G$8="ja",S_1!$K$8="ja"),S_1!$O$15,"")</f>
        <v/>
      </c>
      <c r="R63" s="1609" t="str">
        <f>IF(AND(S_1!$G$8="ja",S_1!$K$8="ja"),S_1!$P$15,"")</f>
        <v/>
      </c>
      <c r="S63" s="1617" t="str">
        <f>IF(AND(S_1!$G$8="ja",S_1!$K$8="ja"),S_1!Q72,"")</f>
        <v/>
      </c>
      <c r="T63" s="1617" t="str">
        <f>IF(AND(S_1!$G$8="ja",S_1!$K$8="ja"),S_1!R72,"")</f>
        <v/>
      </c>
      <c r="U63" s="1617" t="str">
        <f>IF(AND(S_1!$G$8="ja",S_1!$K$8="ja"),S_1!$S$15,"")</f>
        <v/>
      </c>
    </row>
    <row r="64" spans="2:21" ht="15" customHeight="1">
      <c r="B64" s="1608" t="str">
        <f>IF(AND(S_1!$G$8="ja",S_1!$K$8="nein"),S_1!$C$2,"")</f>
        <v/>
      </c>
      <c r="C64" s="1608" t="str">
        <f>IF(AND(S_1!$G$8="ja",S_1!$K$8="nein"),"","")</f>
        <v/>
      </c>
      <c r="D64" s="1609" t="str">
        <f>IF(AND(S_1!$G$8="ja",S_1!$K$8="nein"),S_1!$B$13,"")</f>
        <v/>
      </c>
      <c r="E64" s="1618" t="str">
        <f>IF(AND(S_1!$G$8="ja",S_1!$K$8="nein"),S_1!$C$13,"")</f>
        <v/>
      </c>
      <c r="F64" s="1609" t="str">
        <f>IF(AND(S_1!$G$8="ja",S_1!$K$8="nein"),S_1!$D$13,"")</f>
        <v/>
      </c>
      <c r="G64" s="1608" t="str">
        <f>IF(AND(S_1!$G$8="ja",S_1!$K$8="nein"),S_1!$E$13,"")</f>
        <v/>
      </c>
      <c r="H64" s="1609" t="str">
        <f>IF(AND(S_1!$G$8="ja",S_1!$K$8="nein"),S_1!$F$13,"")</f>
        <v/>
      </c>
      <c r="I64" s="1608" t="str">
        <f>IF(AND(S_1!$G$8="ja",S_1!$K$8="nein"),S_1!$G$13,"")</f>
        <v/>
      </c>
      <c r="J64" s="1609" t="str">
        <f>IF(AND(S_1!$G$8="ja",S_1!$K$8="nein"),S_1!$H$13,"")</f>
        <v/>
      </c>
      <c r="K64" s="1608" t="str">
        <f>IF(AND(S_1!$G$8="ja",S_1!$K$8="nein"),S_1!$I$13,"")</f>
        <v/>
      </c>
      <c r="L64" s="1609" t="str">
        <f>IF(AND(S_1!$G$8="ja",S_1!$K$8="nein"),S_1!$J$13,"")</f>
        <v/>
      </c>
      <c r="M64" s="1608" t="str">
        <f>IF(AND(S_1!$G$8="ja",S_1!$K$8="nein"),S_1!$K$13,"")</f>
        <v/>
      </c>
      <c r="N64" s="1609" t="str">
        <f>IF(AND(S_1!$G$8="ja",S_1!$K$8="nein"),S_1!$L$13,"")</f>
        <v/>
      </c>
      <c r="O64" s="1608" t="str">
        <f>IF(AND(S_1!$G$8="ja",S_1!$K$8="nein"),S_1!$M$13,"")</f>
        <v/>
      </c>
      <c r="P64" s="1609" t="str">
        <f>IF(AND(S_1!$G$8="ja",S_1!$K$8="nein"),S_1!$N$13,"")</f>
        <v/>
      </c>
      <c r="Q64" s="1608" t="str">
        <f>IF(AND(S_1!$G$8="ja",S_1!$K$8="nein"),S_1!$O$13,"")</f>
        <v/>
      </c>
      <c r="R64" s="1609" t="str">
        <f>IF(AND(S_1!$G$8="ja",S_1!$K$8="nein"),S_1!$P$13,"")</f>
        <v/>
      </c>
      <c r="S64" s="1617" t="str">
        <f>IF(AND(S_1!$G$8="ja",S_1!$K$8="nein"),S_1!Q73,"")</f>
        <v/>
      </c>
      <c r="T64" s="1617" t="str">
        <f>IF(AND(S_1!$G$8="ja",S_1!$K$8="nein"),S_1!R73,"")</f>
        <v/>
      </c>
      <c r="U64" s="1617" t="str">
        <f>IF(AND(S_1!$G$8="ja",S_1!$K$8="nein"),S_1!$S$13,"")</f>
        <v/>
      </c>
    </row>
    <row r="65" spans="2:21" ht="15" customHeight="1">
      <c r="B65" s="1608" t="str">
        <f>IF(AND(S_1!$G$8="ja",S_1!$K$8="ja"),S_1!$C$2,"")</f>
        <v/>
      </c>
      <c r="C65" s="1608" t="str">
        <f>IF(AND(S_1!$G$8="ja",S_1!$K$8="ja"),1,"")</f>
        <v/>
      </c>
      <c r="D65" s="1609" t="str">
        <f>IF(AND(S_1!$G$8="ja",S_1!$K$8="ja"),S_1!$B$14,"")</f>
        <v/>
      </c>
      <c r="E65" s="1618" t="str">
        <f>IF(AND(S_1!$G$8="ja",S_1!$K$8="ja"),S_1!$C$14,"")</f>
        <v/>
      </c>
      <c r="F65" s="1609" t="str">
        <f>IF(AND(S_1!$G$8="ja",S_1!$K$8="ja"),S_1!$D$14,"")</f>
        <v/>
      </c>
      <c r="G65" s="1608" t="str">
        <f>IF(AND(S_1!$G$8="ja",S_1!$K$8="ja"),S_1!$E$14,"")</f>
        <v/>
      </c>
      <c r="H65" s="1609" t="str">
        <f>IF(AND(S_1!$G$8="ja",S_1!$K$8="ja"),S_1!$F$14,"")</f>
        <v/>
      </c>
      <c r="I65" s="1608" t="str">
        <f>IF(AND(S_1!$G$8="ja",S_1!$K$8="ja"),S_1!$G$14,"")</f>
        <v/>
      </c>
      <c r="J65" s="1609" t="str">
        <f>IF(AND(S_1!$G$8="ja",S_1!$K$8="ja"),S_1!$H$14,"")</f>
        <v/>
      </c>
      <c r="K65" s="1608" t="str">
        <f>IF(AND(S_1!$G$8="ja",S_1!$K$8="ja"),S_1!$I$14,"")</f>
        <v/>
      </c>
      <c r="L65" s="1609" t="str">
        <f>IF(AND(S_1!$G$8="ja",S_1!$K$8="ja"),S_1!$J$14,"")</f>
        <v/>
      </c>
      <c r="M65" s="1608" t="str">
        <f>IF(AND(S_1!$G$8="ja",S_1!$K$8="ja"),S_1!$K$14,"")</f>
        <v/>
      </c>
      <c r="N65" s="1609" t="str">
        <f>IF(AND(S_1!$G$8="ja",S_1!$K$8="ja"),S_1!$L$14,"")</f>
        <v/>
      </c>
      <c r="O65" s="1608" t="str">
        <f>IF(AND(S_1!$G$8="ja",S_1!$K$8="ja"),S_1!$M$14,"")</f>
        <v/>
      </c>
      <c r="P65" s="1609" t="str">
        <f>IF(AND(S_1!$G$8="ja",S_1!$K$8="ja"),S_1!$N$14,"")</f>
        <v/>
      </c>
      <c r="Q65" s="1608" t="str">
        <f>IF(AND(S_1!$G$8="ja",S_1!$K$8="ja"),S_1!$O$14,"")</f>
        <v/>
      </c>
      <c r="R65" s="1609" t="str">
        <f>IF(AND(S_1!$G$8="ja",S_1!$K$8="ja"),S_1!$P$14,"")</f>
        <v/>
      </c>
      <c r="S65" s="1617" t="str">
        <f>IF(AND(S_1!$G$8="ja",S_1!$K$8="ja"),S_1!Q74,"")</f>
        <v/>
      </c>
      <c r="T65" s="1617" t="str">
        <f>IF(AND(S_1!$G$8="ja",S_1!$K$8="ja"),S_1!R74,"")</f>
        <v/>
      </c>
      <c r="U65" s="1617" t="str">
        <f>IF(AND(S_1!$G$8="ja",S_1!$K$8="ja"),S_1!$S$14,"")</f>
        <v/>
      </c>
    </row>
    <row r="66" spans="2:21" ht="15" customHeight="1">
      <c r="B66" s="1608" t="str">
        <f>IF(AND(S_1!$G$8="ja",S_1!$K$8="ja"),S_1!$C$2,"")</f>
        <v/>
      </c>
      <c r="C66" s="1608" t="str">
        <f>IF(AND(S_1!$G$8="ja",S_1!$K$8="ja"),2,"")</f>
        <v/>
      </c>
      <c r="D66" s="1609" t="str">
        <f>IF(AND(S_1!$G$8="ja",S_1!$K$8="ja"),S_1!$B$15,"")</f>
        <v/>
      </c>
      <c r="E66" s="1618" t="str">
        <f>IF(AND(S_1!$G$8="ja",S_1!$K$8="ja"),S_1!$C$15,"")</f>
        <v/>
      </c>
      <c r="F66" s="1609" t="str">
        <f>IF(AND(S_1!$G$8="ja",S_1!$K$8="ja"),S_1!$D$15,"")</f>
        <v/>
      </c>
      <c r="G66" s="1608" t="str">
        <f>IF(AND(S_1!$G$8="ja",S_1!$K$8="ja"),S_1!$E$15,"")</f>
        <v/>
      </c>
      <c r="H66" s="1609" t="str">
        <f>IF(AND(S_1!$G$8="ja",S_1!$K$8="ja"),S_1!$F$15,"")</f>
        <v/>
      </c>
      <c r="I66" s="1608" t="str">
        <f>IF(AND(S_1!$G$8="ja",S_1!$K$8="ja"),S_1!$G$15,"")</f>
        <v/>
      </c>
      <c r="J66" s="1609" t="str">
        <f>IF(AND(S_1!$G$8="ja",S_1!$K$8="ja"),S_1!$H$15,"")</f>
        <v/>
      </c>
      <c r="K66" s="1608" t="str">
        <f>IF(AND(S_1!$G$8="ja",S_1!$K$8="ja"),S_1!$I$15,"")</f>
        <v/>
      </c>
      <c r="L66" s="1609" t="str">
        <f>IF(AND(S_1!$G$8="ja",S_1!$K$8="ja"),S_1!$J$15,"")</f>
        <v/>
      </c>
      <c r="M66" s="1608" t="str">
        <f>IF(AND(S_1!$G$8="ja",S_1!$K$8="ja"),S_1!$K$15,"")</f>
        <v/>
      </c>
      <c r="N66" s="1609" t="str">
        <f>IF(AND(S_1!$G$8="ja",S_1!$K$8="ja"),S_1!$L$15,"")</f>
        <v/>
      </c>
      <c r="O66" s="1608" t="str">
        <f>IF(AND(S_1!$G$8="ja",S_1!$K$8="ja"),S_1!$M$15,"")</f>
        <v/>
      </c>
      <c r="P66" s="1609" t="str">
        <f>IF(AND(S_1!$G$8="ja",S_1!$K$8="ja"),S_1!$N$15,"")</f>
        <v/>
      </c>
      <c r="Q66" s="1608" t="str">
        <f>IF(AND(S_1!$G$8="ja",S_1!$K$8="ja"),S_1!$O$15,"")</f>
        <v/>
      </c>
      <c r="R66" s="1609" t="str">
        <f>IF(AND(S_1!$G$8="ja",S_1!$K$8="ja"),S_1!$P$15,"")</f>
        <v/>
      </c>
      <c r="S66" s="1617" t="str">
        <f>IF(AND(S_1!$G$8="ja",S_1!$K$8="ja"),S_1!Q75,"")</f>
        <v/>
      </c>
      <c r="T66" s="1617" t="str">
        <f>IF(AND(S_1!$G$8="ja",S_1!$K$8="ja"),S_1!R75,"")</f>
        <v/>
      </c>
      <c r="U66" s="1617" t="str">
        <f>IF(AND(S_1!$G$8="ja",S_1!$K$8="ja"),S_1!$S$15,"")</f>
        <v/>
      </c>
    </row>
    <row r="67" spans="2:21" ht="15" customHeight="1">
      <c r="B67" s="1608" t="str">
        <f>IF(AND(S_1!$G$8="ja",S_1!$K$8="nein"),S_1!$C$2,"")</f>
        <v/>
      </c>
      <c r="C67" s="1608" t="str">
        <f>IF(AND(S_1!$G$8="ja",S_1!$K$8="nein"),"","")</f>
        <v/>
      </c>
      <c r="D67" s="1609" t="str">
        <f>IF(AND(S_1!$G$8="ja",S_1!$K$8="nein"),S_1!$B$13,"")</f>
        <v/>
      </c>
      <c r="E67" s="1618" t="str">
        <f>IF(AND(S_1!$G$8="ja",S_1!$K$8="nein"),S_1!$C$13,"")</f>
        <v/>
      </c>
      <c r="F67" s="1609" t="str">
        <f>IF(AND(S_1!$G$8="ja",S_1!$K$8="nein"),S_1!$D$13,"")</f>
        <v/>
      </c>
      <c r="G67" s="1608" t="str">
        <f>IF(AND(S_1!$G$8="ja",S_1!$K$8="nein"),S_1!$E$13,"")</f>
        <v/>
      </c>
      <c r="H67" s="1609" t="str">
        <f>IF(AND(S_1!$G$8="ja",S_1!$K$8="nein"),S_1!$F$13,"")</f>
        <v/>
      </c>
      <c r="I67" s="1608" t="str">
        <f>IF(AND(S_1!$G$8="ja",S_1!$K$8="nein"),S_1!$G$13,"")</f>
        <v/>
      </c>
      <c r="J67" s="1609" t="str">
        <f>IF(AND(S_1!$G$8="ja",S_1!$K$8="nein"),S_1!$H$13,"")</f>
        <v/>
      </c>
      <c r="K67" s="1608" t="str">
        <f>IF(AND(S_1!$G$8="ja",S_1!$K$8="nein"),S_1!$I$13,"")</f>
        <v/>
      </c>
      <c r="L67" s="1609" t="str">
        <f>IF(AND(S_1!$G$8="ja",S_1!$K$8="nein"),S_1!$J$13,"")</f>
        <v/>
      </c>
      <c r="M67" s="1608" t="str">
        <f>IF(AND(S_1!$G$8="ja",S_1!$K$8="nein"),S_1!$K$13,"")</f>
        <v/>
      </c>
      <c r="N67" s="1609" t="str">
        <f>IF(AND(S_1!$G$8="ja",S_1!$K$8="nein"),S_1!$L$13,"")</f>
        <v/>
      </c>
      <c r="O67" s="1608" t="str">
        <f>IF(AND(S_1!$G$8="ja",S_1!$K$8="nein"),S_1!$M$13,"")</f>
        <v/>
      </c>
      <c r="P67" s="1609" t="str">
        <f>IF(AND(S_1!$G$8="ja",S_1!$K$8="nein"),S_1!$N$13,"")</f>
        <v/>
      </c>
      <c r="Q67" s="1608" t="str">
        <f>IF(AND(S_1!$G$8="ja",S_1!$K$8="nein"),S_1!$O$13,"")</f>
        <v/>
      </c>
      <c r="R67" s="1609" t="str">
        <f>IF(AND(S_1!$G$8="ja",S_1!$K$8="nein"),S_1!$P$13,"")</f>
        <v/>
      </c>
      <c r="S67" s="1617" t="str">
        <f>IF(AND(S_1!$G$8="ja",S_1!$K$8="nein"),S_1!Q76,"")</f>
        <v/>
      </c>
      <c r="T67" s="1617" t="str">
        <f>IF(AND(S_1!$G$8="ja",S_1!$K$8="nein"),S_1!R76,"")</f>
        <v/>
      </c>
      <c r="U67" s="1617" t="str">
        <f>IF(AND(S_1!$G$8="ja",S_1!$K$8="nein"),S_1!$S$13,"")</f>
        <v/>
      </c>
    </row>
    <row r="68" spans="2:21" ht="15" customHeight="1">
      <c r="B68" s="1608" t="str">
        <f>IF(AND(S_1!$G$8="ja",S_1!$K$8="ja"),S_1!$C$2,"")</f>
        <v/>
      </c>
      <c r="C68" s="1608" t="str">
        <f>IF(AND(S_1!$G$8="ja",S_1!$K$8="ja"),1,"")</f>
        <v/>
      </c>
      <c r="D68" s="1609" t="str">
        <f>IF(AND(S_1!$G$8="ja",S_1!$K$8="ja"),S_1!$B$14,"")</f>
        <v/>
      </c>
      <c r="E68" s="1618" t="str">
        <f>IF(AND(S_1!$G$8="ja",S_1!$K$8="ja"),S_1!$C$14,"")</f>
        <v/>
      </c>
      <c r="F68" s="1609" t="str">
        <f>IF(AND(S_1!$G$8="ja",S_1!$K$8="ja"),S_1!$D$14,"")</f>
        <v/>
      </c>
      <c r="G68" s="1608" t="str">
        <f>IF(AND(S_1!$G$8="ja",S_1!$K$8="ja"),S_1!$E$14,"")</f>
        <v/>
      </c>
      <c r="H68" s="1609" t="str">
        <f>IF(AND(S_1!$G$8="ja",S_1!$K$8="ja"),S_1!$F$14,"")</f>
        <v/>
      </c>
      <c r="I68" s="1608" t="str">
        <f>IF(AND(S_1!$G$8="ja",S_1!$K$8="ja"),S_1!$G$14,"")</f>
        <v/>
      </c>
      <c r="J68" s="1609" t="str">
        <f>IF(AND(S_1!$G$8="ja",S_1!$K$8="ja"),S_1!$H$14,"")</f>
        <v/>
      </c>
      <c r="K68" s="1608" t="str">
        <f>IF(AND(S_1!$G$8="ja",S_1!$K$8="ja"),S_1!$I$14,"")</f>
        <v/>
      </c>
      <c r="L68" s="1609" t="str">
        <f>IF(AND(S_1!$G$8="ja",S_1!$K$8="ja"),S_1!$J$14,"")</f>
        <v/>
      </c>
      <c r="M68" s="1608" t="str">
        <f>IF(AND(S_1!$G$8="ja",S_1!$K$8="ja"),S_1!$K$14,"")</f>
        <v/>
      </c>
      <c r="N68" s="1609" t="str">
        <f>IF(AND(S_1!$G$8="ja",S_1!$K$8="ja"),S_1!$L$14,"")</f>
        <v/>
      </c>
      <c r="O68" s="1608" t="str">
        <f>IF(AND(S_1!$G$8="ja",S_1!$K$8="ja"),S_1!$M$14,"")</f>
        <v/>
      </c>
      <c r="P68" s="1609" t="str">
        <f>IF(AND(S_1!$G$8="ja",S_1!$K$8="ja"),S_1!$N$14,"")</f>
        <v/>
      </c>
      <c r="Q68" s="1608" t="str">
        <f>IF(AND(S_1!$G$8="ja",S_1!$K$8="ja"),S_1!$O$14,"")</f>
        <v/>
      </c>
      <c r="R68" s="1609" t="str">
        <f>IF(AND(S_1!$G$8="ja",S_1!$K$8="ja"),S_1!$P$14,"")</f>
        <v/>
      </c>
      <c r="S68" s="1617" t="str">
        <f>IF(AND(S_1!$G$8="ja",S_1!$K$8="ja"),S_1!Q77,"")</f>
        <v/>
      </c>
      <c r="T68" s="1617" t="str">
        <f>IF(AND(S_1!$G$8="ja",S_1!$K$8="ja"),S_1!R77,"")</f>
        <v/>
      </c>
      <c r="U68" s="1617" t="str">
        <f>IF(AND(S_1!$G$8="ja",S_1!$K$8="ja"),S_1!$S$14,"")</f>
        <v/>
      </c>
    </row>
    <row r="69" spans="2:21" ht="15" customHeight="1">
      <c r="B69" s="1608" t="str">
        <f>IF(AND(S_1!$G$8="ja",S_1!$K$8="ja"),S_1!$C$2,"")</f>
        <v/>
      </c>
      <c r="C69" s="1608" t="str">
        <f>IF(AND(S_1!$G$8="ja",S_1!$K$8="ja"),2,"")</f>
        <v/>
      </c>
      <c r="D69" s="1609" t="str">
        <f>IF(AND(S_1!$G$8="ja",S_1!$K$8="ja"),S_1!$B$15,"")</f>
        <v/>
      </c>
      <c r="E69" s="1618" t="str">
        <f>IF(AND(S_1!$G$8="ja",S_1!$K$8="ja"),S_1!$C$15,"")</f>
        <v/>
      </c>
      <c r="F69" s="1609" t="str">
        <f>IF(AND(S_1!$G$8="ja",S_1!$K$8="ja"),S_1!$D$15,"")</f>
        <v/>
      </c>
      <c r="G69" s="1608" t="str">
        <f>IF(AND(S_1!$G$8="ja",S_1!$K$8="ja"),S_1!$E$15,"")</f>
        <v/>
      </c>
      <c r="H69" s="1609" t="str">
        <f>IF(AND(S_1!$G$8="ja",S_1!$K$8="ja"),S_1!$F$15,"")</f>
        <v/>
      </c>
      <c r="I69" s="1608" t="str">
        <f>IF(AND(S_1!$G$8="ja",S_1!$K$8="ja"),S_1!$G$15,"")</f>
        <v/>
      </c>
      <c r="J69" s="1609" t="str">
        <f>IF(AND(S_1!$G$8="ja",S_1!$K$8="ja"),S_1!$H$15,"")</f>
        <v/>
      </c>
      <c r="K69" s="1608" t="str">
        <f>IF(AND(S_1!$G$8="ja",S_1!$K$8="ja"),S_1!$I$15,"")</f>
        <v/>
      </c>
      <c r="L69" s="1609" t="str">
        <f>IF(AND(S_1!$G$8="ja",S_1!$K$8="ja"),S_1!$J$15,"")</f>
        <v/>
      </c>
      <c r="M69" s="1608" t="str">
        <f>IF(AND(S_1!$G$8="ja",S_1!$K$8="ja"),S_1!$K$15,"")</f>
        <v/>
      </c>
      <c r="N69" s="1609" t="str">
        <f>IF(AND(S_1!$G$8="ja",S_1!$K$8="ja"),S_1!$L$15,"")</f>
        <v/>
      </c>
      <c r="O69" s="1608" t="str">
        <f>IF(AND(S_1!$G$8="ja",S_1!$K$8="ja"),S_1!$M$15,"")</f>
        <v/>
      </c>
      <c r="P69" s="1609" t="str">
        <f>IF(AND(S_1!$G$8="ja",S_1!$K$8="ja"),S_1!$N$15,"")</f>
        <v/>
      </c>
      <c r="Q69" s="1608" t="str">
        <f>IF(AND(S_1!$G$8="ja",S_1!$K$8="ja"),S_1!$O$15,"")</f>
        <v/>
      </c>
      <c r="R69" s="1609" t="str">
        <f>IF(AND(S_1!$G$8="ja",S_1!$K$8="ja"),S_1!$P$15,"")</f>
        <v/>
      </c>
      <c r="S69" s="1617" t="str">
        <f>IF(AND(S_1!$G$8="ja",S_1!$K$8="ja"),S_1!Q78,"")</f>
        <v/>
      </c>
      <c r="T69" s="1617" t="str">
        <f>IF(AND(S_1!$G$8="ja",S_1!$K$8="ja"),S_1!R78,"")</f>
        <v/>
      </c>
      <c r="U69" s="1617" t="str">
        <f>IF(AND(S_1!$G$8="ja",S_1!$K$8="ja"),S_1!$S$15,"")</f>
        <v/>
      </c>
    </row>
    <row r="70" spans="2:21" ht="15" customHeight="1">
      <c r="B70" s="1608" t="str">
        <f>IF(AND(S_1!$G$8="ja",S_1!$K$8="nein"),S_1!$C$2,"")</f>
        <v/>
      </c>
      <c r="C70" s="1608" t="str">
        <f>IF(AND(S_1!$G$8="ja",S_1!$K$8="nein"),"","")</f>
        <v/>
      </c>
      <c r="D70" s="1609" t="str">
        <f>IF(AND(S_1!$G$8="ja",S_1!$K$8="nein"),S_1!$B$13,"")</f>
        <v/>
      </c>
      <c r="E70" s="1618" t="str">
        <f>IF(AND(S_1!$G$8="ja",S_1!$K$8="nein"),S_1!$C$13,"")</f>
        <v/>
      </c>
      <c r="F70" s="1609" t="str">
        <f>IF(AND(S_1!$G$8="ja",S_1!$K$8="nein"),S_1!$D$13,"")</f>
        <v/>
      </c>
      <c r="G70" s="1608" t="str">
        <f>IF(AND(S_1!$G$8="ja",S_1!$K$8="nein"),S_1!$E$13,"")</f>
        <v/>
      </c>
      <c r="H70" s="1609" t="str">
        <f>IF(AND(S_1!$G$8="ja",S_1!$K$8="nein"),S_1!$F$13,"")</f>
        <v/>
      </c>
      <c r="I70" s="1608" t="str">
        <f>IF(AND(S_1!$G$8="ja",S_1!$K$8="nein"),S_1!$G$13,"")</f>
        <v/>
      </c>
      <c r="J70" s="1609" t="str">
        <f>IF(AND(S_1!$G$8="ja",S_1!$K$8="nein"),S_1!$H$13,"")</f>
        <v/>
      </c>
      <c r="K70" s="1608" t="str">
        <f>IF(AND(S_1!$G$8="ja",S_1!$K$8="nein"),S_1!$I$13,"")</f>
        <v/>
      </c>
      <c r="L70" s="1609" t="str">
        <f>IF(AND(S_1!$G$8="ja",S_1!$K$8="nein"),S_1!$J$13,"")</f>
        <v/>
      </c>
      <c r="M70" s="1608" t="str">
        <f>IF(AND(S_1!$G$8="ja",S_1!$K$8="nein"),S_1!$K$13,"")</f>
        <v/>
      </c>
      <c r="N70" s="1609" t="str">
        <f>IF(AND(S_1!$G$8="ja",S_1!$K$8="nein"),S_1!$L$13,"")</f>
        <v/>
      </c>
      <c r="O70" s="1608" t="str">
        <f>IF(AND(S_1!$G$8="ja",S_1!$K$8="nein"),S_1!$M$13,"")</f>
        <v/>
      </c>
      <c r="P70" s="1609" t="str">
        <f>IF(AND(S_1!$G$8="ja",S_1!$K$8="nein"),S_1!$N$13,"")</f>
        <v/>
      </c>
      <c r="Q70" s="1608" t="str">
        <f>IF(AND(S_1!$G$8="ja",S_1!$K$8="nein"),S_1!$O$13,"")</f>
        <v/>
      </c>
      <c r="R70" s="1609" t="str">
        <f>IF(AND(S_1!$G$8="ja",S_1!$K$8="nein"),S_1!$P$13,"")</f>
        <v/>
      </c>
      <c r="S70" s="1617" t="str">
        <f>IF(AND(S_1!$G$8="ja",S_1!$K$8="nein"),S_1!Q79,"")</f>
        <v/>
      </c>
      <c r="T70" s="1617" t="str">
        <f>IF(AND(S_1!$G$8="ja",S_1!$K$8="nein"),S_1!R79,"")</f>
        <v/>
      </c>
      <c r="U70" s="1617" t="str">
        <f>IF(AND(S_1!$G$8="ja",S_1!$K$8="nein"),S_1!$S$13,"")</f>
        <v/>
      </c>
    </row>
    <row r="71" spans="2:21" ht="15" customHeight="1">
      <c r="B71" s="1608" t="str">
        <f>IF(AND(S_1!$G$8="ja",S_1!$K$8="ja"),S_1!$C$2,"")</f>
        <v/>
      </c>
      <c r="C71" s="1608" t="str">
        <f>IF(AND(S_1!$G$8="ja",S_1!$K$8="ja"),1,"")</f>
        <v/>
      </c>
      <c r="D71" s="1609" t="str">
        <f>IF(AND(S_1!$G$8="ja",S_1!$K$8="ja"),S_1!$B$14,"")</f>
        <v/>
      </c>
      <c r="E71" s="1618" t="str">
        <f>IF(AND(S_1!$G$8="ja",S_1!$K$8="ja"),S_1!$C$14,"")</f>
        <v/>
      </c>
      <c r="F71" s="1609" t="str">
        <f>IF(AND(S_1!$G$8="ja",S_1!$K$8="ja"),S_1!$D$14,"")</f>
        <v/>
      </c>
      <c r="G71" s="1608" t="str">
        <f>IF(AND(S_1!$G$8="ja",S_1!$K$8="ja"),S_1!$E$14,"")</f>
        <v/>
      </c>
      <c r="H71" s="1609" t="str">
        <f>IF(AND(S_1!$G$8="ja",S_1!$K$8="ja"),S_1!$F$14,"")</f>
        <v/>
      </c>
      <c r="I71" s="1608" t="str">
        <f>IF(AND(S_1!$G$8="ja",S_1!$K$8="ja"),S_1!$G$14,"")</f>
        <v/>
      </c>
      <c r="J71" s="1609" t="str">
        <f>IF(AND(S_1!$G$8="ja",S_1!$K$8="ja"),S_1!$H$14,"")</f>
        <v/>
      </c>
      <c r="K71" s="1608" t="str">
        <f>IF(AND(S_1!$G$8="ja",S_1!$K$8="ja"),S_1!$I$14,"")</f>
        <v/>
      </c>
      <c r="L71" s="1609" t="str">
        <f>IF(AND(S_1!$G$8="ja",S_1!$K$8="ja"),S_1!$J$14,"")</f>
        <v/>
      </c>
      <c r="M71" s="1608" t="str">
        <f>IF(AND(S_1!$G$8="ja",S_1!$K$8="ja"),S_1!$K$14,"")</f>
        <v/>
      </c>
      <c r="N71" s="1609" t="str">
        <f>IF(AND(S_1!$G$8="ja",S_1!$K$8="ja"),S_1!$L$14,"")</f>
        <v/>
      </c>
      <c r="O71" s="1608" t="str">
        <f>IF(AND(S_1!$G$8="ja",S_1!$K$8="ja"),S_1!$M$14,"")</f>
        <v/>
      </c>
      <c r="P71" s="1609" t="str">
        <f>IF(AND(S_1!$G$8="ja",S_1!$K$8="ja"),S_1!$N$14,"")</f>
        <v/>
      </c>
      <c r="Q71" s="1608" t="str">
        <f>IF(AND(S_1!$G$8="ja",S_1!$K$8="ja"),S_1!$O$14,"")</f>
        <v/>
      </c>
      <c r="R71" s="1609" t="str">
        <f>IF(AND(S_1!$G$8="ja",S_1!$K$8="ja"),S_1!$P$14,"")</f>
        <v/>
      </c>
      <c r="S71" s="1617" t="str">
        <f>IF(AND(S_1!$G$8="ja",S_1!$K$8="ja"),S_1!Q80,"")</f>
        <v/>
      </c>
      <c r="T71" s="1617" t="str">
        <f>IF(AND(S_1!$G$8="ja",S_1!$K$8="ja"),S_1!R80,"")</f>
        <v/>
      </c>
      <c r="U71" s="1617" t="str">
        <f>IF(AND(S_1!$G$8="ja",S_1!$K$8="ja"),S_1!$S$14,"")</f>
        <v/>
      </c>
    </row>
    <row r="72" spans="2:21" ht="15" customHeight="1">
      <c r="B72" s="1608" t="str">
        <f>IF(AND(S_1!$G$8="ja",S_1!$K$8="ja"),S_1!$C$2,"")</f>
        <v/>
      </c>
      <c r="C72" s="1608" t="str">
        <f>IF(AND(S_1!$G$8="ja",S_1!$K$8="ja"),2,"")</f>
        <v/>
      </c>
      <c r="D72" s="1609" t="str">
        <f>IF(AND(S_1!$G$8="ja",S_1!$K$8="ja"),S_1!$B$15,"")</f>
        <v/>
      </c>
      <c r="E72" s="1618" t="str">
        <f>IF(AND(S_1!$G$8="ja",S_1!$K$8="ja"),S_1!$C$15,"")</f>
        <v/>
      </c>
      <c r="F72" s="1609" t="str">
        <f>IF(AND(S_1!$G$8="ja",S_1!$K$8="ja"),S_1!$D$15,"")</f>
        <v/>
      </c>
      <c r="G72" s="1608" t="str">
        <f>IF(AND(S_1!$G$8="ja",S_1!$K$8="ja"),S_1!$E$15,"")</f>
        <v/>
      </c>
      <c r="H72" s="1609" t="str">
        <f>IF(AND(S_1!$G$8="ja",S_1!$K$8="ja"),S_1!$F$15,"")</f>
        <v/>
      </c>
      <c r="I72" s="1608" t="str">
        <f>IF(AND(S_1!$G$8="ja",S_1!$K$8="ja"),S_1!$G$15,"")</f>
        <v/>
      </c>
      <c r="J72" s="1609" t="str">
        <f>IF(AND(S_1!$G$8="ja",S_1!$K$8="ja"),S_1!$H$15,"")</f>
        <v/>
      </c>
      <c r="K72" s="1608" t="str">
        <f>IF(AND(S_1!$G$8="ja",S_1!$K$8="ja"),S_1!$I$15,"")</f>
        <v/>
      </c>
      <c r="L72" s="1609" t="str">
        <f>IF(AND(S_1!$G$8="ja",S_1!$K$8="ja"),S_1!$J$15,"")</f>
        <v/>
      </c>
      <c r="M72" s="1608" t="str">
        <f>IF(AND(S_1!$G$8="ja",S_1!$K$8="ja"),S_1!$K$15,"")</f>
        <v/>
      </c>
      <c r="N72" s="1609" t="str">
        <f>IF(AND(S_1!$G$8="ja",S_1!$K$8="ja"),S_1!$L$15,"")</f>
        <v/>
      </c>
      <c r="O72" s="1608" t="str">
        <f>IF(AND(S_1!$G$8="ja",S_1!$K$8="ja"),S_1!$M$15,"")</f>
        <v/>
      </c>
      <c r="P72" s="1609" t="str">
        <f>IF(AND(S_1!$G$8="ja",S_1!$K$8="ja"),S_1!$N$15,"")</f>
        <v/>
      </c>
      <c r="Q72" s="1608" t="str">
        <f>IF(AND(S_1!$G$8="ja",S_1!$K$8="ja"),S_1!$O$15,"")</f>
        <v/>
      </c>
      <c r="R72" s="1609" t="str">
        <f>IF(AND(S_1!$G$8="ja",S_1!$K$8="ja"),S_1!$P$15,"")</f>
        <v/>
      </c>
      <c r="S72" s="1617" t="str">
        <f>IF(AND(S_1!$G$8="ja",S_1!$K$8="ja"),S_1!Q81,"")</f>
        <v/>
      </c>
      <c r="T72" s="1617" t="str">
        <f>IF(AND(S_1!$G$8="ja",S_1!$K$8="ja"),S_1!R81,"")</f>
        <v/>
      </c>
      <c r="U72" s="1617" t="str">
        <f>IF(AND(S_1!$G$8="ja",S_1!$K$8="ja"),S_1!$S$15,"")</f>
        <v/>
      </c>
    </row>
    <row r="73" spans="2:21" ht="15" customHeight="1">
      <c r="B73" s="1608" t="str">
        <f>IF(AND(S_1!$G$8="ja",S_1!$K$8="nein"),S_1!$C$2,"")</f>
        <v/>
      </c>
      <c r="C73" s="1608" t="str">
        <f>IF(AND(S_1!$G$8="ja",S_1!$K$8="nein"),"","")</f>
        <v/>
      </c>
      <c r="D73" s="1609" t="str">
        <f>IF(AND(S_1!$G$8="ja",S_1!$K$8="nein"),S_1!$B$13,"")</f>
        <v/>
      </c>
      <c r="E73" s="1618" t="str">
        <f>IF(AND(S_1!$G$8="ja",S_1!$K$8="nein"),S_1!$C$13,"")</f>
        <v/>
      </c>
      <c r="F73" s="1609" t="str">
        <f>IF(AND(S_1!$G$8="ja",S_1!$K$8="nein"),S_1!$D$13,"")</f>
        <v/>
      </c>
      <c r="G73" s="1608" t="str">
        <f>IF(AND(S_1!$G$8="ja",S_1!$K$8="nein"),S_1!$E$13,"")</f>
        <v/>
      </c>
      <c r="H73" s="1609" t="str">
        <f>IF(AND(S_1!$G$8="ja",S_1!$K$8="nein"),S_1!$F$13,"")</f>
        <v/>
      </c>
      <c r="I73" s="1608" t="str">
        <f>IF(AND(S_1!$G$8="ja",S_1!$K$8="nein"),S_1!$G$13,"")</f>
        <v/>
      </c>
      <c r="J73" s="1609" t="str">
        <f>IF(AND(S_1!$G$8="ja",S_1!$K$8="nein"),S_1!$H$13,"")</f>
        <v/>
      </c>
      <c r="K73" s="1608" t="str">
        <f>IF(AND(S_1!$G$8="ja",S_1!$K$8="nein"),S_1!$I$13,"")</f>
        <v/>
      </c>
      <c r="L73" s="1609" t="str">
        <f>IF(AND(S_1!$G$8="ja",S_1!$K$8="nein"),S_1!$J$13,"")</f>
        <v/>
      </c>
      <c r="M73" s="1608" t="str">
        <f>IF(AND(S_1!$G$8="ja",S_1!$K$8="nein"),S_1!$K$13,"")</f>
        <v/>
      </c>
      <c r="N73" s="1609" t="str">
        <f>IF(AND(S_1!$G$8="ja",S_1!$K$8="nein"),S_1!$L$13,"")</f>
        <v/>
      </c>
      <c r="O73" s="1608" t="str">
        <f>IF(AND(S_1!$G$8="ja",S_1!$K$8="nein"),S_1!$M$13,"")</f>
        <v/>
      </c>
      <c r="P73" s="1609" t="str">
        <f>IF(AND(S_1!$G$8="ja",S_1!$K$8="nein"),S_1!$N$13,"")</f>
        <v/>
      </c>
      <c r="Q73" s="1608" t="str">
        <f>IF(AND(S_1!$G$8="ja",S_1!$K$8="nein"),S_1!$O$13,"")</f>
        <v/>
      </c>
      <c r="R73" s="1609" t="str">
        <f>IF(AND(S_1!$G$8="ja",S_1!$K$8="nein"),S_1!$P$13,"")</f>
        <v/>
      </c>
      <c r="S73" s="1617" t="str">
        <f>IF(AND(S_1!$G$8="ja",S_1!$K$8="nein"),S_1!Q82,"")</f>
        <v/>
      </c>
      <c r="T73" s="1617" t="str">
        <f>IF(AND(S_1!$G$8="ja",S_1!$K$8="nein"),S_1!R82,"")</f>
        <v/>
      </c>
      <c r="U73" s="1617" t="str">
        <f>IF(AND(S_1!$G$8="ja",S_1!$K$8="nein"),S_1!$S$13,"")</f>
        <v/>
      </c>
    </row>
    <row r="74" spans="2:21" ht="15" customHeight="1">
      <c r="B74" s="1608" t="str">
        <f>IF(AND(S_1!$G$8="ja",S_1!$K$8="ja"),S_1!$C$2,"")</f>
        <v/>
      </c>
      <c r="C74" s="1608" t="str">
        <f>IF(AND(S_1!$G$8="ja",S_1!$K$8="ja"),1,"")</f>
        <v/>
      </c>
      <c r="D74" s="1609" t="str">
        <f>IF(AND(S_1!$G$8="ja",S_1!$K$8="ja"),S_1!$B$14,"")</f>
        <v/>
      </c>
      <c r="E74" s="1618" t="str">
        <f>IF(AND(S_1!$G$8="ja",S_1!$K$8="ja"),S_1!$C$14,"")</f>
        <v/>
      </c>
      <c r="F74" s="1609" t="str">
        <f>IF(AND(S_1!$G$8="ja",S_1!$K$8="ja"),S_1!$D$14,"")</f>
        <v/>
      </c>
      <c r="G74" s="1608" t="str">
        <f>IF(AND(S_1!$G$8="ja",S_1!$K$8="ja"),S_1!$E$14,"")</f>
        <v/>
      </c>
      <c r="H74" s="1609" t="str">
        <f>IF(AND(S_1!$G$8="ja",S_1!$K$8="ja"),S_1!$F$14,"")</f>
        <v/>
      </c>
      <c r="I74" s="1608" t="str">
        <f>IF(AND(S_1!$G$8="ja",S_1!$K$8="ja"),S_1!$G$14,"")</f>
        <v/>
      </c>
      <c r="J74" s="1609" t="str">
        <f>IF(AND(S_1!$G$8="ja",S_1!$K$8="ja"),S_1!$H$14,"")</f>
        <v/>
      </c>
      <c r="K74" s="1608" t="str">
        <f>IF(AND(S_1!$G$8="ja",S_1!$K$8="ja"),S_1!$I$14,"")</f>
        <v/>
      </c>
      <c r="L74" s="1609" t="str">
        <f>IF(AND(S_1!$G$8="ja",S_1!$K$8="ja"),S_1!$J$14,"")</f>
        <v/>
      </c>
      <c r="M74" s="1608" t="str">
        <f>IF(AND(S_1!$G$8="ja",S_1!$K$8="ja"),S_1!$K$14,"")</f>
        <v/>
      </c>
      <c r="N74" s="1609" t="str">
        <f>IF(AND(S_1!$G$8="ja",S_1!$K$8="ja"),S_1!$L$14,"")</f>
        <v/>
      </c>
      <c r="O74" s="1608" t="str">
        <f>IF(AND(S_1!$G$8="ja",S_1!$K$8="ja"),S_1!$M$14,"")</f>
        <v/>
      </c>
      <c r="P74" s="1609" t="str">
        <f>IF(AND(S_1!$G$8="ja",S_1!$K$8="ja"),S_1!$N$14,"")</f>
        <v/>
      </c>
      <c r="Q74" s="1608" t="str">
        <f>IF(AND(S_1!$G$8="ja",S_1!$K$8="ja"),S_1!$O$14,"")</f>
        <v/>
      </c>
      <c r="R74" s="1609" t="str">
        <f>IF(AND(S_1!$G$8="ja",S_1!$K$8="ja"),S_1!$P$14,"")</f>
        <v/>
      </c>
      <c r="S74" s="1617" t="str">
        <f>IF(AND(S_1!$G$8="ja",S_1!$K$8="ja"),S_1!Q83,"")</f>
        <v/>
      </c>
      <c r="T74" s="1617" t="str">
        <f>IF(AND(S_1!$G$8="ja",S_1!$K$8="ja"),S_1!R83,"")</f>
        <v/>
      </c>
      <c r="U74" s="1617" t="str">
        <f>IF(AND(S_1!$G$8="ja",S_1!$K$8="ja"),S_1!$S$14,"")</f>
        <v/>
      </c>
    </row>
    <row r="75" spans="2:21" ht="15" customHeight="1">
      <c r="B75" s="1608" t="str">
        <f>IF(AND(S_1!$G$8="ja",S_1!$K$8="ja"),S_1!$C$2,"")</f>
        <v/>
      </c>
      <c r="C75" s="1608" t="str">
        <f>IF(AND(S_1!$G$8="ja",S_1!$K$8="ja"),2,"")</f>
        <v/>
      </c>
      <c r="D75" s="1609" t="str">
        <f>IF(AND(S_1!$G$8="ja",S_1!$K$8="ja"),S_1!$B$15,"")</f>
        <v/>
      </c>
      <c r="E75" s="1618" t="str">
        <f>IF(AND(S_1!$G$8="ja",S_1!$K$8="ja"),S_1!$C$15,"")</f>
        <v/>
      </c>
      <c r="F75" s="1609" t="str">
        <f>IF(AND(S_1!$G$8="ja",S_1!$K$8="ja"),S_1!$D$15,"")</f>
        <v/>
      </c>
      <c r="G75" s="1608" t="str">
        <f>IF(AND(S_1!$G$8="ja",S_1!$K$8="ja"),S_1!$E$15,"")</f>
        <v/>
      </c>
      <c r="H75" s="1609" t="str">
        <f>IF(AND(S_1!$G$8="ja",S_1!$K$8="ja"),S_1!$F$15,"")</f>
        <v/>
      </c>
      <c r="I75" s="1608" t="str">
        <f>IF(AND(S_1!$G$8="ja",S_1!$K$8="ja"),S_1!$G$15,"")</f>
        <v/>
      </c>
      <c r="J75" s="1609" t="str">
        <f>IF(AND(S_1!$G$8="ja",S_1!$K$8="ja"),S_1!$H$15,"")</f>
        <v/>
      </c>
      <c r="K75" s="1608" t="str">
        <f>IF(AND(S_1!$G$8="ja",S_1!$K$8="ja"),S_1!$I$15,"")</f>
        <v/>
      </c>
      <c r="L75" s="1609" t="str">
        <f>IF(AND(S_1!$G$8="ja",S_1!$K$8="ja"),S_1!$J$15,"")</f>
        <v/>
      </c>
      <c r="M75" s="1608" t="str">
        <f>IF(AND(S_1!$G$8="ja",S_1!$K$8="ja"),S_1!$K$15,"")</f>
        <v/>
      </c>
      <c r="N75" s="1609" t="str">
        <f>IF(AND(S_1!$G$8="ja",S_1!$K$8="ja"),S_1!$L$15,"")</f>
        <v/>
      </c>
      <c r="O75" s="1608" t="str">
        <f>IF(AND(S_1!$G$8="ja",S_1!$K$8="ja"),S_1!$M$15,"")</f>
        <v/>
      </c>
      <c r="P75" s="1609" t="str">
        <f>IF(AND(S_1!$G$8="ja",S_1!$K$8="ja"),S_1!$N$15,"")</f>
        <v/>
      </c>
      <c r="Q75" s="1608" t="str">
        <f>IF(AND(S_1!$G$8="ja",S_1!$K$8="ja"),S_1!$O$15,"")</f>
        <v/>
      </c>
      <c r="R75" s="1609" t="str">
        <f>IF(AND(S_1!$G$8="ja",S_1!$K$8="ja"),S_1!$P$15,"")</f>
        <v/>
      </c>
      <c r="S75" s="1617" t="str">
        <f>IF(AND(S_1!$G$8="ja",S_1!$K$8="ja"),S_1!Q84,"")</f>
        <v/>
      </c>
      <c r="T75" s="1617" t="str">
        <f>IF(AND(S_1!$G$8="ja",S_1!$K$8="ja"),S_1!R84,"")</f>
        <v/>
      </c>
      <c r="U75" s="1617" t="str">
        <f>IF(AND(S_1!$G$8="ja",S_1!$K$8="ja"),S_1!$S$15,"")</f>
        <v/>
      </c>
    </row>
    <row r="76" spans="2:21" ht="15" customHeight="1">
      <c r="B76" s="1608" t="str">
        <f>IF(AND(S_1!$G$8="ja",S_1!$K$8="nein"),S_1!$C$2,"")</f>
        <v/>
      </c>
      <c r="C76" s="1608" t="str">
        <f>IF(AND(S_1!$G$8="ja",S_1!$K$8="nein"),"","")</f>
        <v/>
      </c>
      <c r="D76" s="1609" t="str">
        <f>IF(AND(S_1!$G$8="ja",S_1!$K$8="nein"),S_1!$B$13,"")</f>
        <v/>
      </c>
      <c r="E76" s="1618" t="str">
        <f>IF(AND(S_1!$G$8="ja",S_1!$K$8="nein"),S_1!$C$13,"")</f>
        <v/>
      </c>
      <c r="F76" s="1609" t="str">
        <f>IF(AND(S_1!$G$8="ja",S_1!$K$8="nein"),S_1!$D$13,"")</f>
        <v/>
      </c>
      <c r="G76" s="1608" t="str">
        <f>IF(AND(S_1!$G$8="ja",S_1!$K$8="nein"),S_1!$E$13,"")</f>
        <v/>
      </c>
      <c r="H76" s="1609" t="str">
        <f>IF(AND(S_1!$G$8="ja",S_1!$K$8="nein"),S_1!$F$13,"")</f>
        <v/>
      </c>
      <c r="I76" s="1608" t="str">
        <f>IF(AND(S_1!$G$8="ja",S_1!$K$8="nein"),S_1!$G$13,"")</f>
        <v/>
      </c>
      <c r="J76" s="1609" t="str">
        <f>IF(AND(S_1!$G$8="ja",S_1!$K$8="nein"),S_1!$H$13,"")</f>
        <v/>
      </c>
      <c r="K76" s="1608" t="str">
        <f>IF(AND(S_1!$G$8="ja",S_1!$K$8="nein"),S_1!$I$13,"")</f>
        <v/>
      </c>
      <c r="L76" s="1609" t="str">
        <f>IF(AND(S_1!$G$8="ja",S_1!$K$8="nein"),S_1!$J$13,"")</f>
        <v/>
      </c>
      <c r="M76" s="1608" t="str">
        <f>IF(AND(S_1!$G$8="ja",S_1!$K$8="nein"),S_1!$K$13,"")</f>
        <v/>
      </c>
      <c r="N76" s="1609" t="str">
        <f>IF(AND(S_1!$G$8="ja",S_1!$K$8="nein"),S_1!$L$13,"")</f>
        <v/>
      </c>
      <c r="O76" s="1608" t="str">
        <f>IF(AND(S_1!$G$8="ja",S_1!$K$8="nein"),S_1!$M$13,"")</f>
        <v/>
      </c>
      <c r="P76" s="1609" t="str">
        <f>IF(AND(S_1!$G$8="ja",S_1!$K$8="nein"),S_1!$N$13,"")</f>
        <v/>
      </c>
      <c r="Q76" s="1608" t="str">
        <f>IF(AND(S_1!$G$8="ja",S_1!$K$8="nein"),S_1!$O$13,"")</f>
        <v/>
      </c>
      <c r="R76" s="1609" t="str">
        <f>IF(AND(S_1!$G$8="ja",S_1!$K$8="nein"),S_1!$P$13,"")</f>
        <v/>
      </c>
      <c r="S76" s="1617" t="str">
        <f>IF(AND(S_1!$G$8="ja",S_1!$K$8="nein"),S_1!Q85,"")</f>
        <v/>
      </c>
      <c r="T76" s="1617" t="str">
        <f>IF(AND(S_1!$G$8="ja",S_1!$K$8="nein"),S_1!R85,"")</f>
        <v/>
      </c>
      <c r="U76" s="1617" t="str">
        <f>IF(AND(S_1!$G$8="ja",S_1!$K$8="nein"),S_1!$S$13,"")</f>
        <v/>
      </c>
    </row>
    <row r="77" spans="2:21" ht="15" customHeight="1">
      <c r="B77" s="1608" t="str">
        <f>IF(AND(S_1!$G$8="ja",S_1!$K$8="ja"),S_1!$C$2,"")</f>
        <v/>
      </c>
      <c r="C77" s="1608" t="str">
        <f>IF(AND(S_1!$G$8="ja",S_1!$K$8="ja"),1,"")</f>
        <v/>
      </c>
      <c r="D77" s="1609" t="str">
        <f>IF(AND(S_1!$G$8="ja",S_1!$K$8="ja"),S_1!$B$14,"")</f>
        <v/>
      </c>
      <c r="E77" s="1618" t="str">
        <f>IF(AND(S_1!$G$8="ja",S_1!$K$8="ja"),S_1!$C$14,"")</f>
        <v/>
      </c>
      <c r="F77" s="1609" t="str">
        <f>IF(AND(S_1!$G$8="ja",S_1!$K$8="ja"),S_1!$D$14,"")</f>
        <v/>
      </c>
      <c r="G77" s="1608" t="str">
        <f>IF(AND(S_1!$G$8="ja",S_1!$K$8="ja"),S_1!$E$14,"")</f>
        <v/>
      </c>
      <c r="H77" s="1609" t="str">
        <f>IF(AND(S_1!$G$8="ja",S_1!$K$8="ja"),S_1!$F$14,"")</f>
        <v/>
      </c>
      <c r="I77" s="1608" t="str">
        <f>IF(AND(S_1!$G$8="ja",S_1!$K$8="ja"),S_1!$G$14,"")</f>
        <v/>
      </c>
      <c r="J77" s="1609" t="str">
        <f>IF(AND(S_1!$G$8="ja",S_1!$K$8="ja"),S_1!$H$14,"")</f>
        <v/>
      </c>
      <c r="K77" s="1608" t="str">
        <f>IF(AND(S_1!$G$8="ja",S_1!$K$8="ja"),S_1!$I$14,"")</f>
        <v/>
      </c>
      <c r="L77" s="1609" t="str">
        <f>IF(AND(S_1!$G$8="ja",S_1!$K$8="ja"),S_1!$J$14,"")</f>
        <v/>
      </c>
      <c r="M77" s="1608" t="str">
        <f>IF(AND(S_1!$G$8="ja",S_1!$K$8="ja"),S_1!$K$14,"")</f>
        <v/>
      </c>
      <c r="N77" s="1609" t="str">
        <f>IF(AND(S_1!$G$8="ja",S_1!$K$8="ja"),S_1!$L$14,"")</f>
        <v/>
      </c>
      <c r="O77" s="1608" t="str">
        <f>IF(AND(S_1!$G$8="ja",S_1!$K$8="ja"),S_1!$M$14,"")</f>
        <v/>
      </c>
      <c r="P77" s="1609" t="str">
        <f>IF(AND(S_1!$G$8="ja",S_1!$K$8="ja"),S_1!$N$14,"")</f>
        <v/>
      </c>
      <c r="Q77" s="1608" t="str">
        <f>IF(AND(S_1!$G$8="ja",S_1!$K$8="ja"),S_1!$O$14,"")</f>
        <v/>
      </c>
      <c r="R77" s="1609" t="str">
        <f>IF(AND(S_1!$G$8="ja",S_1!$K$8="ja"),S_1!$P$14,"")</f>
        <v/>
      </c>
      <c r="S77" s="1617" t="str">
        <f>IF(AND(S_1!$G$8="ja",S_1!$K$8="ja"),S_1!Q86,"")</f>
        <v/>
      </c>
      <c r="T77" s="1617" t="str">
        <f>IF(AND(S_1!$G$8="ja",S_1!$K$8="ja"),S_1!R86,"")</f>
        <v/>
      </c>
      <c r="U77" s="1617" t="str">
        <f>IF(AND(S_1!$G$8="ja",S_1!$K$8="ja"),S_1!$S$14,"")</f>
        <v/>
      </c>
    </row>
    <row r="78" spans="2:21" ht="15" customHeight="1">
      <c r="B78" s="1608" t="str">
        <f>IF(AND(S_1!$G$8="ja",S_1!$K$8="ja"),S_1!$C$2,"")</f>
        <v/>
      </c>
      <c r="C78" s="1608" t="str">
        <f>IF(AND(S_1!$G$8="ja",S_1!$K$8="ja"),2,"")</f>
        <v/>
      </c>
      <c r="D78" s="1609" t="str">
        <f>IF(AND(S_1!$G$8="ja",S_1!$K$8="ja"),S_1!$B$15,"")</f>
        <v/>
      </c>
      <c r="E78" s="1618" t="str">
        <f>IF(AND(S_1!$G$8="ja",S_1!$K$8="ja"),S_1!$C$15,"")</f>
        <v/>
      </c>
      <c r="F78" s="1609" t="str">
        <f>IF(AND(S_1!$G$8="ja",S_1!$K$8="ja"),S_1!$D$15,"")</f>
        <v/>
      </c>
      <c r="G78" s="1608" t="str">
        <f>IF(AND(S_1!$G$8="ja",S_1!$K$8="ja"),S_1!$E$15,"")</f>
        <v/>
      </c>
      <c r="H78" s="1609" t="str">
        <f>IF(AND(S_1!$G$8="ja",S_1!$K$8="ja"),S_1!$F$15,"")</f>
        <v/>
      </c>
      <c r="I78" s="1608" t="str">
        <f>IF(AND(S_1!$G$8="ja",S_1!$K$8="ja"),S_1!$G$15,"")</f>
        <v/>
      </c>
      <c r="J78" s="1609" t="str">
        <f>IF(AND(S_1!$G$8="ja",S_1!$K$8="ja"),S_1!$H$15,"")</f>
        <v/>
      </c>
      <c r="K78" s="1608" t="str">
        <f>IF(AND(S_1!$G$8="ja",S_1!$K$8="ja"),S_1!$I$15,"")</f>
        <v/>
      </c>
      <c r="L78" s="1609" t="str">
        <f>IF(AND(S_1!$G$8="ja",S_1!$K$8="ja"),S_1!$J$15,"")</f>
        <v/>
      </c>
      <c r="M78" s="1608" t="str">
        <f>IF(AND(S_1!$G$8="ja",S_1!$K$8="ja"),S_1!$K$15,"")</f>
        <v/>
      </c>
      <c r="N78" s="1609" t="str">
        <f>IF(AND(S_1!$G$8="ja",S_1!$K$8="ja"),S_1!$L$15,"")</f>
        <v/>
      </c>
      <c r="O78" s="1608" t="str">
        <f>IF(AND(S_1!$G$8="ja",S_1!$K$8="ja"),S_1!$M$15,"")</f>
        <v/>
      </c>
      <c r="P78" s="1609" t="str">
        <f>IF(AND(S_1!$G$8="ja",S_1!$K$8="ja"),S_1!$N$15,"")</f>
        <v/>
      </c>
      <c r="Q78" s="1608" t="str">
        <f>IF(AND(S_1!$G$8="ja",S_1!$K$8="ja"),S_1!$O$15,"")</f>
        <v/>
      </c>
      <c r="R78" s="1609" t="str">
        <f>IF(AND(S_1!$G$8="ja",S_1!$K$8="ja"),S_1!$P$15,"")</f>
        <v/>
      </c>
      <c r="S78" s="1617" t="str">
        <f>IF(AND(S_1!$G$8="ja",S_1!$K$8="ja"),S_1!Q87,"")</f>
        <v/>
      </c>
      <c r="T78" s="1617" t="str">
        <f>IF(AND(S_1!$G$8="ja",S_1!$K$8="ja"),S_1!R87,"")</f>
        <v/>
      </c>
      <c r="U78" s="1617" t="str">
        <f>IF(AND(S_1!$G$8="ja",S_1!$K$8="ja"),S_1!$S$15,"")</f>
        <v/>
      </c>
    </row>
    <row r="79" spans="2:21" ht="15" customHeight="1">
      <c r="B79" s="1608" t="str">
        <f>IF(AND(S_1!$G$8="ja",S_1!$K$8="nein"),S_1!$C$2,"")</f>
        <v/>
      </c>
      <c r="C79" s="1608" t="str">
        <f>IF(AND(S_1!$G$8="ja",S_1!$K$8="nein"),"","")</f>
        <v/>
      </c>
      <c r="D79" s="1609" t="str">
        <f>IF(AND(S_1!$G$8="ja",S_1!$K$8="nein"),S_1!$B$13,"")</f>
        <v/>
      </c>
      <c r="E79" s="1618" t="str">
        <f>IF(AND(S_1!$G$8="ja",S_1!$K$8="nein"),S_1!$C$13,"")</f>
        <v/>
      </c>
      <c r="F79" s="1609" t="str">
        <f>IF(AND(S_1!$G$8="ja",S_1!$K$8="nein"),S_1!$D$13,"")</f>
        <v/>
      </c>
      <c r="G79" s="1608" t="str">
        <f>IF(AND(S_1!$G$8="ja",S_1!$K$8="nein"),S_1!$E$13,"")</f>
        <v/>
      </c>
      <c r="H79" s="1609" t="str">
        <f>IF(AND(S_1!$G$8="ja",S_1!$K$8="nein"),S_1!$F$13,"")</f>
        <v/>
      </c>
      <c r="I79" s="1608" t="str">
        <f>IF(AND(S_1!$G$8="ja",S_1!$K$8="nein"),S_1!$G$13,"")</f>
        <v/>
      </c>
      <c r="J79" s="1609" t="str">
        <f>IF(AND(S_1!$G$8="ja",S_1!$K$8="nein"),S_1!$H$13,"")</f>
        <v/>
      </c>
      <c r="K79" s="1608" t="str">
        <f>IF(AND(S_1!$G$8="ja",S_1!$K$8="nein"),S_1!$I$13,"")</f>
        <v/>
      </c>
      <c r="L79" s="1609" t="str">
        <f>IF(AND(S_1!$G$8="ja",S_1!$K$8="nein"),S_1!$J$13,"")</f>
        <v/>
      </c>
      <c r="M79" s="1608" t="str">
        <f>IF(AND(S_1!$G$8="ja",S_1!$K$8="nein"),S_1!$K$13,"")</f>
        <v/>
      </c>
      <c r="N79" s="1609" t="str">
        <f>IF(AND(S_1!$G$8="ja",S_1!$K$8="nein"),S_1!$L$13,"")</f>
        <v/>
      </c>
      <c r="O79" s="1608" t="str">
        <f>IF(AND(S_1!$G$8="ja",S_1!$K$8="nein"),S_1!$M$13,"")</f>
        <v/>
      </c>
      <c r="P79" s="1609" t="str">
        <f>IF(AND(S_1!$G$8="ja",S_1!$K$8="nein"),S_1!$N$13,"")</f>
        <v/>
      </c>
      <c r="Q79" s="1608" t="str">
        <f>IF(AND(S_1!$G$8="ja",S_1!$K$8="nein"),S_1!$O$13,"")</f>
        <v/>
      </c>
      <c r="R79" s="1609" t="str">
        <f>IF(AND(S_1!$G$8="ja",S_1!$K$8="nein"),S_1!$P$13,"")</f>
        <v/>
      </c>
      <c r="S79" s="1617" t="str">
        <f>IF(AND(S_1!$G$8="ja",S_1!$K$8="nein"),S_1!Q88,"")</f>
        <v/>
      </c>
      <c r="T79" s="1617" t="str">
        <f>IF(AND(S_1!$G$8="ja",S_1!$K$8="nein"),S_1!R88,"")</f>
        <v/>
      </c>
      <c r="U79" s="1617" t="str">
        <f>IF(AND(S_1!$G$8="ja",S_1!$K$8="nein"),S_1!$S$13,"")</f>
        <v/>
      </c>
    </row>
    <row r="80" spans="2:21" ht="15" customHeight="1">
      <c r="B80" s="1608" t="str">
        <f>IF(AND(S_1!$G$8="ja",S_1!$K$8="ja"),S_1!$C$2,"")</f>
        <v/>
      </c>
      <c r="C80" s="1608" t="str">
        <f>IF(AND(S_1!$G$8="ja",S_1!$K$8="ja"),1,"")</f>
        <v/>
      </c>
      <c r="D80" s="1609" t="str">
        <f>IF(AND(S_1!$G$8="ja",S_1!$K$8="ja"),S_1!$B$14,"")</f>
        <v/>
      </c>
      <c r="E80" s="1618" t="str">
        <f>IF(AND(S_1!$G$8="ja",S_1!$K$8="ja"),S_1!$C$14,"")</f>
        <v/>
      </c>
      <c r="F80" s="1609" t="str">
        <f>IF(AND(S_1!$G$8="ja",S_1!$K$8="ja"),S_1!$D$14,"")</f>
        <v/>
      </c>
      <c r="G80" s="1608" t="str">
        <f>IF(AND(S_1!$G$8="ja",S_1!$K$8="ja"),S_1!$E$14,"")</f>
        <v/>
      </c>
      <c r="H80" s="1609" t="str">
        <f>IF(AND(S_1!$G$8="ja",S_1!$K$8="ja"),S_1!$F$14,"")</f>
        <v/>
      </c>
      <c r="I80" s="1608" t="str">
        <f>IF(AND(S_1!$G$8="ja",S_1!$K$8="ja"),S_1!$G$14,"")</f>
        <v/>
      </c>
      <c r="J80" s="1609" t="str">
        <f>IF(AND(S_1!$G$8="ja",S_1!$K$8="ja"),S_1!$H$14,"")</f>
        <v/>
      </c>
      <c r="K80" s="1608" t="str">
        <f>IF(AND(S_1!$G$8="ja",S_1!$K$8="ja"),S_1!$I$14,"")</f>
        <v/>
      </c>
      <c r="L80" s="1609" t="str">
        <f>IF(AND(S_1!$G$8="ja",S_1!$K$8="ja"),S_1!$J$14,"")</f>
        <v/>
      </c>
      <c r="M80" s="1608" t="str">
        <f>IF(AND(S_1!$G$8="ja",S_1!$K$8="ja"),S_1!$K$14,"")</f>
        <v/>
      </c>
      <c r="N80" s="1609" t="str">
        <f>IF(AND(S_1!$G$8="ja",S_1!$K$8="ja"),S_1!$L$14,"")</f>
        <v/>
      </c>
      <c r="O80" s="1608" t="str">
        <f>IF(AND(S_1!$G$8="ja",S_1!$K$8="ja"),S_1!$M$14,"")</f>
        <v/>
      </c>
      <c r="P80" s="1609" t="str">
        <f>IF(AND(S_1!$G$8="ja",S_1!$K$8="ja"),S_1!$N$14,"")</f>
        <v/>
      </c>
      <c r="Q80" s="1608" t="str">
        <f>IF(AND(S_1!$G$8="ja",S_1!$K$8="ja"),S_1!$O$14,"")</f>
        <v/>
      </c>
      <c r="R80" s="1609" t="str">
        <f>IF(AND(S_1!$G$8="ja",S_1!$K$8="ja"),S_1!$P$14,"")</f>
        <v/>
      </c>
      <c r="S80" s="1617" t="str">
        <f>IF(AND(S_1!$G$8="ja",S_1!$K$8="ja"),S_1!Q89,"")</f>
        <v/>
      </c>
      <c r="T80" s="1617" t="str">
        <f>IF(AND(S_1!$G$8="ja",S_1!$K$8="ja"),S_1!R89,"")</f>
        <v/>
      </c>
      <c r="U80" s="1617" t="str">
        <f>IF(AND(S_1!$G$8="ja",S_1!$K$8="ja"),S_1!$S$14,"")</f>
        <v/>
      </c>
    </row>
    <row r="81" spans="2:21" ht="15" customHeight="1">
      <c r="B81" s="1608" t="str">
        <f>IF(AND(S_1!$G$8="ja",S_1!$K$8="ja"),S_1!$C$2,"")</f>
        <v/>
      </c>
      <c r="C81" s="1608" t="str">
        <f>IF(AND(S_1!$G$8="ja",S_1!$K$8="ja"),2,"")</f>
        <v/>
      </c>
      <c r="D81" s="1609" t="str">
        <f>IF(AND(S_1!$G$8="ja",S_1!$K$8="ja"),S_1!$B$15,"")</f>
        <v/>
      </c>
      <c r="E81" s="1618" t="str">
        <f>IF(AND(S_1!$G$8="ja",S_1!$K$8="ja"),S_1!$C$15,"")</f>
        <v/>
      </c>
      <c r="F81" s="1609" t="str">
        <f>IF(AND(S_1!$G$8="ja",S_1!$K$8="ja"),S_1!$D$15,"")</f>
        <v/>
      </c>
      <c r="G81" s="1608" t="str">
        <f>IF(AND(S_1!$G$8="ja",S_1!$K$8="ja"),S_1!$E$15,"")</f>
        <v/>
      </c>
      <c r="H81" s="1609" t="str">
        <f>IF(AND(S_1!$G$8="ja",S_1!$K$8="ja"),S_1!$F$15,"")</f>
        <v/>
      </c>
      <c r="I81" s="1608" t="str">
        <f>IF(AND(S_1!$G$8="ja",S_1!$K$8="ja"),S_1!$G$15,"")</f>
        <v/>
      </c>
      <c r="J81" s="1609" t="str">
        <f>IF(AND(S_1!$G$8="ja",S_1!$K$8="ja"),S_1!$H$15,"")</f>
        <v/>
      </c>
      <c r="K81" s="1608" t="str">
        <f>IF(AND(S_1!$G$8="ja",S_1!$K$8="ja"),S_1!$I$15,"")</f>
        <v/>
      </c>
      <c r="L81" s="1609" t="str">
        <f>IF(AND(S_1!$G$8="ja",S_1!$K$8="ja"),S_1!$J$15,"")</f>
        <v/>
      </c>
      <c r="M81" s="1608" t="str">
        <f>IF(AND(S_1!$G$8="ja",S_1!$K$8="ja"),S_1!$K$15,"")</f>
        <v/>
      </c>
      <c r="N81" s="1609" t="str">
        <f>IF(AND(S_1!$G$8="ja",S_1!$K$8="ja"),S_1!$L$15,"")</f>
        <v/>
      </c>
      <c r="O81" s="1608" t="str">
        <f>IF(AND(S_1!$G$8="ja",S_1!$K$8="ja"),S_1!$M$15,"")</f>
        <v/>
      </c>
      <c r="P81" s="1609" t="str">
        <f>IF(AND(S_1!$G$8="ja",S_1!$K$8="ja"),S_1!$N$15,"")</f>
        <v/>
      </c>
      <c r="Q81" s="1608" t="str">
        <f>IF(AND(S_1!$G$8="ja",S_1!$K$8="ja"),S_1!$O$15,"")</f>
        <v/>
      </c>
      <c r="R81" s="1609" t="str">
        <f>IF(AND(S_1!$G$8="ja",S_1!$K$8="ja"),S_1!$P$15,"")</f>
        <v/>
      </c>
      <c r="S81" s="1617" t="str">
        <f>IF(AND(S_1!$G$8="ja",S_1!$K$8="ja"),S_1!Q90,"")</f>
        <v/>
      </c>
      <c r="T81" s="1617" t="str">
        <f>IF(AND(S_1!$G$8="ja",S_1!$K$8="ja"),S_1!R90,"")</f>
        <v/>
      </c>
      <c r="U81" s="1617" t="str">
        <f>IF(AND(S_1!$G$8="ja",S_1!$K$8="ja"),S_1!$S$15,"")</f>
        <v/>
      </c>
    </row>
    <row r="82" spans="2:21" ht="15" customHeight="1">
      <c r="B82" s="1608" t="str">
        <f>IF(AND(S_1!$G$8="ja",S_1!$K$8="nein"),S_1!$C$2,"")</f>
        <v/>
      </c>
      <c r="C82" s="1608" t="str">
        <f>IF(AND(S_1!$G$8="ja",S_1!$K$8="nein"),"","")</f>
        <v/>
      </c>
      <c r="D82" s="1609" t="str">
        <f>IF(AND(S_1!$G$8="ja",S_1!$K$8="nein"),S_1!$B$13,"")</f>
        <v/>
      </c>
      <c r="E82" s="1618" t="str">
        <f>IF(AND(S_1!$G$8="ja",S_1!$K$8="nein"),S_1!$C$13,"")</f>
        <v/>
      </c>
      <c r="F82" s="1609" t="str">
        <f>IF(AND(S_1!$G$8="ja",S_1!$K$8="nein"),S_1!$D$13,"")</f>
        <v/>
      </c>
      <c r="G82" s="1608" t="str">
        <f>IF(AND(S_1!$G$8="ja",S_1!$K$8="nein"),S_1!$E$13,"")</f>
        <v/>
      </c>
      <c r="H82" s="1609" t="str">
        <f>IF(AND(S_1!$G$8="ja",S_1!$K$8="nein"),S_1!$F$13,"")</f>
        <v/>
      </c>
      <c r="I82" s="1608" t="str">
        <f>IF(AND(S_1!$G$8="ja",S_1!$K$8="nein"),S_1!$G$13,"")</f>
        <v/>
      </c>
      <c r="J82" s="1609" t="str">
        <f>IF(AND(S_1!$G$8="ja",S_1!$K$8="nein"),S_1!$H$13,"")</f>
        <v/>
      </c>
      <c r="K82" s="1608" t="str">
        <f>IF(AND(S_1!$G$8="ja",S_1!$K$8="nein"),S_1!$I$13,"")</f>
        <v/>
      </c>
      <c r="L82" s="1609" t="str">
        <f>IF(AND(S_1!$G$8="ja",S_1!$K$8="nein"),S_1!$J$13,"")</f>
        <v/>
      </c>
      <c r="M82" s="1608" t="str">
        <f>IF(AND(S_1!$G$8="ja",S_1!$K$8="nein"),S_1!$K$13,"")</f>
        <v/>
      </c>
      <c r="N82" s="1609" t="str">
        <f>IF(AND(S_1!$G$8="ja",S_1!$K$8="nein"),S_1!$L$13,"")</f>
        <v/>
      </c>
      <c r="O82" s="1608" t="str">
        <f>IF(AND(S_1!$G$8="ja",S_1!$K$8="nein"),S_1!$M$13,"")</f>
        <v/>
      </c>
      <c r="P82" s="1609" t="str">
        <f>IF(AND(S_1!$G$8="ja",S_1!$K$8="nein"),S_1!$N$13,"")</f>
        <v/>
      </c>
      <c r="Q82" s="1608" t="str">
        <f>IF(AND(S_1!$G$8="ja",S_1!$K$8="nein"),S_1!$O$13,"")</f>
        <v/>
      </c>
      <c r="R82" s="1609" t="str">
        <f>IF(AND(S_1!$G$8="ja",S_1!$K$8="nein"),S_1!$P$13,"")</f>
        <v/>
      </c>
      <c r="S82" s="1617" t="str">
        <f>IF(AND(S_1!$G$8="ja",S_1!$K$8="nein"),S_1!Q91,"")</f>
        <v/>
      </c>
      <c r="T82" s="1617" t="str">
        <f>IF(AND(S_1!$G$8="ja",S_1!$K$8="nein"),S_1!R91,"")</f>
        <v/>
      </c>
      <c r="U82" s="1617" t="str">
        <f>IF(AND(S_1!$G$8="ja",S_1!$K$8="nein"),S_1!$S$13,"")</f>
        <v/>
      </c>
    </row>
    <row r="83" spans="2:21" ht="15" customHeight="1">
      <c r="B83" s="1608" t="str">
        <f>IF(AND(S_1!$G$8="ja",S_1!$K$8="ja"),S_1!$C$2,"")</f>
        <v/>
      </c>
      <c r="C83" s="1608" t="str">
        <f>IF(AND(S_1!$G$8="ja",S_1!$K$8="ja"),1,"")</f>
        <v/>
      </c>
      <c r="D83" s="1609" t="str">
        <f>IF(AND(S_1!$G$8="ja",S_1!$K$8="ja"),S_1!$B$14,"")</f>
        <v/>
      </c>
      <c r="E83" s="1618" t="str">
        <f>IF(AND(S_1!$G$8="ja",S_1!$K$8="ja"),S_1!$C$14,"")</f>
        <v/>
      </c>
      <c r="F83" s="1609" t="str">
        <f>IF(AND(S_1!$G$8="ja",S_1!$K$8="ja"),S_1!$D$14,"")</f>
        <v/>
      </c>
      <c r="G83" s="1608" t="str">
        <f>IF(AND(S_1!$G$8="ja",S_1!$K$8="ja"),S_1!$E$14,"")</f>
        <v/>
      </c>
      <c r="H83" s="1609" t="str">
        <f>IF(AND(S_1!$G$8="ja",S_1!$K$8="ja"),S_1!$F$14,"")</f>
        <v/>
      </c>
      <c r="I83" s="1608" t="str">
        <f>IF(AND(S_1!$G$8="ja",S_1!$K$8="ja"),S_1!$G$14,"")</f>
        <v/>
      </c>
      <c r="J83" s="1609" t="str">
        <f>IF(AND(S_1!$G$8="ja",S_1!$K$8="ja"),S_1!$H$14,"")</f>
        <v/>
      </c>
      <c r="K83" s="1608" t="str">
        <f>IF(AND(S_1!$G$8="ja",S_1!$K$8="ja"),S_1!$I$14,"")</f>
        <v/>
      </c>
      <c r="L83" s="1609" t="str">
        <f>IF(AND(S_1!$G$8="ja",S_1!$K$8="ja"),S_1!$J$14,"")</f>
        <v/>
      </c>
      <c r="M83" s="1608" t="str">
        <f>IF(AND(S_1!$G$8="ja",S_1!$K$8="ja"),S_1!$K$14,"")</f>
        <v/>
      </c>
      <c r="N83" s="1609" t="str">
        <f>IF(AND(S_1!$G$8="ja",S_1!$K$8="ja"),S_1!$L$14,"")</f>
        <v/>
      </c>
      <c r="O83" s="1608" t="str">
        <f>IF(AND(S_1!$G$8="ja",S_1!$K$8="ja"),S_1!$M$14,"")</f>
        <v/>
      </c>
      <c r="P83" s="1609" t="str">
        <f>IF(AND(S_1!$G$8="ja",S_1!$K$8="ja"),S_1!$N$14,"")</f>
        <v/>
      </c>
      <c r="Q83" s="1608" t="str">
        <f>IF(AND(S_1!$G$8="ja",S_1!$K$8="ja"),S_1!$O$14,"")</f>
        <v/>
      </c>
      <c r="R83" s="1609" t="str">
        <f>IF(AND(S_1!$G$8="ja",S_1!$K$8="ja"),S_1!$P$14,"")</f>
        <v/>
      </c>
      <c r="S83" s="1617" t="str">
        <f>IF(AND(S_1!$G$8="ja",S_1!$K$8="ja"),S_1!Q92,"")</f>
        <v/>
      </c>
      <c r="T83" s="1617" t="str">
        <f>IF(AND(S_1!$G$8="ja",S_1!$K$8="ja"),S_1!R92,"")</f>
        <v/>
      </c>
      <c r="U83" s="1617" t="str">
        <f>IF(AND(S_1!$G$8="ja",S_1!$K$8="ja"),S_1!$S$14,"")</f>
        <v/>
      </c>
    </row>
    <row r="84" spans="2:21" ht="15" customHeight="1">
      <c r="B84" s="1608" t="str">
        <f>IF(AND(S_1!$G$8="ja",S_1!$K$8="ja"),S_1!$C$2,"")</f>
        <v/>
      </c>
      <c r="C84" s="1608" t="str">
        <f>IF(AND(S_1!$G$8="ja",S_1!$K$8="ja"),2,"")</f>
        <v/>
      </c>
      <c r="D84" s="1609" t="str">
        <f>IF(AND(S_1!$G$8="ja",S_1!$K$8="ja"),S_1!$B$15,"")</f>
        <v/>
      </c>
      <c r="E84" s="1618" t="str">
        <f>IF(AND(S_1!$G$8="ja",S_1!$K$8="ja"),S_1!$C$15,"")</f>
        <v/>
      </c>
      <c r="F84" s="1609" t="str">
        <f>IF(AND(S_1!$G$8="ja",S_1!$K$8="ja"),S_1!$D$15,"")</f>
        <v/>
      </c>
      <c r="G84" s="1608" t="str">
        <f>IF(AND(S_1!$G$8="ja",S_1!$K$8="ja"),S_1!$E$15,"")</f>
        <v/>
      </c>
      <c r="H84" s="1609" t="str">
        <f>IF(AND(S_1!$G$8="ja",S_1!$K$8="ja"),S_1!$F$15,"")</f>
        <v/>
      </c>
      <c r="I84" s="1608" t="str">
        <f>IF(AND(S_1!$G$8="ja",S_1!$K$8="ja"),S_1!$G$15,"")</f>
        <v/>
      </c>
      <c r="J84" s="1609" t="str">
        <f>IF(AND(S_1!$G$8="ja",S_1!$K$8="ja"),S_1!$H$15,"")</f>
        <v/>
      </c>
      <c r="K84" s="1608" t="str">
        <f>IF(AND(S_1!$G$8="ja",S_1!$K$8="ja"),S_1!$I$15,"")</f>
        <v/>
      </c>
      <c r="L84" s="1609" t="str">
        <f>IF(AND(S_1!$G$8="ja",S_1!$K$8="ja"),S_1!$J$15,"")</f>
        <v/>
      </c>
      <c r="M84" s="1608" t="str">
        <f>IF(AND(S_1!$G$8="ja",S_1!$K$8="ja"),S_1!$K$15,"")</f>
        <v/>
      </c>
      <c r="N84" s="1609" t="str">
        <f>IF(AND(S_1!$G$8="ja",S_1!$K$8="ja"),S_1!$L$15,"")</f>
        <v/>
      </c>
      <c r="O84" s="1608" t="str">
        <f>IF(AND(S_1!$G$8="ja",S_1!$K$8="ja"),S_1!$M$15,"")</f>
        <v/>
      </c>
      <c r="P84" s="1609" t="str">
        <f>IF(AND(S_1!$G$8="ja",S_1!$K$8="ja"),S_1!$N$15,"")</f>
        <v/>
      </c>
      <c r="Q84" s="1608" t="str">
        <f>IF(AND(S_1!$G$8="ja",S_1!$K$8="ja"),S_1!$O$15,"")</f>
        <v/>
      </c>
      <c r="R84" s="1609" t="str">
        <f>IF(AND(S_1!$G$8="ja",S_1!$K$8="ja"),S_1!$P$15,"")</f>
        <v/>
      </c>
      <c r="S84" s="1617" t="str">
        <f>IF(AND(S_1!$G$8="ja",S_1!$K$8="ja"),S_1!Q93,"")</f>
        <v/>
      </c>
      <c r="T84" s="1617" t="str">
        <f>IF(AND(S_1!$G$8="ja",S_1!$K$8="ja"),S_1!R93,"")</f>
        <v/>
      </c>
      <c r="U84" s="1617" t="str">
        <f>IF(AND(S_1!$G$8="ja",S_1!$K$8="ja"),S_1!$S$15,"")</f>
        <v/>
      </c>
    </row>
    <row r="85" spans="2:21" ht="15" customHeight="1">
      <c r="B85" s="1608" t="str">
        <f>IF(AND(S_1!$G$8="ja",S_1!$K$8="nein"),S_1!$C$2,"")</f>
        <v/>
      </c>
      <c r="C85" s="1608" t="str">
        <f>IF(AND(S_1!$G$8="ja",S_1!$K$8="nein"),"","")</f>
        <v/>
      </c>
      <c r="D85" s="1609" t="str">
        <f>IF(AND(S_1!$G$8="ja",S_1!$K$8="nein"),S_1!$B$13,"")</f>
        <v/>
      </c>
      <c r="E85" s="1618" t="str">
        <f>IF(AND(S_1!$G$8="ja",S_1!$K$8="nein"),S_1!$C$13,"")</f>
        <v/>
      </c>
      <c r="F85" s="1609" t="str">
        <f>IF(AND(S_1!$G$8="ja",S_1!$K$8="nein"),S_1!$D$13,"")</f>
        <v/>
      </c>
      <c r="G85" s="1608" t="str">
        <f>IF(AND(S_1!$G$8="ja",S_1!$K$8="nein"),S_1!$E$13,"")</f>
        <v/>
      </c>
      <c r="H85" s="1609" t="str">
        <f>IF(AND(S_1!$G$8="ja",S_1!$K$8="nein"),S_1!$F$13,"")</f>
        <v/>
      </c>
      <c r="I85" s="1608" t="str">
        <f>IF(AND(S_1!$G$8="ja",S_1!$K$8="nein"),S_1!$G$13,"")</f>
        <v/>
      </c>
      <c r="J85" s="1609" t="str">
        <f>IF(AND(S_1!$G$8="ja",S_1!$K$8="nein"),S_1!$H$13,"")</f>
        <v/>
      </c>
      <c r="K85" s="1608" t="str">
        <f>IF(AND(S_1!$G$8="ja",S_1!$K$8="nein"),S_1!$I$13,"")</f>
        <v/>
      </c>
      <c r="L85" s="1609" t="str">
        <f>IF(AND(S_1!$G$8="ja",S_1!$K$8="nein"),S_1!$J$13,"")</f>
        <v/>
      </c>
      <c r="M85" s="1608" t="str">
        <f>IF(AND(S_1!$G$8="ja",S_1!$K$8="nein"),S_1!$K$13,"")</f>
        <v/>
      </c>
      <c r="N85" s="1609" t="str">
        <f>IF(AND(S_1!$G$8="ja",S_1!$K$8="nein"),S_1!$L$13,"")</f>
        <v/>
      </c>
      <c r="O85" s="1608" t="str">
        <f>IF(AND(S_1!$G$8="ja",S_1!$K$8="nein"),S_1!$M$13,"")</f>
        <v/>
      </c>
      <c r="P85" s="1609" t="str">
        <f>IF(AND(S_1!$G$8="ja",S_1!$K$8="nein"),S_1!$N$13,"")</f>
        <v/>
      </c>
      <c r="Q85" s="1608" t="str">
        <f>IF(AND(S_1!$G$8="ja",S_1!$K$8="nein"),S_1!$O$13,"")</f>
        <v/>
      </c>
      <c r="R85" s="1609" t="str">
        <f>IF(AND(S_1!$G$8="ja",S_1!$K$8="nein"),S_1!$P$13,"")</f>
        <v/>
      </c>
      <c r="S85" s="1617" t="str">
        <f>IF(AND(S_1!$G$8="ja",S_1!$K$8="nein"),S_1!Q94,"")</f>
        <v/>
      </c>
      <c r="T85" s="1617" t="str">
        <f>IF(AND(S_1!$G$8="ja",S_1!$K$8="nein"),S_1!R94,"")</f>
        <v/>
      </c>
      <c r="U85" s="1617" t="str">
        <f>IF(AND(S_1!$G$8="ja",S_1!$K$8="nein"),S_1!$S$13,"")</f>
        <v/>
      </c>
    </row>
    <row r="86" spans="2:21" ht="15" customHeight="1">
      <c r="B86" s="1608" t="str">
        <f>IF(AND(S_1!$G$8="ja",S_1!$K$8="ja"),S_1!$C$2,"")</f>
        <v/>
      </c>
      <c r="C86" s="1608" t="str">
        <f>IF(AND(S_1!$G$8="ja",S_1!$K$8="ja"),1,"")</f>
        <v/>
      </c>
      <c r="D86" s="1609" t="str">
        <f>IF(AND(S_1!$G$8="ja",S_1!$K$8="ja"),S_1!$B$14,"")</f>
        <v/>
      </c>
      <c r="E86" s="1618" t="str">
        <f>IF(AND(S_1!$G$8="ja",S_1!$K$8="ja"),S_1!$C$14,"")</f>
        <v/>
      </c>
      <c r="F86" s="1609" t="str">
        <f>IF(AND(S_1!$G$8="ja",S_1!$K$8="ja"),S_1!$D$14,"")</f>
        <v/>
      </c>
      <c r="G86" s="1608" t="str">
        <f>IF(AND(S_1!$G$8="ja",S_1!$K$8="ja"),S_1!$E$14,"")</f>
        <v/>
      </c>
      <c r="H86" s="1609" t="str">
        <f>IF(AND(S_1!$G$8="ja",S_1!$K$8="ja"),S_1!$F$14,"")</f>
        <v/>
      </c>
      <c r="I86" s="1608" t="str">
        <f>IF(AND(S_1!$G$8="ja",S_1!$K$8="ja"),S_1!$G$14,"")</f>
        <v/>
      </c>
      <c r="J86" s="1609" t="str">
        <f>IF(AND(S_1!$G$8="ja",S_1!$K$8="ja"),S_1!$H$14,"")</f>
        <v/>
      </c>
      <c r="K86" s="1608" t="str">
        <f>IF(AND(S_1!$G$8="ja",S_1!$K$8="ja"),S_1!$I$14,"")</f>
        <v/>
      </c>
      <c r="L86" s="1609" t="str">
        <f>IF(AND(S_1!$G$8="ja",S_1!$K$8="ja"),S_1!$J$14,"")</f>
        <v/>
      </c>
      <c r="M86" s="1608" t="str">
        <f>IF(AND(S_1!$G$8="ja",S_1!$K$8="ja"),S_1!$K$14,"")</f>
        <v/>
      </c>
      <c r="N86" s="1609" t="str">
        <f>IF(AND(S_1!$G$8="ja",S_1!$K$8="ja"),S_1!$L$14,"")</f>
        <v/>
      </c>
      <c r="O86" s="1608" t="str">
        <f>IF(AND(S_1!$G$8="ja",S_1!$K$8="ja"),S_1!$M$14,"")</f>
        <v/>
      </c>
      <c r="P86" s="1609" t="str">
        <f>IF(AND(S_1!$G$8="ja",S_1!$K$8="ja"),S_1!$N$14,"")</f>
        <v/>
      </c>
      <c r="Q86" s="1608" t="str">
        <f>IF(AND(S_1!$G$8="ja",S_1!$K$8="ja"),S_1!$O$14,"")</f>
        <v/>
      </c>
      <c r="R86" s="1609" t="str">
        <f>IF(AND(S_1!$G$8="ja",S_1!$K$8="ja"),S_1!$P$14,"")</f>
        <v/>
      </c>
      <c r="S86" s="1617" t="str">
        <f>IF(AND(S_1!$G$8="ja",S_1!$K$8="ja"),S_1!Q95,"")</f>
        <v/>
      </c>
      <c r="T86" s="1617" t="str">
        <f>IF(AND(S_1!$G$8="ja",S_1!$K$8="ja"),S_1!R95,"")</f>
        <v/>
      </c>
      <c r="U86" s="1617" t="str">
        <f>IF(AND(S_1!$G$8="ja",S_1!$K$8="ja"),S_1!$S$14,"")</f>
        <v/>
      </c>
    </row>
    <row r="87" spans="2:21" ht="15" customHeight="1">
      <c r="B87" s="1608" t="str">
        <f>IF(AND(S_1!$G$8="ja",S_1!$K$8="ja"),S_1!$C$2,"")</f>
        <v/>
      </c>
      <c r="C87" s="1608" t="str">
        <f>IF(AND(S_1!$G$8="ja",S_1!$K$8="ja"),2,"")</f>
        <v/>
      </c>
      <c r="D87" s="1609" t="str">
        <f>IF(AND(S_1!$G$8="ja",S_1!$K$8="ja"),S_1!$B$15,"")</f>
        <v/>
      </c>
      <c r="E87" s="1618" t="str">
        <f>IF(AND(S_1!$G$8="ja",S_1!$K$8="ja"),S_1!$C$15,"")</f>
        <v/>
      </c>
      <c r="F87" s="1609" t="str">
        <f>IF(AND(S_1!$G$8="ja",S_1!$K$8="ja"),S_1!$D$15,"")</f>
        <v/>
      </c>
      <c r="G87" s="1608" t="str">
        <f>IF(AND(S_1!$G$8="ja",S_1!$K$8="ja"),S_1!$E$15,"")</f>
        <v/>
      </c>
      <c r="H87" s="1609" t="str">
        <f>IF(AND(S_1!$G$8="ja",S_1!$K$8="ja"),S_1!$F$15,"")</f>
        <v/>
      </c>
      <c r="I87" s="1608" t="str">
        <f>IF(AND(S_1!$G$8="ja",S_1!$K$8="ja"),S_1!$G$15,"")</f>
        <v/>
      </c>
      <c r="J87" s="1609" t="str">
        <f>IF(AND(S_1!$G$8="ja",S_1!$K$8="ja"),S_1!$H$15,"")</f>
        <v/>
      </c>
      <c r="K87" s="1608" t="str">
        <f>IF(AND(S_1!$G$8="ja",S_1!$K$8="ja"),S_1!$I$15,"")</f>
        <v/>
      </c>
      <c r="L87" s="1609" t="str">
        <f>IF(AND(S_1!$G$8="ja",S_1!$K$8="ja"),S_1!$J$15,"")</f>
        <v/>
      </c>
      <c r="M87" s="1608" t="str">
        <f>IF(AND(S_1!$G$8="ja",S_1!$K$8="ja"),S_1!$K$15,"")</f>
        <v/>
      </c>
      <c r="N87" s="1609" t="str">
        <f>IF(AND(S_1!$G$8="ja",S_1!$K$8="ja"),S_1!$L$15,"")</f>
        <v/>
      </c>
      <c r="O87" s="1608" t="str">
        <f>IF(AND(S_1!$G$8="ja",S_1!$K$8="ja"),S_1!$M$15,"")</f>
        <v/>
      </c>
      <c r="P87" s="1609" t="str">
        <f>IF(AND(S_1!$G$8="ja",S_1!$K$8="ja"),S_1!$N$15,"")</f>
        <v/>
      </c>
      <c r="Q87" s="1608" t="str">
        <f>IF(AND(S_1!$G$8="ja",S_1!$K$8="ja"),S_1!$O$15,"")</f>
        <v/>
      </c>
      <c r="R87" s="1609" t="str">
        <f>IF(AND(S_1!$G$8="ja",S_1!$K$8="ja"),S_1!$P$15,"")</f>
        <v/>
      </c>
      <c r="S87" s="1617" t="str">
        <f>IF(AND(S_1!$G$8="ja",S_1!$K$8="ja"),S_1!Q96,"")</f>
        <v/>
      </c>
      <c r="T87" s="1617" t="str">
        <f>IF(AND(S_1!$G$8="ja",S_1!$K$8="ja"),S_1!R96,"")</f>
        <v/>
      </c>
      <c r="U87" s="1617" t="str">
        <f>IF(AND(S_1!$G$8="ja",S_1!$K$8="ja"),S_1!$S$15,"")</f>
        <v/>
      </c>
    </row>
    <row r="88" spans="2:21" ht="15" customHeight="1">
      <c r="B88" s="1608" t="str">
        <f>IF(AND(S_1!$G$8="ja",S_1!$K$8="nein"),S_1!$C$2,"")</f>
        <v/>
      </c>
      <c r="C88" s="1608" t="str">
        <f>IF(AND(S_1!$G$8="ja",S_1!$K$8="nein"),"","")</f>
        <v/>
      </c>
      <c r="D88" s="1609" t="str">
        <f>IF(AND(S_1!$G$8="ja",S_1!$K$8="nein"),S_1!$B$13,"")</f>
        <v/>
      </c>
      <c r="E88" s="1618" t="str">
        <f>IF(AND(S_1!$G$8="ja",S_1!$K$8="nein"),S_1!$C$13,"")</f>
        <v/>
      </c>
      <c r="F88" s="1609" t="str">
        <f>IF(AND(S_1!$G$8="ja",S_1!$K$8="nein"),S_1!$D$13,"")</f>
        <v/>
      </c>
      <c r="G88" s="1608" t="str">
        <f>IF(AND(S_1!$G$8="ja",S_1!$K$8="nein"),S_1!$E$13,"")</f>
        <v/>
      </c>
      <c r="H88" s="1609" t="str">
        <f>IF(AND(S_1!$G$8="ja",S_1!$K$8="nein"),S_1!$F$13,"")</f>
        <v/>
      </c>
      <c r="I88" s="1608" t="str">
        <f>IF(AND(S_1!$G$8="ja",S_1!$K$8="nein"),S_1!$G$13,"")</f>
        <v/>
      </c>
      <c r="J88" s="1609" t="str">
        <f>IF(AND(S_1!$G$8="ja",S_1!$K$8="nein"),S_1!$H$13,"")</f>
        <v/>
      </c>
      <c r="K88" s="1608" t="str">
        <f>IF(AND(S_1!$G$8="ja",S_1!$K$8="nein"),S_1!$I$13,"")</f>
        <v/>
      </c>
      <c r="L88" s="1609" t="str">
        <f>IF(AND(S_1!$G$8="ja",S_1!$K$8="nein"),S_1!$J$13,"")</f>
        <v/>
      </c>
      <c r="M88" s="1608" t="str">
        <f>IF(AND(S_1!$G$8="ja",S_1!$K$8="nein"),S_1!$K$13,"")</f>
        <v/>
      </c>
      <c r="N88" s="1609" t="str">
        <f>IF(AND(S_1!$G$8="ja",S_1!$K$8="nein"),S_1!$L$13,"")</f>
        <v/>
      </c>
      <c r="O88" s="1608" t="str">
        <f>IF(AND(S_1!$G$8="ja",S_1!$K$8="nein"),S_1!$M$13,"")</f>
        <v/>
      </c>
      <c r="P88" s="1609" t="str">
        <f>IF(AND(S_1!$G$8="ja",S_1!$K$8="nein"),S_1!$N$13,"")</f>
        <v/>
      </c>
      <c r="Q88" s="1608" t="str">
        <f>IF(AND(S_1!$G$8="ja",S_1!$K$8="nein"),S_1!$O$13,"")</f>
        <v/>
      </c>
      <c r="R88" s="1609" t="str">
        <f>IF(AND(S_1!$G$8="ja",S_1!$K$8="nein"),S_1!$P$13,"")</f>
        <v/>
      </c>
      <c r="S88" s="1617" t="str">
        <f>IF(AND(S_1!$G$8="ja",S_1!$K$8="nein"),S_1!Q97,"")</f>
        <v/>
      </c>
      <c r="T88" s="1617" t="str">
        <f>IF(AND(S_1!$G$8="ja",S_1!$K$8="nein"),S_1!R97,"")</f>
        <v/>
      </c>
      <c r="U88" s="1617" t="str">
        <f>IF(AND(S_1!$G$8="ja",S_1!$K$8="nein"),S_1!$S$13,"")</f>
        <v/>
      </c>
    </row>
    <row r="89" spans="2:21" ht="15" customHeight="1">
      <c r="B89" s="1608" t="str">
        <f>IF(AND(S_1!$G$8="ja",S_1!$K$8="ja"),S_1!$C$2,"")</f>
        <v/>
      </c>
      <c r="C89" s="1608" t="str">
        <f>IF(AND(S_1!$G$8="ja",S_1!$K$8="ja"),1,"")</f>
        <v/>
      </c>
      <c r="D89" s="1609" t="str">
        <f>IF(AND(S_1!$G$8="ja",S_1!$K$8="ja"),S_1!$B$14,"")</f>
        <v/>
      </c>
      <c r="E89" s="1618" t="str">
        <f>IF(AND(S_1!$G$8="ja",S_1!$K$8="ja"),S_1!$C$14,"")</f>
        <v/>
      </c>
      <c r="F89" s="1609" t="str">
        <f>IF(AND(S_1!$G$8="ja",S_1!$K$8="ja"),S_1!$D$14,"")</f>
        <v/>
      </c>
      <c r="G89" s="1608" t="str">
        <f>IF(AND(S_1!$G$8="ja",S_1!$K$8="ja"),S_1!$E$14,"")</f>
        <v/>
      </c>
      <c r="H89" s="1609" t="str">
        <f>IF(AND(S_1!$G$8="ja",S_1!$K$8="ja"),S_1!$F$14,"")</f>
        <v/>
      </c>
      <c r="I89" s="1608" t="str">
        <f>IF(AND(S_1!$G$8="ja",S_1!$K$8="ja"),S_1!$G$14,"")</f>
        <v/>
      </c>
      <c r="J89" s="1609" t="str">
        <f>IF(AND(S_1!$G$8="ja",S_1!$K$8="ja"),S_1!$H$14,"")</f>
        <v/>
      </c>
      <c r="K89" s="1608" t="str">
        <f>IF(AND(S_1!$G$8="ja",S_1!$K$8="ja"),S_1!$I$14,"")</f>
        <v/>
      </c>
      <c r="L89" s="1609" t="str">
        <f>IF(AND(S_1!$G$8="ja",S_1!$K$8="ja"),S_1!$J$14,"")</f>
        <v/>
      </c>
      <c r="M89" s="1608" t="str">
        <f>IF(AND(S_1!$G$8="ja",S_1!$K$8="ja"),S_1!$K$14,"")</f>
        <v/>
      </c>
      <c r="N89" s="1609" t="str">
        <f>IF(AND(S_1!$G$8="ja",S_1!$K$8="ja"),S_1!$L$14,"")</f>
        <v/>
      </c>
      <c r="O89" s="1608" t="str">
        <f>IF(AND(S_1!$G$8="ja",S_1!$K$8="ja"),S_1!$M$14,"")</f>
        <v/>
      </c>
      <c r="P89" s="1609" t="str">
        <f>IF(AND(S_1!$G$8="ja",S_1!$K$8="ja"),S_1!$N$14,"")</f>
        <v/>
      </c>
      <c r="Q89" s="1608" t="str">
        <f>IF(AND(S_1!$G$8="ja",S_1!$K$8="ja"),S_1!$O$14,"")</f>
        <v/>
      </c>
      <c r="R89" s="1609" t="str">
        <f>IF(AND(S_1!$G$8="ja",S_1!$K$8="ja"),S_1!$P$14,"")</f>
        <v/>
      </c>
      <c r="S89" s="1617" t="str">
        <f>IF(AND(S_1!$G$8="ja",S_1!$K$8="ja"),S_1!Q98,"")</f>
        <v/>
      </c>
      <c r="T89" s="1617" t="str">
        <f>IF(AND(S_1!$G$8="ja",S_1!$K$8="ja"),S_1!R98,"")</f>
        <v/>
      </c>
      <c r="U89" s="1617" t="str">
        <f>IF(AND(S_1!$G$8="ja",S_1!$K$8="ja"),S_1!$S$14,"")</f>
        <v/>
      </c>
    </row>
    <row r="90" spans="2:21" ht="15" customHeight="1">
      <c r="B90" s="1608" t="str">
        <f>IF(AND(S_1!$G$8="ja",S_1!$K$8="ja"),S_1!$C$2,"")</f>
        <v/>
      </c>
      <c r="C90" s="1608" t="str">
        <f>IF(AND(S_1!$G$8="ja",S_1!$K$8="ja"),2,"")</f>
        <v/>
      </c>
      <c r="D90" s="1609" t="str">
        <f>IF(AND(S_1!$G$8="ja",S_1!$K$8="ja"),S_1!$B$15,"")</f>
        <v/>
      </c>
      <c r="E90" s="1618" t="str">
        <f>IF(AND(S_1!$G$8="ja",S_1!$K$8="ja"),S_1!$C$15,"")</f>
        <v/>
      </c>
      <c r="F90" s="1609" t="str">
        <f>IF(AND(S_1!$G$8="ja",S_1!$K$8="ja"),S_1!$D$15,"")</f>
        <v/>
      </c>
      <c r="G90" s="1608" t="str">
        <f>IF(AND(S_1!$G$8="ja",S_1!$K$8="ja"),S_1!$E$15,"")</f>
        <v/>
      </c>
      <c r="H90" s="1609" t="str">
        <f>IF(AND(S_1!$G$8="ja",S_1!$K$8="ja"),S_1!$F$15,"")</f>
        <v/>
      </c>
      <c r="I90" s="1608" t="str">
        <f>IF(AND(S_1!$G$8="ja",S_1!$K$8="ja"),S_1!$G$15,"")</f>
        <v/>
      </c>
      <c r="J90" s="1609" t="str">
        <f>IF(AND(S_1!$G$8="ja",S_1!$K$8="ja"),S_1!$H$15,"")</f>
        <v/>
      </c>
      <c r="K90" s="1608" t="str">
        <f>IF(AND(S_1!$G$8="ja",S_1!$K$8="ja"),S_1!$I$15,"")</f>
        <v/>
      </c>
      <c r="L90" s="1609" t="str">
        <f>IF(AND(S_1!$G$8="ja",S_1!$K$8="ja"),S_1!$J$15,"")</f>
        <v/>
      </c>
      <c r="M90" s="1608" t="str">
        <f>IF(AND(S_1!$G$8="ja",S_1!$K$8="ja"),S_1!$K$15,"")</f>
        <v/>
      </c>
      <c r="N90" s="1609" t="str">
        <f>IF(AND(S_1!$G$8="ja",S_1!$K$8="ja"),S_1!$L$15,"")</f>
        <v/>
      </c>
      <c r="O90" s="1608" t="str">
        <f>IF(AND(S_1!$G$8="ja",S_1!$K$8="ja"),S_1!$M$15,"")</f>
        <v/>
      </c>
      <c r="P90" s="1609" t="str">
        <f>IF(AND(S_1!$G$8="ja",S_1!$K$8="ja"),S_1!$N$15,"")</f>
        <v/>
      </c>
      <c r="Q90" s="1608" t="str">
        <f>IF(AND(S_1!$G$8="ja",S_1!$K$8="ja"),S_1!$O$15,"")</f>
        <v/>
      </c>
      <c r="R90" s="1609" t="str">
        <f>IF(AND(S_1!$G$8="ja",S_1!$K$8="ja"),S_1!$P$15,"")</f>
        <v/>
      </c>
      <c r="S90" s="1617" t="str">
        <f>IF(AND(S_1!$G$8="ja",S_1!$K$8="ja"),S_1!Q99,"")</f>
        <v/>
      </c>
      <c r="T90" s="1617" t="str">
        <f>IF(AND(S_1!$G$8="ja",S_1!$K$8="ja"),S_1!R99,"")</f>
        <v/>
      </c>
      <c r="U90" s="1617" t="str">
        <f>IF(AND(S_1!$G$8="ja",S_1!$K$8="ja"),S_1!$S$15,"")</f>
        <v/>
      </c>
    </row>
    <row r="91" spans="2:21" ht="15" customHeight="1">
      <c r="B91" s="1608" t="str">
        <f>IF(AND(S_1!$G$8="ja",S_1!$K$8="nein"),S_1!$C$2,"")</f>
        <v/>
      </c>
      <c r="C91" s="1608" t="str">
        <f>IF(AND(S_1!$G$8="ja",S_1!$K$8="nein"),"","")</f>
        <v/>
      </c>
      <c r="D91" s="1609" t="str">
        <f>IF(AND(S_1!$G$8="ja",S_1!$K$8="nein"),S_1!$B$13,"")</f>
        <v/>
      </c>
      <c r="E91" s="1618" t="str">
        <f>IF(AND(S_1!$G$8="ja",S_1!$K$8="nein"),S_1!$C$13,"")</f>
        <v/>
      </c>
      <c r="F91" s="1609" t="str">
        <f>IF(AND(S_1!$G$8="ja",S_1!$K$8="nein"),S_1!$D$13,"")</f>
        <v/>
      </c>
      <c r="G91" s="1608" t="str">
        <f>IF(AND(S_1!$G$8="ja",S_1!$K$8="nein"),S_1!$E$13,"")</f>
        <v/>
      </c>
      <c r="H91" s="1609" t="str">
        <f>IF(AND(S_1!$G$8="ja",S_1!$K$8="nein"),S_1!$F$13,"")</f>
        <v/>
      </c>
      <c r="I91" s="1608" t="str">
        <f>IF(AND(S_1!$G$8="ja",S_1!$K$8="nein"),S_1!$G$13,"")</f>
        <v/>
      </c>
      <c r="J91" s="1609" t="str">
        <f>IF(AND(S_1!$G$8="ja",S_1!$K$8="nein"),S_1!$H$13,"")</f>
        <v/>
      </c>
      <c r="K91" s="1608" t="str">
        <f>IF(AND(S_1!$G$8="ja",S_1!$K$8="nein"),S_1!$I$13,"")</f>
        <v/>
      </c>
      <c r="L91" s="1609" t="str">
        <f>IF(AND(S_1!$G$8="ja",S_1!$K$8="nein"),S_1!$J$13,"")</f>
        <v/>
      </c>
      <c r="M91" s="1608" t="str">
        <f>IF(AND(S_1!$G$8="ja",S_1!$K$8="nein"),S_1!$K$13,"")</f>
        <v/>
      </c>
      <c r="N91" s="1609" t="str">
        <f>IF(AND(S_1!$G$8="ja",S_1!$K$8="nein"),S_1!$L$13,"")</f>
        <v/>
      </c>
      <c r="O91" s="1608" t="str">
        <f>IF(AND(S_1!$G$8="ja",S_1!$K$8="nein"),S_1!$M$13,"")</f>
        <v/>
      </c>
      <c r="P91" s="1609" t="str">
        <f>IF(AND(S_1!$G$8="ja",S_1!$K$8="nein"),S_1!$N$13,"")</f>
        <v/>
      </c>
      <c r="Q91" s="1608" t="str">
        <f>IF(AND(S_1!$G$8="ja",S_1!$K$8="nein"),S_1!$O$13,"")</f>
        <v/>
      </c>
      <c r="R91" s="1609" t="str">
        <f>IF(AND(S_1!$G$8="ja",S_1!$K$8="nein"),S_1!$P$13,"")</f>
        <v/>
      </c>
      <c r="S91" s="1617" t="str">
        <f>IF(AND(S_1!$G$8="ja",S_1!$K$8="nein"),S_1!Q100,"")</f>
        <v/>
      </c>
      <c r="T91" s="1617" t="str">
        <f>IF(AND(S_1!$G$8="ja",S_1!$K$8="nein"),S_1!R100,"")</f>
        <v/>
      </c>
      <c r="U91" s="1617" t="str">
        <f>IF(AND(S_1!$G$8="ja",S_1!$K$8="nein"),S_1!$S$13,"")</f>
        <v/>
      </c>
    </row>
    <row r="92" spans="2:21" ht="15" customHeight="1">
      <c r="B92" s="1608" t="str">
        <f>IF(AND(S_1!$G$8="ja",S_1!$K$8="ja"),S_1!$C$2,"")</f>
        <v/>
      </c>
      <c r="C92" s="1608" t="str">
        <f>IF(AND(S_1!$G$8="ja",S_1!$K$8="ja"),1,"")</f>
        <v/>
      </c>
      <c r="D92" s="1609" t="str">
        <f>IF(AND(S_1!$G$8="ja",S_1!$K$8="ja"),S_1!$B$14,"")</f>
        <v/>
      </c>
      <c r="E92" s="1618" t="str">
        <f>IF(AND(S_1!$G$8="ja",S_1!$K$8="ja"),S_1!$C$14,"")</f>
        <v/>
      </c>
      <c r="F92" s="1609" t="str">
        <f>IF(AND(S_1!$G$8="ja",S_1!$K$8="ja"),S_1!$D$14,"")</f>
        <v/>
      </c>
      <c r="G92" s="1608" t="str">
        <f>IF(AND(S_1!$G$8="ja",S_1!$K$8="ja"),S_1!$E$14,"")</f>
        <v/>
      </c>
      <c r="H92" s="1609" t="str">
        <f>IF(AND(S_1!$G$8="ja",S_1!$K$8="ja"),S_1!$F$14,"")</f>
        <v/>
      </c>
      <c r="I92" s="1608" t="str">
        <f>IF(AND(S_1!$G$8="ja",S_1!$K$8="ja"),S_1!$G$14,"")</f>
        <v/>
      </c>
      <c r="J92" s="1609" t="str">
        <f>IF(AND(S_1!$G$8="ja",S_1!$K$8="ja"),S_1!$H$14,"")</f>
        <v/>
      </c>
      <c r="K92" s="1608" t="str">
        <f>IF(AND(S_1!$G$8="ja",S_1!$K$8="ja"),S_1!$I$14,"")</f>
        <v/>
      </c>
      <c r="L92" s="1609" t="str">
        <f>IF(AND(S_1!$G$8="ja",S_1!$K$8="ja"),S_1!$J$14,"")</f>
        <v/>
      </c>
      <c r="M92" s="1608" t="str">
        <f>IF(AND(S_1!$G$8="ja",S_1!$K$8="ja"),S_1!$K$14,"")</f>
        <v/>
      </c>
      <c r="N92" s="1609" t="str">
        <f>IF(AND(S_1!$G$8="ja",S_1!$K$8="ja"),S_1!$L$14,"")</f>
        <v/>
      </c>
      <c r="O92" s="1608" t="str">
        <f>IF(AND(S_1!$G$8="ja",S_1!$K$8="ja"),S_1!$M$14,"")</f>
        <v/>
      </c>
      <c r="P92" s="1609" t="str">
        <f>IF(AND(S_1!$G$8="ja",S_1!$K$8="ja"),S_1!$N$14,"")</f>
        <v/>
      </c>
      <c r="Q92" s="1608" t="str">
        <f>IF(AND(S_1!$G$8="ja",S_1!$K$8="ja"),S_1!$O$14,"")</f>
        <v/>
      </c>
      <c r="R92" s="1609" t="str">
        <f>IF(AND(S_1!$G$8="ja",S_1!$K$8="ja"),S_1!$P$14,"")</f>
        <v/>
      </c>
      <c r="S92" s="1617" t="str">
        <f>IF(AND(S_1!$G$8="ja",S_1!$K$8="ja"),S_1!Q101,"")</f>
        <v/>
      </c>
      <c r="T92" s="1617" t="str">
        <f>IF(AND(S_1!$G$8="ja",S_1!$K$8="ja"),S_1!R101,"")</f>
        <v/>
      </c>
      <c r="U92" s="1617" t="str">
        <f>IF(AND(S_1!$G$8="ja",S_1!$K$8="ja"),S_1!$S$14,"")</f>
        <v/>
      </c>
    </row>
    <row r="93" spans="2:21" ht="15" customHeight="1">
      <c r="B93" s="1608" t="str">
        <f>IF(AND(S_1!$G$8="ja",S_1!$K$8="ja"),S_1!$C$2,"")</f>
        <v/>
      </c>
      <c r="C93" s="1608" t="str">
        <f>IF(AND(S_1!$G$8="ja",S_1!$K$8="ja"),2,"")</f>
        <v/>
      </c>
      <c r="D93" s="1609" t="str">
        <f>IF(AND(S_1!$G$8="ja",S_1!$K$8="ja"),S_1!$B$15,"")</f>
        <v/>
      </c>
      <c r="E93" s="1618" t="str">
        <f>IF(AND(S_1!$G$8="ja",S_1!$K$8="ja"),S_1!$C$15,"")</f>
        <v/>
      </c>
      <c r="F93" s="1609" t="str">
        <f>IF(AND(S_1!$G$8="ja",S_1!$K$8="ja"),S_1!$D$15,"")</f>
        <v/>
      </c>
      <c r="G93" s="1608" t="str">
        <f>IF(AND(S_1!$G$8="ja",S_1!$K$8="ja"),S_1!$E$15,"")</f>
        <v/>
      </c>
      <c r="H93" s="1609" t="str">
        <f>IF(AND(S_1!$G$8="ja",S_1!$K$8="ja"),S_1!$F$15,"")</f>
        <v/>
      </c>
      <c r="I93" s="1608" t="str">
        <f>IF(AND(S_1!$G$8="ja",S_1!$K$8="ja"),S_1!$G$15,"")</f>
        <v/>
      </c>
      <c r="J93" s="1609" t="str">
        <f>IF(AND(S_1!$G$8="ja",S_1!$K$8="ja"),S_1!$H$15,"")</f>
        <v/>
      </c>
      <c r="K93" s="1608" t="str">
        <f>IF(AND(S_1!$G$8="ja",S_1!$K$8="ja"),S_1!$I$15,"")</f>
        <v/>
      </c>
      <c r="L93" s="1609" t="str">
        <f>IF(AND(S_1!$G$8="ja",S_1!$K$8="ja"),S_1!$J$15,"")</f>
        <v/>
      </c>
      <c r="M93" s="1608" t="str">
        <f>IF(AND(S_1!$G$8="ja",S_1!$K$8="ja"),S_1!$K$15,"")</f>
        <v/>
      </c>
      <c r="N93" s="1609" t="str">
        <f>IF(AND(S_1!$G$8="ja",S_1!$K$8="ja"),S_1!$L$15,"")</f>
        <v/>
      </c>
      <c r="O93" s="1608" t="str">
        <f>IF(AND(S_1!$G$8="ja",S_1!$K$8="ja"),S_1!$M$15,"")</f>
        <v/>
      </c>
      <c r="P93" s="1609" t="str">
        <f>IF(AND(S_1!$G$8="ja",S_1!$K$8="ja"),S_1!$N$15,"")</f>
        <v/>
      </c>
      <c r="Q93" s="1608" t="str">
        <f>IF(AND(S_1!$G$8="ja",S_1!$K$8="ja"),S_1!$O$15,"")</f>
        <v/>
      </c>
      <c r="R93" s="1609" t="str">
        <f>IF(AND(S_1!$G$8="ja",S_1!$K$8="ja"),S_1!$P$15,"")</f>
        <v/>
      </c>
      <c r="S93" s="1617" t="str">
        <f>IF(AND(S_1!$G$8="ja",S_1!$K$8="ja"),S_1!Q102,"")</f>
        <v/>
      </c>
      <c r="T93" s="1617" t="str">
        <f>IF(AND(S_1!$G$8="ja",S_1!$K$8="ja"),S_1!R102,"")</f>
        <v/>
      </c>
      <c r="U93" s="1617" t="str">
        <f>IF(AND(S_1!$G$8="ja",S_1!$K$8="ja"),S_1!$S$15,"")</f>
        <v/>
      </c>
    </row>
    <row r="94" spans="2:21" ht="15" customHeight="1">
      <c r="S94" s="1611"/>
      <c r="T94" s="1611"/>
      <c r="U94" s="1611"/>
    </row>
    <row r="95" spans="2:21" ht="15" customHeight="1">
      <c r="S95" s="1611"/>
      <c r="T95" s="1611"/>
      <c r="U95" s="1611"/>
    </row>
    <row r="96" spans="2:21" ht="15" customHeight="1">
      <c r="S96" s="1611"/>
      <c r="T96" s="1611"/>
      <c r="U96" s="1611"/>
    </row>
    <row r="97" spans="19:21" ht="15" customHeight="1">
      <c r="S97" s="1611"/>
      <c r="T97" s="1611"/>
      <c r="U97" s="1611"/>
    </row>
    <row r="98" spans="19:21" ht="15" customHeight="1">
      <c r="S98" s="1611"/>
      <c r="T98" s="1611"/>
      <c r="U98" s="1611"/>
    </row>
    <row r="99" spans="19:21" ht="15" customHeight="1">
      <c r="S99" s="1611"/>
      <c r="T99" s="1611"/>
      <c r="U99" s="1611"/>
    </row>
    <row r="100" spans="19:21" ht="15" customHeight="1">
      <c r="S100" s="1611"/>
      <c r="T100" s="1611"/>
      <c r="U100" s="1611"/>
    </row>
    <row r="101" spans="19:21" ht="15" customHeight="1">
      <c r="S101" s="1611"/>
      <c r="T101" s="1611"/>
      <c r="U101" s="1611"/>
    </row>
    <row r="102" spans="19:21" ht="15" customHeight="1">
      <c r="S102" s="1611"/>
      <c r="T102" s="1611"/>
      <c r="U102" s="1611"/>
    </row>
    <row r="103" spans="19:21" ht="15" customHeight="1">
      <c r="S103" s="1611"/>
      <c r="T103" s="1611"/>
      <c r="U103" s="1611"/>
    </row>
    <row r="104" spans="19:21" ht="15" customHeight="1">
      <c r="S104" s="1611"/>
      <c r="T104" s="1611"/>
      <c r="U104" s="1611"/>
    </row>
    <row r="105" spans="19:21" ht="15" customHeight="1">
      <c r="S105" s="1611"/>
      <c r="T105" s="1611"/>
      <c r="U105" s="1611"/>
    </row>
    <row r="106" spans="19:21" ht="15" customHeight="1">
      <c r="S106" s="1611"/>
      <c r="T106" s="1611"/>
      <c r="U106" s="1611"/>
    </row>
    <row r="107" spans="19:21" ht="15" customHeight="1">
      <c r="S107" s="1611"/>
      <c r="T107" s="1611"/>
      <c r="U107" s="1611"/>
    </row>
    <row r="108" spans="19:21" ht="15" customHeight="1">
      <c r="S108" s="1611"/>
      <c r="T108" s="1611"/>
      <c r="U108" s="1611"/>
    </row>
    <row r="109" spans="19:21" ht="15" customHeight="1">
      <c r="S109" s="1611"/>
      <c r="T109" s="1611"/>
      <c r="U109" s="1611"/>
    </row>
    <row r="110" spans="19:21" ht="15" customHeight="1">
      <c r="S110" s="1611"/>
      <c r="T110" s="1611"/>
      <c r="U110" s="1611"/>
    </row>
    <row r="111" spans="19:21" ht="15" customHeight="1">
      <c r="S111" s="1611"/>
      <c r="T111" s="1611"/>
      <c r="U111" s="1611"/>
    </row>
    <row r="112" spans="19:21" ht="15" customHeight="1">
      <c r="S112" s="1611"/>
      <c r="T112" s="1611"/>
      <c r="U112" s="1611"/>
    </row>
    <row r="113" spans="19:21" ht="15" customHeight="1">
      <c r="S113" s="1611"/>
      <c r="T113" s="1611"/>
      <c r="U113" s="1611"/>
    </row>
    <row r="114" spans="19:21" ht="15" customHeight="1">
      <c r="S114" s="1611"/>
      <c r="T114" s="1611"/>
      <c r="U114" s="1611"/>
    </row>
    <row r="115" spans="19:21" ht="15" customHeight="1">
      <c r="S115" s="1611"/>
      <c r="T115" s="1611"/>
      <c r="U115" s="1611"/>
    </row>
    <row r="116" spans="19:21" ht="15" customHeight="1">
      <c r="S116" s="1611"/>
      <c r="T116" s="1611"/>
      <c r="U116" s="1611"/>
    </row>
    <row r="117" spans="19:21" ht="15" customHeight="1">
      <c r="S117" s="1611"/>
      <c r="T117" s="1611"/>
      <c r="U117" s="1611"/>
    </row>
    <row r="118" spans="19:21" ht="15" customHeight="1">
      <c r="S118" s="1611"/>
      <c r="T118" s="1611"/>
      <c r="U118" s="1611"/>
    </row>
    <row r="119" spans="19:21" ht="15" customHeight="1">
      <c r="S119" s="1611"/>
      <c r="T119" s="1611"/>
      <c r="U119" s="1611"/>
    </row>
    <row r="120" spans="19:21" ht="15" customHeight="1">
      <c r="S120" s="1611"/>
      <c r="T120" s="1611"/>
      <c r="U120" s="1611"/>
    </row>
  </sheetData>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2"/>
  </sheetPr>
  <dimension ref="B1:N47"/>
  <sheetViews>
    <sheetView workbookViewId="0">
      <selection activeCell="L3" sqref="L3:L5"/>
    </sheetView>
  </sheetViews>
  <sheetFormatPr baseColWidth="10" defaultRowHeight="12.75"/>
  <cols>
    <col min="1" max="1" width="3.140625" customWidth="1"/>
    <col min="12" max="13" width="11.42578125" customWidth="1"/>
  </cols>
  <sheetData>
    <row r="1" spans="2:14" ht="13.5" thickBot="1"/>
    <row r="2" spans="2:14" ht="21" customHeight="1" thickBot="1">
      <c r="B2" s="1360" t="s">
        <v>1212</v>
      </c>
      <c r="C2" s="1347"/>
      <c r="D2" s="1347"/>
      <c r="E2" s="1347"/>
      <c r="F2" s="1347"/>
      <c r="G2" s="1347"/>
      <c r="H2" s="1347"/>
      <c r="I2" s="1347"/>
      <c r="J2" s="1347"/>
      <c r="K2" s="1348"/>
      <c r="L2" s="747"/>
      <c r="M2" s="747"/>
      <c r="N2" s="747"/>
    </row>
    <row r="3" spans="2:14" s="747" customFormat="1" ht="15.75">
      <c r="B3" s="1341"/>
      <c r="C3" s="871"/>
      <c r="D3" s="871"/>
      <c r="E3" s="871"/>
      <c r="F3" s="871"/>
      <c r="G3" s="871"/>
      <c r="H3" s="871"/>
      <c r="I3" s="871"/>
      <c r="J3" s="871"/>
      <c r="K3" s="1342"/>
      <c r="L3" s="2398" t="s">
        <v>1219</v>
      </c>
    </row>
    <row r="4" spans="2:14">
      <c r="B4" s="1343" t="s">
        <v>1186</v>
      </c>
      <c r="C4" s="1344"/>
      <c r="D4" s="1344"/>
      <c r="E4" s="1344"/>
      <c r="F4" s="1344"/>
      <c r="G4" s="1344"/>
      <c r="H4" s="1344"/>
      <c r="I4" s="1344"/>
      <c r="J4" s="1344"/>
      <c r="K4" s="1342"/>
      <c r="L4" s="2399"/>
      <c r="M4" s="747"/>
      <c r="N4" s="747"/>
    </row>
    <row r="5" spans="2:14" s="747" customFormat="1" ht="13.5" thickBot="1">
      <c r="B5" s="1345" t="s">
        <v>789</v>
      </c>
      <c r="C5" s="871"/>
      <c r="D5" s="871"/>
      <c r="E5" s="871"/>
      <c r="F5" s="871"/>
      <c r="G5" s="871"/>
      <c r="H5" s="871"/>
      <c r="I5" s="871"/>
      <c r="J5" s="871"/>
      <c r="K5" s="1342"/>
      <c r="L5" s="2400"/>
    </row>
    <row r="6" spans="2:14" s="747" customFormat="1">
      <c r="B6" s="1345"/>
      <c r="C6" s="871"/>
      <c r="D6" s="871"/>
      <c r="E6" s="871"/>
      <c r="F6" s="871"/>
      <c r="G6" s="871"/>
      <c r="H6" s="871"/>
      <c r="I6" s="871"/>
      <c r="J6" s="871"/>
      <c r="K6" s="1342"/>
    </row>
    <row r="7" spans="2:14" s="747" customFormat="1">
      <c r="B7" s="2671" t="s">
        <v>131</v>
      </c>
      <c r="C7" s="2672"/>
      <c r="D7" s="2672"/>
      <c r="E7" s="2672"/>
      <c r="F7" s="2672"/>
      <c r="G7" s="2672"/>
      <c r="H7" s="2672"/>
      <c r="I7" s="2672"/>
      <c r="J7" s="2672"/>
      <c r="K7" s="2673"/>
    </row>
    <row r="8" spans="2:14" ht="15" customHeight="1">
      <c r="B8" s="2668" t="s">
        <v>84</v>
      </c>
      <c r="C8" s="2669"/>
      <c r="D8" s="2669"/>
      <c r="E8" s="2669"/>
      <c r="F8" s="2669"/>
      <c r="G8" s="2669"/>
      <c r="H8" s="2669"/>
      <c r="I8" s="2669"/>
      <c r="J8" s="2669"/>
      <c r="K8" s="2670"/>
      <c r="L8" s="747"/>
      <c r="M8" s="747"/>
      <c r="N8" s="747"/>
    </row>
    <row r="9" spans="2:14" ht="15" customHeight="1">
      <c r="B9" s="2668" t="s">
        <v>92</v>
      </c>
      <c r="C9" s="2669"/>
      <c r="D9" s="2669"/>
      <c r="E9" s="2669"/>
      <c r="F9" s="2669"/>
      <c r="G9" s="2669"/>
      <c r="H9" s="2669"/>
      <c r="I9" s="2669"/>
      <c r="J9" s="2669"/>
      <c r="K9" s="2670"/>
      <c r="L9" s="747"/>
      <c r="M9" s="747"/>
      <c r="N9" s="747"/>
    </row>
    <row r="10" spans="2:14" ht="15" customHeight="1">
      <c r="B10" s="2668" t="s">
        <v>1213</v>
      </c>
      <c r="C10" s="2669"/>
      <c r="D10" s="2669"/>
      <c r="E10" s="2669"/>
      <c r="F10" s="2669"/>
      <c r="G10" s="2669"/>
      <c r="H10" s="2669"/>
      <c r="I10" s="2669"/>
      <c r="J10" s="2669"/>
      <c r="K10" s="2670"/>
    </row>
    <row r="11" spans="2:14" ht="15" customHeight="1">
      <c r="B11" s="2668" t="s">
        <v>93</v>
      </c>
      <c r="C11" s="2669"/>
      <c r="D11" s="2669"/>
      <c r="E11" s="2669"/>
      <c r="F11" s="2669"/>
      <c r="G11" s="2669"/>
      <c r="H11" s="2669"/>
      <c r="I11" s="2669"/>
      <c r="J11" s="2669"/>
      <c r="K11" s="2670"/>
      <c r="M11" s="747"/>
    </row>
    <row r="12" spans="2:14" ht="15" customHeight="1">
      <c r="B12" s="1346"/>
      <c r="C12" s="871"/>
      <c r="D12" s="871"/>
      <c r="E12" s="871"/>
      <c r="F12" s="871"/>
      <c r="G12" s="871"/>
      <c r="H12" s="871"/>
      <c r="I12" s="871"/>
      <c r="J12" s="871"/>
      <c r="K12" s="1342"/>
      <c r="M12" s="747"/>
    </row>
    <row r="13" spans="2:14" ht="15" customHeight="1">
      <c r="B13" s="2671" t="s">
        <v>94</v>
      </c>
      <c r="C13" s="2672"/>
      <c r="D13" s="2672"/>
      <c r="E13" s="2672"/>
      <c r="F13" s="2672"/>
      <c r="G13" s="2672"/>
      <c r="H13" s="2672"/>
      <c r="I13" s="2672"/>
      <c r="J13" s="2672"/>
      <c r="K13" s="2673"/>
      <c r="M13" s="747"/>
    </row>
    <row r="14" spans="2:14" ht="15" customHeight="1">
      <c r="B14" s="2668" t="s">
        <v>95</v>
      </c>
      <c r="C14" s="2669"/>
      <c r="D14" s="2669"/>
      <c r="E14" s="2669"/>
      <c r="F14" s="2669"/>
      <c r="G14" s="2669"/>
      <c r="H14" s="2669"/>
      <c r="I14" s="2669"/>
      <c r="J14" s="2669"/>
      <c r="K14" s="2670"/>
    </row>
    <row r="15" spans="2:14" ht="15" customHeight="1">
      <c r="B15" s="2668" t="s">
        <v>96</v>
      </c>
      <c r="C15" s="2669"/>
      <c r="D15" s="2669"/>
      <c r="E15" s="2669"/>
      <c r="F15" s="2669"/>
      <c r="G15" s="2669"/>
      <c r="H15" s="2669"/>
      <c r="I15" s="2669"/>
      <c r="J15" s="2669"/>
      <c r="K15" s="2670"/>
    </row>
    <row r="16" spans="2:14" ht="15" customHeight="1">
      <c r="B16" s="2668" t="s">
        <v>97</v>
      </c>
      <c r="C16" s="2669"/>
      <c r="D16" s="2669"/>
      <c r="E16" s="2669"/>
      <c r="F16" s="2669"/>
      <c r="G16" s="2669"/>
      <c r="H16" s="2669"/>
      <c r="I16" s="2669"/>
      <c r="J16" s="2669"/>
      <c r="K16" s="2670"/>
    </row>
    <row r="17" spans="2:11" s="747" customFormat="1" ht="15" customHeight="1">
      <c r="B17" s="2668"/>
      <c r="C17" s="2669"/>
      <c r="D17" s="2669"/>
      <c r="E17" s="2669"/>
      <c r="F17" s="2669"/>
      <c r="G17" s="2669"/>
      <c r="H17" s="2669"/>
      <c r="I17" s="2669"/>
      <c r="J17" s="2669"/>
      <c r="K17" s="2670"/>
    </row>
    <row r="18" spans="2:11" ht="15" customHeight="1">
      <c r="B18" s="2671" t="s">
        <v>785</v>
      </c>
      <c r="C18" s="2672"/>
      <c r="D18" s="2672"/>
      <c r="E18" s="2672"/>
      <c r="F18" s="2672"/>
      <c r="G18" s="2672"/>
      <c r="H18" s="2672"/>
      <c r="I18" s="2672"/>
      <c r="J18" s="2672"/>
      <c r="K18" s="2673"/>
    </row>
    <row r="19" spans="2:11" ht="15" customHeight="1">
      <c r="B19" s="2668" t="s">
        <v>786</v>
      </c>
      <c r="C19" s="2669"/>
      <c r="D19" s="2669"/>
      <c r="E19" s="2669"/>
      <c r="F19" s="2669"/>
      <c r="G19" s="2669"/>
      <c r="H19" s="2669"/>
      <c r="I19" s="2669"/>
      <c r="J19" s="2669"/>
      <c r="K19" s="2670"/>
    </row>
    <row r="20" spans="2:11" ht="15" customHeight="1">
      <c r="B20" s="2668" t="s">
        <v>787</v>
      </c>
      <c r="C20" s="2669"/>
      <c r="D20" s="2669"/>
      <c r="E20" s="2669"/>
      <c r="F20" s="2669"/>
      <c r="G20" s="2669"/>
      <c r="H20" s="2669"/>
      <c r="I20" s="2669"/>
      <c r="J20" s="2669"/>
      <c r="K20" s="2670"/>
    </row>
    <row r="21" spans="2:11" ht="15" customHeight="1">
      <c r="B21" s="2668" t="s">
        <v>98</v>
      </c>
      <c r="C21" s="2669"/>
      <c r="D21" s="2669"/>
      <c r="E21" s="2669"/>
      <c r="F21" s="2669"/>
      <c r="G21" s="2669"/>
      <c r="H21" s="2669"/>
      <c r="I21" s="2669"/>
      <c r="J21" s="2669"/>
      <c r="K21" s="2670"/>
    </row>
    <row r="22" spans="2:11" s="747" customFormat="1" ht="15" customHeight="1">
      <c r="B22" s="2668"/>
      <c r="C22" s="2669"/>
      <c r="D22" s="2669"/>
      <c r="E22" s="2669"/>
      <c r="F22" s="2669"/>
      <c r="G22" s="2669"/>
      <c r="H22" s="2669"/>
      <c r="I22" s="2669"/>
      <c r="J22" s="2669"/>
      <c r="K22" s="2670"/>
    </row>
    <row r="23" spans="2:11" ht="15" customHeight="1">
      <c r="B23" s="2671" t="s">
        <v>99</v>
      </c>
      <c r="C23" s="2672"/>
      <c r="D23" s="2672"/>
      <c r="E23" s="2672"/>
      <c r="F23" s="2672"/>
      <c r="G23" s="2672"/>
      <c r="H23" s="2672"/>
      <c r="I23" s="2672"/>
      <c r="J23" s="2672"/>
      <c r="K23" s="2673"/>
    </row>
    <row r="24" spans="2:11" ht="15" customHeight="1">
      <c r="B24" s="2668" t="s">
        <v>794</v>
      </c>
      <c r="C24" s="2669"/>
      <c r="D24" s="2669"/>
      <c r="E24" s="2669"/>
      <c r="F24" s="2669"/>
      <c r="G24" s="2669"/>
      <c r="H24" s="2669"/>
      <c r="I24" s="2669"/>
      <c r="J24" s="2669"/>
      <c r="K24" s="2670"/>
    </row>
    <row r="25" spans="2:11" ht="15" customHeight="1">
      <c r="B25" s="2668" t="s">
        <v>788</v>
      </c>
      <c r="C25" s="2669"/>
      <c r="D25" s="2669"/>
      <c r="E25" s="2669"/>
      <c r="F25" s="2669"/>
      <c r="G25" s="2669"/>
      <c r="H25" s="2669"/>
      <c r="I25" s="2669"/>
      <c r="J25" s="2669"/>
      <c r="K25" s="2670"/>
    </row>
    <row r="26" spans="2:11" ht="15" customHeight="1">
      <c r="B26" s="2668" t="s">
        <v>100</v>
      </c>
      <c r="C26" s="2669"/>
      <c r="D26" s="2669"/>
      <c r="E26" s="2669"/>
      <c r="F26" s="2669"/>
      <c r="G26" s="2669"/>
      <c r="H26" s="2669"/>
      <c r="I26" s="2669"/>
      <c r="J26" s="2669"/>
      <c r="K26" s="2670"/>
    </row>
    <row r="27" spans="2:11" ht="15" customHeight="1">
      <c r="B27" s="2668" t="s">
        <v>795</v>
      </c>
      <c r="C27" s="2669"/>
      <c r="D27" s="2669"/>
      <c r="E27" s="2669"/>
      <c r="F27" s="2669"/>
      <c r="G27" s="2669"/>
      <c r="H27" s="2669"/>
      <c r="I27" s="2669"/>
      <c r="J27" s="2669"/>
      <c r="K27" s="2670"/>
    </row>
    <row r="28" spans="2:11" ht="15" customHeight="1">
      <c r="B28" s="2668" t="s">
        <v>101</v>
      </c>
      <c r="C28" s="2669"/>
      <c r="D28" s="2669"/>
      <c r="E28" s="2669"/>
      <c r="F28" s="2669"/>
      <c r="G28" s="2669"/>
      <c r="H28" s="2669"/>
      <c r="I28" s="2669"/>
      <c r="J28" s="2669"/>
      <c r="K28" s="2670"/>
    </row>
    <row r="29" spans="2:11" ht="15" customHeight="1">
      <c r="B29" s="2668"/>
      <c r="C29" s="2669"/>
      <c r="D29" s="2669"/>
      <c r="E29" s="2669"/>
      <c r="F29" s="2669"/>
      <c r="G29" s="2669"/>
      <c r="H29" s="2669"/>
      <c r="I29" s="2669"/>
      <c r="J29" s="2669"/>
      <c r="K29" s="2670"/>
    </row>
    <row r="30" spans="2:11" s="747" customFormat="1" ht="15" customHeight="1">
      <c r="B30" s="2671" t="s">
        <v>1215</v>
      </c>
      <c r="C30" s="2672"/>
      <c r="D30" s="2672"/>
      <c r="E30" s="2672"/>
      <c r="F30" s="2672"/>
      <c r="G30" s="2672"/>
      <c r="H30" s="2672"/>
      <c r="I30" s="2672"/>
      <c r="J30" s="2672"/>
      <c r="K30" s="2673"/>
    </row>
    <row r="31" spans="2:11" ht="15" customHeight="1">
      <c r="B31" s="2668" t="s">
        <v>103</v>
      </c>
      <c r="C31" s="2669"/>
      <c r="D31" s="2669"/>
      <c r="E31" s="2669"/>
      <c r="F31" s="2669"/>
      <c r="G31" s="2669"/>
      <c r="H31" s="2669"/>
      <c r="I31" s="2669"/>
      <c r="J31" s="2669"/>
      <c r="K31" s="2670"/>
    </row>
    <row r="32" spans="2:11" ht="15" customHeight="1">
      <c r="B32" s="2668" t="s">
        <v>111</v>
      </c>
      <c r="C32" s="2669"/>
      <c r="D32" s="2669"/>
      <c r="E32" s="2669"/>
      <c r="F32" s="2669"/>
      <c r="G32" s="2669"/>
      <c r="H32" s="2669"/>
      <c r="I32" s="2669"/>
      <c r="J32" s="2669"/>
      <c r="K32" s="2670"/>
    </row>
    <row r="33" spans="2:11" ht="15" customHeight="1">
      <c r="B33" s="2668"/>
      <c r="C33" s="2669"/>
      <c r="D33" s="2669"/>
      <c r="E33" s="2669"/>
      <c r="F33" s="2669"/>
      <c r="G33" s="2669"/>
      <c r="H33" s="2669"/>
      <c r="I33" s="2669"/>
      <c r="J33" s="2669"/>
      <c r="K33" s="2670"/>
    </row>
    <row r="34" spans="2:11" s="747" customFormat="1" ht="15" customHeight="1">
      <c r="B34" s="2671" t="s">
        <v>1214</v>
      </c>
      <c r="C34" s="2672"/>
      <c r="D34" s="2672"/>
      <c r="E34" s="2672"/>
      <c r="F34" s="2672"/>
      <c r="G34" s="2672"/>
      <c r="H34" s="2672"/>
      <c r="I34" s="2672"/>
      <c r="J34" s="2672"/>
      <c r="K34" s="2673"/>
    </row>
    <row r="35" spans="2:11" ht="15" customHeight="1">
      <c r="B35" s="2674" t="s">
        <v>117</v>
      </c>
      <c r="C35" s="2675"/>
      <c r="D35" s="2675"/>
      <c r="E35" s="2675"/>
      <c r="F35" s="2675"/>
      <c r="G35" s="2675"/>
      <c r="H35" s="2675"/>
      <c r="I35" s="2675"/>
      <c r="J35" s="2675"/>
      <c r="K35" s="2676"/>
    </row>
    <row r="36" spans="2:11" ht="21" customHeight="1">
      <c r="B36" s="747"/>
    </row>
    <row r="37" spans="2:11" s="747" customFormat="1" ht="21" customHeight="1"/>
    <row r="38" spans="2:11" s="747" customFormat="1" ht="21" customHeight="1"/>
    <row r="47" spans="2:11">
      <c r="B47" s="15"/>
    </row>
  </sheetData>
  <mergeCells count="29">
    <mergeCell ref="L3:L5"/>
    <mergeCell ref="B22:K22"/>
    <mergeCell ref="B7:K7"/>
    <mergeCell ref="B31:K31"/>
    <mergeCell ref="B32:K32"/>
    <mergeCell ref="B23:K23"/>
    <mergeCell ref="B24:K24"/>
    <mergeCell ref="B25:K25"/>
    <mergeCell ref="B26:K26"/>
    <mergeCell ref="B27:K27"/>
    <mergeCell ref="B28:K28"/>
    <mergeCell ref="B8:K8"/>
    <mergeCell ref="B14:K14"/>
    <mergeCell ref="B15:K15"/>
    <mergeCell ref="B21:K21"/>
    <mergeCell ref="B17:K17"/>
    <mergeCell ref="B9:K9"/>
    <mergeCell ref="B16:K16"/>
    <mergeCell ref="B13:K13"/>
    <mergeCell ref="B35:K35"/>
    <mergeCell ref="B33:K33"/>
    <mergeCell ref="B29:K29"/>
    <mergeCell ref="B30:K30"/>
    <mergeCell ref="B34:K34"/>
    <mergeCell ref="B18:K18"/>
    <mergeCell ref="B19:K19"/>
    <mergeCell ref="B20:K20"/>
    <mergeCell ref="B11:K11"/>
    <mergeCell ref="B10:K10"/>
  </mergeCells>
  <hyperlinks>
    <hyperlink ref="B5" r:id="rId1"/>
    <hyperlink ref="L3:L5" location="Tiere!A1" display="zurück"/>
  </hyperlinks>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2"/>
  </sheetPr>
  <dimension ref="B1:J86"/>
  <sheetViews>
    <sheetView workbookViewId="0">
      <selection activeCell="J3" sqref="J3:J5"/>
    </sheetView>
  </sheetViews>
  <sheetFormatPr baseColWidth="10" defaultRowHeight="12.75"/>
  <cols>
    <col min="1" max="1" width="3.140625" style="747" customWidth="1"/>
    <col min="2" max="11" width="11.42578125" style="747"/>
    <col min="12" max="13" width="11.42578125" style="747" customWidth="1"/>
    <col min="14" max="16384" width="11.42578125" style="747"/>
  </cols>
  <sheetData>
    <row r="1" spans="2:10" ht="13.5" thickBot="1"/>
    <row r="2" spans="2:10" ht="16.5" thickBot="1">
      <c r="B2" s="2693" t="s">
        <v>1216</v>
      </c>
      <c r="C2" s="2694"/>
      <c r="D2" s="2694"/>
      <c r="E2" s="2694"/>
      <c r="F2" s="2694"/>
      <c r="G2" s="2694"/>
      <c r="H2" s="2694"/>
      <c r="I2" s="2695"/>
    </row>
    <row r="3" spans="2:10" ht="15" customHeight="1">
      <c r="B3" s="2705" t="s">
        <v>640</v>
      </c>
      <c r="C3" s="2706"/>
      <c r="D3" s="2706"/>
      <c r="E3" s="2706"/>
      <c r="F3" s="2706"/>
      <c r="G3" s="2706"/>
      <c r="H3" s="2706"/>
      <c r="I3" s="2707"/>
      <c r="J3" s="2398" t="s">
        <v>1219</v>
      </c>
    </row>
    <row r="4" spans="2:10" ht="15" customHeight="1">
      <c r="B4" s="2708"/>
      <c r="C4" s="2709"/>
      <c r="D4" s="2709"/>
      <c r="E4" s="2709"/>
      <c r="F4" s="2709"/>
      <c r="G4" s="2709"/>
      <c r="H4" s="2709"/>
      <c r="I4" s="2710"/>
      <c r="J4" s="2399"/>
    </row>
    <row r="5" spans="2:10" ht="15" customHeight="1" thickBot="1">
      <c r="B5" s="2708"/>
      <c r="C5" s="2709"/>
      <c r="D5" s="2709"/>
      <c r="E5" s="2709"/>
      <c r="F5" s="2709"/>
      <c r="G5" s="2709"/>
      <c r="H5" s="2709"/>
      <c r="I5" s="2710"/>
      <c r="J5" s="2400"/>
    </row>
    <row r="6" spans="2:10" ht="15" customHeight="1">
      <c r="B6" s="2711" t="s">
        <v>641</v>
      </c>
      <c r="C6" s="2712"/>
      <c r="D6" s="2712" t="s">
        <v>642</v>
      </c>
      <c r="E6" s="1326" t="s">
        <v>643</v>
      </c>
      <c r="F6" s="1326" t="s">
        <v>644</v>
      </c>
      <c r="G6" s="1326" t="s">
        <v>645</v>
      </c>
      <c r="H6" s="1326" t="s">
        <v>646</v>
      </c>
      <c r="I6" s="1349" t="s">
        <v>647</v>
      </c>
    </row>
    <row r="7" spans="2:10" ht="15" customHeight="1">
      <c r="B7" s="2711"/>
      <c r="C7" s="2712"/>
      <c r="D7" s="2712"/>
      <c r="E7" s="2713" t="s">
        <v>648</v>
      </c>
      <c r="F7" s="2713"/>
      <c r="G7" s="2713"/>
      <c r="H7" s="2713"/>
      <c r="I7" s="2714"/>
    </row>
    <row r="8" spans="2:10" ht="15" customHeight="1">
      <c r="B8" s="2696" t="s">
        <v>131</v>
      </c>
      <c r="C8" s="2697"/>
      <c r="D8" s="2697"/>
      <c r="E8" s="2697"/>
      <c r="F8" s="2697"/>
      <c r="G8" s="2697"/>
      <c r="H8" s="2697"/>
      <c r="I8" s="2698"/>
    </row>
    <row r="9" spans="2:10" ht="15" customHeight="1">
      <c r="B9" s="2688" t="s">
        <v>649</v>
      </c>
      <c r="C9" s="2689"/>
      <c r="D9" s="2689"/>
      <c r="E9" s="2689"/>
      <c r="F9" s="2689"/>
      <c r="G9" s="2689"/>
      <c r="H9" s="2689"/>
      <c r="I9" s="2690"/>
    </row>
    <row r="10" spans="2:10" ht="15" customHeight="1">
      <c r="B10" s="2686" t="s">
        <v>650</v>
      </c>
      <c r="C10" s="2687"/>
      <c r="D10" s="1327" t="s">
        <v>651</v>
      </c>
      <c r="E10" s="1328">
        <v>4.4000000000000004</v>
      </c>
      <c r="F10" s="1328">
        <v>4</v>
      </c>
      <c r="G10" s="1328">
        <v>4.2</v>
      </c>
      <c r="H10" s="1328">
        <v>9.1</v>
      </c>
      <c r="I10" s="1350">
        <v>129</v>
      </c>
    </row>
    <row r="11" spans="2:10" ht="15" customHeight="1">
      <c r="B11" s="2686" t="s">
        <v>537</v>
      </c>
      <c r="C11" s="2687"/>
      <c r="D11" s="1327" t="s">
        <v>652</v>
      </c>
      <c r="E11" s="1328">
        <v>2.1</v>
      </c>
      <c r="F11" s="1328">
        <v>1.9</v>
      </c>
      <c r="G11" s="1328">
        <v>2</v>
      </c>
      <c r="H11" s="1328">
        <v>4.4000000000000004</v>
      </c>
      <c r="I11" s="1350">
        <v>62</v>
      </c>
    </row>
    <row r="12" spans="2:10" ht="15" customHeight="1">
      <c r="B12" s="2686" t="s">
        <v>653</v>
      </c>
      <c r="C12" s="2687"/>
      <c r="D12" s="1329" t="s">
        <v>654</v>
      </c>
      <c r="E12" s="1330">
        <v>3.2</v>
      </c>
      <c r="F12" s="1330">
        <v>2.9</v>
      </c>
      <c r="G12" s="1330">
        <v>2.5</v>
      </c>
      <c r="H12" s="1330">
        <v>4.2</v>
      </c>
      <c r="I12" s="1351">
        <v>145</v>
      </c>
    </row>
    <row r="13" spans="2:10" ht="15" customHeight="1">
      <c r="B13" s="2686" t="s">
        <v>655</v>
      </c>
      <c r="C13" s="2687"/>
      <c r="D13" s="1331">
        <v>3</v>
      </c>
      <c r="E13" s="1332">
        <v>3.3959999999999999</v>
      </c>
      <c r="F13" s="1332">
        <v>3</v>
      </c>
      <c r="G13" s="1332">
        <v>0.2</v>
      </c>
      <c r="H13" s="1332">
        <v>9.5</v>
      </c>
      <c r="I13" s="1352">
        <v>13</v>
      </c>
    </row>
    <row r="14" spans="2:10" ht="15" customHeight="1">
      <c r="B14" s="2686" t="s">
        <v>656</v>
      </c>
      <c r="C14" s="2687"/>
      <c r="D14" s="1327">
        <v>5</v>
      </c>
      <c r="E14" s="1328">
        <v>2</v>
      </c>
      <c r="F14" s="1328">
        <v>1.7000000000000002</v>
      </c>
      <c r="G14" s="1328">
        <v>1</v>
      </c>
      <c r="H14" s="1328">
        <v>3.3</v>
      </c>
      <c r="I14" s="1350">
        <v>38</v>
      </c>
    </row>
    <row r="15" spans="2:10" ht="15" customHeight="1">
      <c r="B15" s="2686" t="s">
        <v>657</v>
      </c>
      <c r="C15" s="2687"/>
      <c r="D15" s="1327">
        <v>10</v>
      </c>
      <c r="E15" s="1328">
        <v>3.9</v>
      </c>
      <c r="F15" s="1328">
        <v>3.4</v>
      </c>
      <c r="G15" s="1328">
        <v>2</v>
      </c>
      <c r="H15" s="1328">
        <v>6.5</v>
      </c>
      <c r="I15" s="1350">
        <v>76</v>
      </c>
    </row>
    <row r="16" spans="2:10" ht="15" customHeight="1">
      <c r="B16" s="2699" t="s">
        <v>658</v>
      </c>
      <c r="C16" s="2700"/>
      <c r="D16" s="2700"/>
      <c r="E16" s="2700"/>
      <c r="F16" s="2700"/>
      <c r="G16" s="2700"/>
      <c r="H16" s="2700"/>
      <c r="I16" s="2701"/>
    </row>
    <row r="17" spans="2:9" ht="15" customHeight="1">
      <c r="B17" s="2686" t="s">
        <v>657</v>
      </c>
      <c r="C17" s="2687"/>
      <c r="D17" s="1327">
        <v>10</v>
      </c>
      <c r="E17" s="1328">
        <v>5.2</v>
      </c>
      <c r="F17" s="1328">
        <v>4.5</v>
      </c>
      <c r="G17" s="1328">
        <v>2.5</v>
      </c>
      <c r="H17" s="1328">
        <v>5</v>
      </c>
      <c r="I17" s="1350">
        <v>75</v>
      </c>
    </row>
    <row r="18" spans="2:9" ht="15" customHeight="1">
      <c r="B18" s="2699" t="s">
        <v>659</v>
      </c>
      <c r="C18" s="2700"/>
      <c r="D18" s="2700"/>
      <c r="E18" s="2700"/>
      <c r="F18" s="2700"/>
      <c r="G18" s="2700"/>
      <c r="H18" s="2700"/>
      <c r="I18" s="2701"/>
    </row>
    <row r="19" spans="2:9" ht="15" customHeight="1">
      <c r="B19" s="2686" t="s">
        <v>657</v>
      </c>
      <c r="C19" s="2687"/>
      <c r="D19" s="1327">
        <v>5</v>
      </c>
      <c r="E19" s="1328">
        <v>6.1</v>
      </c>
      <c r="F19" s="1328">
        <v>5.3</v>
      </c>
      <c r="G19" s="1328">
        <v>2.5</v>
      </c>
      <c r="H19" s="1328">
        <v>4</v>
      </c>
      <c r="I19" s="1350">
        <v>35</v>
      </c>
    </row>
    <row r="20" spans="2:9" ht="15" customHeight="1">
      <c r="B20" s="2702" t="s">
        <v>660</v>
      </c>
      <c r="C20" s="2703"/>
      <c r="D20" s="2703"/>
      <c r="E20" s="2703"/>
      <c r="F20" s="2703"/>
      <c r="G20" s="2703"/>
      <c r="H20" s="2703"/>
      <c r="I20" s="2704"/>
    </row>
    <row r="21" spans="2:9" ht="15" customHeight="1">
      <c r="B21" s="2686" t="s">
        <v>661</v>
      </c>
      <c r="C21" s="2687"/>
      <c r="D21" s="1333" t="s">
        <v>662</v>
      </c>
      <c r="E21" s="1328">
        <v>4.3</v>
      </c>
      <c r="F21" s="212">
        <v>3.9</v>
      </c>
      <c r="G21" s="212">
        <v>2.1</v>
      </c>
      <c r="H21" s="212">
        <v>4.9000000000000004</v>
      </c>
      <c r="I21" s="1353">
        <v>140</v>
      </c>
    </row>
    <row r="22" spans="2:9" ht="15" customHeight="1">
      <c r="B22" s="2702" t="s">
        <v>663</v>
      </c>
      <c r="C22" s="2703"/>
      <c r="D22" s="2703"/>
      <c r="E22" s="2703"/>
      <c r="F22" s="2703"/>
      <c r="G22" s="2703"/>
      <c r="H22" s="2703"/>
      <c r="I22" s="2704"/>
    </row>
    <row r="23" spans="2:9" ht="15" customHeight="1">
      <c r="B23" s="2686" t="s">
        <v>536</v>
      </c>
      <c r="C23" s="2687"/>
      <c r="D23" s="329" t="s">
        <v>662</v>
      </c>
      <c r="E23" s="1328">
        <v>2.2999999999999998</v>
      </c>
      <c r="F23" s="212">
        <v>2.1</v>
      </c>
      <c r="G23" s="212">
        <v>1.5</v>
      </c>
      <c r="H23" s="212">
        <v>3</v>
      </c>
      <c r="I23" s="1354">
        <v>113</v>
      </c>
    </row>
    <row r="24" spans="2:9" ht="15" customHeight="1">
      <c r="B24" s="2696" t="s">
        <v>664</v>
      </c>
      <c r="C24" s="2697"/>
      <c r="D24" s="2697"/>
      <c r="E24" s="2697"/>
      <c r="F24" s="2697"/>
      <c r="G24" s="2697"/>
      <c r="H24" s="2697"/>
      <c r="I24" s="2698"/>
    </row>
    <row r="25" spans="2:9" ht="15" customHeight="1">
      <c r="B25" s="2688" t="s">
        <v>665</v>
      </c>
      <c r="C25" s="2689"/>
      <c r="D25" s="2689"/>
      <c r="E25" s="2689"/>
      <c r="F25" s="2689"/>
      <c r="G25" s="2689"/>
      <c r="H25" s="2689"/>
      <c r="I25" s="2690"/>
    </row>
    <row r="26" spans="2:9" ht="15" customHeight="1">
      <c r="B26" s="2686" t="s">
        <v>536</v>
      </c>
      <c r="C26" s="2687"/>
      <c r="D26" s="1329">
        <v>25</v>
      </c>
      <c r="E26" s="1330">
        <v>4.2</v>
      </c>
      <c r="F26" s="1330">
        <v>3.8</v>
      </c>
      <c r="G26" s="1334">
        <v>5.5</v>
      </c>
      <c r="H26" s="1334">
        <v>3.6</v>
      </c>
      <c r="I26" s="1351">
        <v>182</v>
      </c>
    </row>
    <row r="27" spans="2:9" ht="15" customHeight="1">
      <c r="B27" s="2686" t="s">
        <v>90</v>
      </c>
      <c r="C27" s="2687"/>
      <c r="D27" s="1331">
        <v>2</v>
      </c>
      <c r="E27" s="1332">
        <v>3.9</v>
      </c>
      <c r="F27" s="1332">
        <v>3.4</v>
      </c>
      <c r="G27" s="1335">
        <v>1</v>
      </c>
      <c r="H27" s="1335">
        <v>3</v>
      </c>
      <c r="I27" s="1352">
        <v>8</v>
      </c>
    </row>
    <row r="28" spans="2:9" ht="15" customHeight="1">
      <c r="B28" s="2686" t="s">
        <v>656</v>
      </c>
      <c r="C28" s="2687"/>
      <c r="D28" s="1327">
        <v>5</v>
      </c>
      <c r="E28" s="1328">
        <v>3.2</v>
      </c>
      <c r="F28" s="1328">
        <v>2.8</v>
      </c>
      <c r="G28" s="1336">
        <v>2.2000000000000002</v>
      </c>
      <c r="H28" s="1337">
        <v>2</v>
      </c>
      <c r="I28" s="1350">
        <v>38</v>
      </c>
    </row>
    <row r="29" spans="2:9" ht="15" customHeight="1">
      <c r="B29" s="2686" t="s">
        <v>657</v>
      </c>
      <c r="C29" s="2687"/>
      <c r="D29" s="1333">
        <v>10</v>
      </c>
      <c r="E29" s="1328">
        <v>6.4</v>
      </c>
      <c r="F29" s="1338">
        <v>5.6</v>
      </c>
      <c r="G29" s="1339">
        <v>4.4000000000000004</v>
      </c>
      <c r="H29" s="1340">
        <v>4</v>
      </c>
      <c r="I29" s="1355">
        <v>76</v>
      </c>
    </row>
    <row r="30" spans="2:9" ht="15" customHeight="1">
      <c r="B30" s="2688" t="s">
        <v>666</v>
      </c>
      <c r="C30" s="2689"/>
      <c r="D30" s="2689"/>
      <c r="E30" s="2689"/>
      <c r="F30" s="2689"/>
      <c r="G30" s="2689"/>
      <c r="H30" s="2689"/>
      <c r="I30" s="2690"/>
    </row>
    <row r="31" spans="2:9" ht="21" customHeight="1">
      <c r="B31" s="2686" t="s">
        <v>667</v>
      </c>
      <c r="C31" s="2687"/>
      <c r="D31" s="1327">
        <v>5</v>
      </c>
      <c r="E31" s="1328">
        <v>5.2</v>
      </c>
      <c r="F31" s="1328">
        <v>4.5</v>
      </c>
      <c r="G31" s="1328">
        <v>3.5</v>
      </c>
      <c r="H31" s="1328">
        <v>3.5</v>
      </c>
      <c r="I31" s="1350">
        <v>35</v>
      </c>
    </row>
    <row r="32" spans="2:9" ht="21" customHeight="1">
      <c r="B32" s="2686" t="s">
        <v>668</v>
      </c>
      <c r="C32" s="2687"/>
      <c r="D32" s="1327">
        <v>10</v>
      </c>
      <c r="E32" s="1328">
        <v>6.9</v>
      </c>
      <c r="F32" s="1328">
        <v>6</v>
      </c>
      <c r="G32" s="1328">
        <v>5</v>
      </c>
      <c r="H32" s="1328">
        <v>4</v>
      </c>
      <c r="I32" s="1350">
        <v>75</v>
      </c>
    </row>
    <row r="33" spans="2:9" ht="21" customHeight="1">
      <c r="B33" s="2686" t="s">
        <v>661</v>
      </c>
      <c r="C33" s="2687"/>
      <c r="D33" s="1333">
        <v>30</v>
      </c>
      <c r="E33" s="1328">
        <v>7.4</v>
      </c>
      <c r="F33" s="1338">
        <v>6.7</v>
      </c>
      <c r="G33" s="1338">
        <v>4.5999999999999996</v>
      </c>
      <c r="H33" s="1338">
        <v>7.3</v>
      </c>
      <c r="I33" s="1356" t="s">
        <v>34</v>
      </c>
    </row>
    <row r="34" spans="2:9" ht="21" customHeight="1">
      <c r="B34" s="2696" t="s">
        <v>366</v>
      </c>
      <c r="C34" s="2697"/>
      <c r="D34" s="2697"/>
      <c r="E34" s="2697"/>
      <c r="F34" s="2697"/>
      <c r="G34" s="2697"/>
      <c r="H34" s="2697"/>
      <c r="I34" s="2698"/>
    </row>
    <row r="35" spans="2:9" ht="21" customHeight="1">
      <c r="B35" s="2688" t="s">
        <v>669</v>
      </c>
      <c r="C35" s="2689"/>
      <c r="D35" s="2689"/>
      <c r="E35" s="2689"/>
      <c r="F35" s="2689"/>
      <c r="G35" s="2689"/>
      <c r="H35" s="2689"/>
      <c r="I35" s="2690"/>
    </row>
    <row r="36" spans="2:9" ht="23.25" customHeight="1">
      <c r="B36" s="2686" t="s">
        <v>670</v>
      </c>
      <c r="C36" s="2687"/>
      <c r="D36" s="1327">
        <v>10</v>
      </c>
      <c r="E36" s="1328">
        <v>2.6</v>
      </c>
      <c r="F36" s="1328">
        <v>2.2999999999999998</v>
      </c>
      <c r="G36" s="1327">
        <v>2.5</v>
      </c>
      <c r="H36" s="1327">
        <v>1.5</v>
      </c>
      <c r="I36" s="1350">
        <v>38</v>
      </c>
    </row>
    <row r="37" spans="2:9">
      <c r="B37" s="2686" t="s">
        <v>671</v>
      </c>
      <c r="C37" s="2687"/>
      <c r="D37" s="1327">
        <v>50</v>
      </c>
      <c r="E37" s="1328">
        <v>8.5</v>
      </c>
      <c r="F37" s="1328">
        <v>7.7</v>
      </c>
      <c r="G37" s="1337">
        <v>12</v>
      </c>
      <c r="H37" s="1337">
        <v>7</v>
      </c>
      <c r="I37" s="1350">
        <v>180</v>
      </c>
    </row>
    <row r="38" spans="2:9">
      <c r="B38" s="2688" t="s">
        <v>672</v>
      </c>
      <c r="C38" s="2689"/>
      <c r="D38" s="2689"/>
      <c r="E38" s="2689"/>
      <c r="F38" s="2689"/>
      <c r="G38" s="2689"/>
      <c r="H38" s="2689"/>
      <c r="I38" s="2690"/>
    </row>
    <row r="39" spans="2:9">
      <c r="B39" s="2686" t="s">
        <v>673</v>
      </c>
      <c r="C39" s="2687"/>
      <c r="D39" s="1327">
        <v>60</v>
      </c>
      <c r="E39" s="1328">
        <v>9.1999999999999993</v>
      </c>
      <c r="F39" s="1328">
        <v>8.4</v>
      </c>
      <c r="G39" s="1328">
        <v>10</v>
      </c>
      <c r="H39" s="1328">
        <v>8</v>
      </c>
      <c r="I39" s="1350">
        <v>250</v>
      </c>
    </row>
    <row r="40" spans="2:9">
      <c r="B40" s="2688" t="s">
        <v>674</v>
      </c>
      <c r="C40" s="2689"/>
      <c r="D40" s="2689"/>
      <c r="E40" s="2689"/>
      <c r="F40" s="2689"/>
      <c r="G40" s="2689"/>
      <c r="H40" s="2689"/>
      <c r="I40" s="2690"/>
    </row>
    <row r="41" spans="2:9">
      <c r="B41" s="2691" t="s">
        <v>673</v>
      </c>
      <c r="C41" s="2692"/>
      <c r="D41" s="1357">
        <v>50</v>
      </c>
      <c r="E41" s="1358">
        <v>7.7</v>
      </c>
      <c r="F41" s="1358">
        <v>7</v>
      </c>
      <c r="G41" s="1358">
        <v>10</v>
      </c>
      <c r="H41" s="1358">
        <v>8</v>
      </c>
      <c r="I41" s="1359">
        <v>190</v>
      </c>
    </row>
    <row r="52" spans="2:8" ht="13.5" thickBot="1"/>
    <row r="53" spans="2:8" ht="16.5" thickBot="1">
      <c r="B53" s="2693" t="s">
        <v>1217</v>
      </c>
      <c r="C53" s="2694"/>
      <c r="D53" s="2694"/>
      <c r="E53" s="2694"/>
      <c r="F53" s="2694"/>
      <c r="G53" s="2695"/>
    </row>
    <row r="54" spans="2:8" ht="25.5">
      <c r="B54" s="2442" t="s">
        <v>577</v>
      </c>
      <c r="C54" s="2442"/>
      <c r="D54" s="285" t="s">
        <v>578</v>
      </c>
      <c r="E54" s="286" t="s">
        <v>579</v>
      </c>
      <c r="F54" s="287" t="s">
        <v>580</v>
      </c>
      <c r="G54" s="288" t="s">
        <v>581</v>
      </c>
      <c r="H54" s="2398" t="s">
        <v>1219</v>
      </c>
    </row>
    <row r="55" spans="2:8" ht="15" thickBot="1">
      <c r="B55" s="290" t="s">
        <v>547</v>
      </c>
      <c r="C55" s="291"/>
      <c r="D55" s="292">
        <v>0.87</v>
      </c>
      <c r="E55" s="293">
        <v>0.7</v>
      </c>
      <c r="F55" s="294">
        <v>0.5</v>
      </c>
      <c r="G55" s="295" t="s">
        <v>473</v>
      </c>
      <c r="H55" s="2400"/>
    </row>
    <row r="56" spans="2:8" ht="14.25">
      <c r="B56" s="296" t="s">
        <v>584</v>
      </c>
      <c r="C56" s="291"/>
      <c r="D56" s="292">
        <v>0.87</v>
      </c>
      <c r="E56" s="293">
        <v>0.8</v>
      </c>
      <c r="F56" s="294">
        <v>0.65</v>
      </c>
      <c r="G56" s="295" t="s">
        <v>473</v>
      </c>
    </row>
    <row r="57" spans="2:8" ht="14.25">
      <c r="B57" s="290" t="s">
        <v>549</v>
      </c>
      <c r="C57" s="291"/>
      <c r="D57" s="292">
        <v>0.87</v>
      </c>
      <c r="E57" s="293">
        <v>0.85</v>
      </c>
      <c r="F57" s="294">
        <v>0.60000000000000009</v>
      </c>
      <c r="G57" s="295" t="s">
        <v>473</v>
      </c>
    </row>
    <row r="58" spans="2:8" ht="14.25">
      <c r="B58" s="290" t="s">
        <v>553</v>
      </c>
      <c r="C58" s="291"/>
      <c r="D58" s="292">
        <v>0.87</v>
      </c>
      <c r="E58" s="293">
        <v>1</v>
      </c>
      <c r="F58" s="294">
        <v>0.9</v>
      </c>
      <c r="G58" s="295" t="s">
        <v>473</v>
      </c>
    </row>
    <row r="59" spans="2:8" ht="14.25">
      <c r="B59" s="290" t="s">
        <v>555</v>
      </c>
      <c r="C59" s="291"/>
      <c r="D59" s="292">
        <v>0.91</v>
      </c>
      <c r="E59" s="293">
        <v>0.5</v>
      </c>
      <c r="F59" s="294">
        <v>0.15</v>
      </c>
      <c r="G59" s="295" t="s">
        <v>473</v>
      </c>
    </row>
    <row r="60" spans="2:8" ht="14.25">
      <c r="B60" s="290" t="s">
        <v>557</v>
      </c>
      <c r="C60" s="291"/>
      <c r="D60" s="292">
        <v>0.91</v>
      </c>
      <c r="E60" s="293">
        <v>0.30000000000000004</v>
      </c>
      <c r="F60" s="294">
        <v>0.05</v>
      </c>
      <c r="G60" s="295" t="s">
        <v>473</v>
      </c>
    </row>
    <row r="61" spans="2:8" ht="14.25">
      <c r="B61" s="297" t="s">
        <v>526</v>
      </c>
      <c r="C61" s="298"/>
      <c r="D61" s="299">
        <v>0.91</v>
      </c>
      <c r="E61" s="300">
        <v>0.1</v>
      </c>
      <c r="F61" s="301">
        <v>0.01</v>
      </c>
      <c r="G61" s="302" t="s">
        <v>473</v>
      </c>
    </row>
    <row r="62" spans="2:8">
      <c r="B62" s="1425"/>
      <c r="C62" s="1425"/>
      <c r="D62" s="1425"/>
      <c r="E62" s="1425"/>
      <c r="F62" s="1425"/>
      <c r="G62" s="1425"/>
    </row>
    <row r="63" spans="2:8">
      <c r="B63" s="2677" t="s">
        <v>600</v>
      </c>
      <c r="C63" s="2678"/>
      <c r="D63" s="2678"/>
      <c r="E63" s="2678"/>
      <c r="F63" s="2678"/>
      <c r="G63" s="2679"/>
    </row>
    <row r="64" spans="2:8">
      <c r="B64" s="2680"/>
      <c r="C64" s="2681"/>
      <c r="D64" s="2681"/>
      <c r="E64" s="2681"/>
      <c r="F64" s="2681"/>
      <c r="G64" s="2682"/>
    </row>
    <row r="65" spans="2:7">
      <c r="B65" s="2680"/>
      <c r="C65" s="2681"/>
      <c r="D65" s="2681"/>
      <c r="E65" s="2681"/>
      <c r="F65" s="2681"/>
      <c r="G65" s="2682"/>
    </row>
    <row r="66" spans="2:7">
      <c r="B66" s="2680"/>
      <c r="C66" s="2681"/>
      <c r="D66" s="2681"/>
      <c r="E66" s="2681"/>
      <c r="F66" s="2681"/>
      <c r="G66" s="2682"/>
    </row>
    <row r="67" spans="2:7">
      <c r="B67" s="2680"/>
      <c r="C67" s="2681"/>
      <c r="D67" s="2681"/>
      <c r="E67" s="2681"/>
      <c r="F67" s="2681"/>
      <c r="G67" s="2682"/>
    </row>
    <row r="68" spans="2:7">
      <c r="B68" s="2680"/>
      <c r="C68" s="2681"/>
      <c r="D68" s="2681"/>
      <c r="E68" s="2681"/>
      <c r="F68" s="2681"/>
      <c r="G68" s="2682"/>
    </row>
    <row r="69" spans="2:7">
      <c r="B69" s="2680"/>
      <c r="C69" s="2681"/>
      <c r="D69" s="2681"/>
      <c r="E69" s="2681"/>
      <c r="F69" s="2681"/>
      <c r="G69" s="2682"/>
    </row>
    <row r="70" spans="2:7">
      <c r="B70" s="2680"/>
      <c r="C70" s="2681"/>
      <c r="D70" s="2681"/>
      <c r="E70" s="2681"/>
      <c r="F70" s="2681"/>
      <c r="G70" s="2682"/>
    </row>
    <row r="71" spans="2:7">
      <c r="B71" s="2680"/>
      <c r="C71" s="2681"/>
      <c r="D71" s="2681"/>
      <c r="E71" s="2681"/>
      <c r="F71" s="2681"/>
      <c r="G71" s="2682"/>
    </row>
    <row r="72" spans="2:7">
      <c r="B72" s="2680"/>
      <c r="C72" s="2681"/>
      <c r="D72" s="2681"/>
      <c r="E72" s="2681"/>
      <c r="F72" s="2681"/>
      <c r="G72" s="2682"/>
    </row>
    <row r="73" spans="2:7">
      <c r="B73" s="2680"/>
      <c r="C73" s="2681"/>
      <c r="D73" s="2681"/>
      <c r="E73" s="2681"/>
      <c r="F73" s="2681"/>
      <c r="G73" s="2682"/>
    </row>
    <row r="74" spans="2:7">
      <c r="B74" s="2680"/>
      <c r="C74" s="2681"/>
      <c r="D74" s="2681"/>
      <c r="E74" s="2681"/>
      <c r="F74" s="2681"/>
      <c r="G74" s="2682"/>
    </row>
    <row r="75" spans="2:7">
      <c r="B75" s="2683"/>
      <c r="C75" s="2684"/>
      <c r="D75" s="2684"/>
      <c r="E75" s="2684"/>
      <c r="F75" s="2684"/>
      <c r="G75" s="2685"/>
    </row>
    <row r="76" spans="2:7" ht="21" customHeight="1"/>
    <row r="77" spans="2:7" ht="21" customHeight="1"/>
    <row r="78" spans="2:7" ht="21" customHeight="1"/>
    <row r="79" spans="2:7" ht="21" customHeight="1"/>
    <row r="80" spans="2:7" ht="21" customHeight="1"/>
    <row r="81" spans="2:2" ht="21" customHeight="1"/>
    <row r="82" spans="2:2" ht="21" customHeight="1"/>
    <row r="83" spans="2:2" ht="21" customHeight="1"/>
    <row r="84" spans="2:2" ht="21" customHeight="1"/>
    <row r="85" spans="2:2" ht="21" customHeight="1">
      <c r="B85" s="15"/>
    </row>
    <row r="86" spans="2:2" ht="21" customHeight="1"/>
  </sheetData>
  <mergeCells count="44">
    <mergeCell ref="B2:I2"/>
    <mergeCell ref="B14:C14"/>
    <mergeCell ref="B3:I5"/>
    <mergeCell ref="J3:J5"/>
    <mergeCell ref="B6:C7"/>
    <mergeCell ref="D6:D7"/>
    <mergeCell ref="E7:I7"/>
    <mergeCell ref="B8:I8"/>
    <mergeCell ref="B9:I9"/>
    <mergeCell ref="B10:C10"/>
    <mergeCell ref="B11:C11"/>
    <mergeCell ref="B12:C12"/>
    <mergeCell ref="B13:C13"/>
    <mergeCell ref="B26:C26"/>
    <mergeCell ref="B15:C15"/>
    <mergeCell ref="B16:I16"/>
    <mergeCell ref="B17:C17"/>
    <mergeCell ref="B18:I18"/>
    <mergeCell ref="B19:C19"/>
    <mergeCell ref="B20:I20"/>
    <mergeCell ref="B21:C21"/>
    <mergeCell ref="B22:I22"/>
    <mergeCell ref="B23:C23"/>
    <mergeCell ref="B24:I24"/>
    <mergeCell ref="B25:I25"/>
    <mergeCell ref="B38:I38"/>
    <mergeCell ref="B27:C27"/>
    <mergeCell ref="B28:C28"/>
    <mergeCell ref="B29:C29"/>
    <mergeCell ref="B30:I30"/>
    <mergeCell ref="B31:C31"/>
    <mergeCell ref="B32:C32"/>
    <mergeCell ref="B33:C33"/>
    <mergeCell ref="B34:I34"/>
    <mergeCell ref="B35:I35"/>
    <mergeCell ref="B36:C36"/>
    <mergeCell ref="B37:C37"/>
    <mergeCell ref="B63:G75"/>
    <mergeCell ref="B39:C39"/>
    <mergeCell ref="B40:I40"/>
    <mergeCell ref="B41:C41"/>
    <mergeCell ref="B53:G53"/>
    <mergeCell ref="B54:C54"/>
    <mergeCell ref="H54:H55"/>
  </mergeCells>
  <hyperlinks>
    <hyperlink ref="J3:J5" location="Hofdung!A1" display="zurück"/>
    <hyperlink ref="H54:H55" location="Hofdung!A1" display="zurück"/>
  </hyperlink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2"/>
  </sheetPr>
  <dimension ref="B1:H91"/>
  <sheetViews>
    <sheetView workbookViewId="0">
      <selection activeCell="H3" sqref="H3:H4"/>
    </sheetView>
  </sheetViews>
  <sheetFormatPr baseColWidth="10" defaultRowHeight="12.75"/>
  <cols>
    <col min="1" max="1" width="3.140625" style="747" customWidth="1"/>
    <col min="2" max="11" width="11.42578125" style="747"/>
    <col min="12" max="13" width="11.42578125" style="747" customWidth="1"/>
    <col min="14" max="16384" width="11.42578125" style="747"/>
  </cols>
  <sheetData>
    <row r="1" spans="2:8" ht="13.5" thickBot="1"/>
    <row r="2" spans="2:8" ht="21" customHeight="1" thickBot="1">
      <c r="B2" s="2693" t="s">
        <v>1217</v>
      </c>
      <c r="C2" s="2694"/>
      <c r="D2" s="2694"/>
      <c r="E2" s="2694"/>
      <c r="F2" s="2694"/>
      <c r="G2" s="2695"/>
    </row>
    <row r="3" spans="2:8" ht="25.5">
      <c r="B3" s="2442" t="s">
        <v>577</v>
      </c>
      <c r="C3" s="2442"/>
      <c r="D3" s="285" t="s">
        <v>578</v>
      </c>
      <c r="E3" s="286" t="s">
        <v>579</v>
      </c>
      <c r="F3" s="287" t="s">
        <v>580</v>
      </c>
      <c r="G3" s="288" t="s">
        <v>581</v>
      </c>
      <c r="H3" s="2398" t="s">
        <v>1219</v>
      </c>
    </row>
    <row r="4" spans="2:8" ht="15" thickBot="1">
      <c r="B4" s="290" t="s">
        <v>547</v>
      </c>
      <c r="C4" s="291"/>
      <c r="D4" s="292">
        <v>0.87</v>
      </c>
      <c r="E4" s="293">
        <v>0.7</v>
      </c>
      <c r="F4" s="294">
        <v>0.5</v>
      </c>
      <c r="G4" s="295" t="s">
        <v>473</v>
      </c>
      <c r="H4" s="2400"/>
    </row>
    <row r="5" spans="2:8" ht="14.25">
      <c r="B5" s="296" t="s">
        <v>584</v>
      </c>
      <c r="C5" s="291"/>
      <c r="D5" s="292">
        <v>0.87</v>
      </c>
      <c r="E5" s="293">
        <v>0.8</v>
      </c>
      <c r="F5" s="294">
        <v>0.65</v>
      </c>
      <c r="G5" s="295" t="s">
        <v>473</v>
      </c>
    </row>
    <row r="6" spans="2:8" ht="14.25">
      <c r="B6" s="290" t="s">
        <v>549</v>
      </c>
      <c r="C6" s="291"/>
      <c r="D6" s="292">
        <v>0.87</v>
      </c>
      <c r="E6" s="293">
        <v>0.85</v>
      </c>
      <c r="F6" s="294">
        <v>0.60000000000000009</v>
      </c>
      <c r="G6" s="295" t="s">
        <v>473</v>
      </c>
    </row>
    <row r="7" spans="2:8" ht="14.25">
      <c r="B7" s="290" t="s">
        <v>553</v>
      </c>
      <c r="C7" s="291"/>
      <c r="D7" s="292">
        <v>0.87</v>
      </c>
      <c r="E7" s="293">
        <v>1</v>
      </c>
      <c r="F7" s="294">
        <v>0.9</v>
      </c>
      <c r="G7" s="295" t="s">
        <v>473</v>
      </c>
    </row>
    <row r="8" spans="2:8" ht="15" customHeight="1">
      <c r="B8" s="290" t="s">
        <v>555</v>
      </c>
      <c r="C8" s="291"/>
      <c r="D8" s="292">
        <v>0.91</v>
      </c>
      <c r="E8" s="293">
        <v>0.5</v>
      </c>
      <c r="F8" s="294">
        <v>0.15</v>
      </c>
      <c r="G8" s="295" t="s">
        <v>473</v>
      </c>
    </row>
    <row r="9" spans="2:8" ht="15" customHeight="1">
      <c r="B9" s="290" t="s">
        <v>557</v>
      </c>
      <c r="C9" s="291"/>
      <c r="D9" s="292">
        <v>0.91</v>
      </c>
      <c r="E9" s="293">
        <v>0.30000000000000004</v>
      </c>
      <c r="F9" s="294">
        <v>0.05</v>
      </c>
      <c r="G9" s="295" t="s">
        <v>473</v>
      </c>
    </row>
    <row r="10" spans="2:8" ht="15" customHeight="1">
      <c r="B10" s="297" t="s">
        <v>526</v>
      </c>
      <c r="C10" s="298"/>
      <c r="D10" s="299">
        <v>0.91</v>
      </c>
      <c r="E10" s="300">
        <v>0.1</v>
      </c>
      <c r="F10" s="301">
        <v>0.01</v>
      </c>
      <c r="G10" s="302" t="s">
        <v>473</v>
      </c>
    </row>
    <row r="11" spans="2:8" ht="15" customHeight="1">
      <c r="B11" s="1425"/>
      <c r="C11" s="1425"/>
      <c r="D11" s="1425"/>
      <c r="E11" s="1425"/>
      <c r="F11" s="1425"/>
      <c r="G11" s="1425"/>
    </row>
    <row r="12" spans="2:8" ht="15" customHeight="1">
      <c r="B12" s="2677" t="s">
        <v>600</v>
      </c>
      <c r="C12" s="2678"/>
      <c r="D12" s="2678"/>
      <c r="E12" s="2678"/>
      <c r="F12" s="2678"/>
      <c r="G12" s="2679"/>
    </row>
    <row r="13" spans="2:8" ht="15" customHeight="1">
      <c r="B13" s="2680"/>
      <c r="C13" s="2681"/>
      <c r="D13" s="2681"/>
      <c r="E13" s="2681"/>
      <c r="F13" s="2681"/>
      <c r="G13" s="2682"/>
    </row>
    <row r="14" spans="2:8" ht="15" customHeight="1">
      <c r="B14" s="2680"/>
      <c r="C14" s="2681"/>
      <c r="D14" s="2681"/>
      <c r="E14" s="2681"/>
      <c r="F14" s="2681"/>
      <c r="G14" s="2682"/>
    </row>
    <row r="15" spans="2:8" ht="15" customHeight="1">
      <c r="B15" s="2680"/>
      <c r="C15" s="2681"/>
      <c r="D15" s="2681"/>
      <c r="E15" s="2681"/>
      <c r="F15" s="2681"/>
      <c r="G15" s="2682"/>
    </row>
    <row r="16" spans="2:8" ht="15" customHeight="1">
      <c r="B16" s="2680"/>
      <c r="C16" s="2681"/>
      <c r="D16" s="2681"/>
      <c r="E16" s="2681"/>
      <c r="F16" s="2681"/>
      <c r="G16" s="2682"/>
    </row>
    <row r="17" spans="2:7" ht="15" customHeight="1">
      <c r="B17" s="2680"/>
      <c r="C17" s="2681"/>
      <c r="D17" s="2681"/>
      <c r="E17" s="2681"/>
      <c r="F17" s="2681"/>
      <c r="G17" s="2682"/>
    </row>
    <row r="18" spans="2:7" ht="15" customHeight="1">
      <c r="B18" s="2680"/>
      <c r="C18" s="2681"/>
      <c r="D18" s="2681"/>
      <c r="E18" s="2681"/>
      <c r="F18" s="2681"/>
      <c r="G18" s="2682"/>
    </row>
    <row r="19" spans="2:7" ht="15" customHeight="1">
      <c r="B19" s="2680"/>
      <c r="C19" s="2681"/>
      <c r="D19" s="2681"/>
      <c r="E19" s="2681"/>
      <c r="F19" s="2681"/>
      <c r="G19" s="2682"/>
    </row>
    <row r="20" spans="2:7" ht="15" customHeight="1">
      <c r="B20" s="2680"/>
      <c r="C20" s="2681"/>
      <c r="D20" s="2681"/>
      <c r="E20" s="2681"/>
      <c r="F20" s="2681"/>
      <c r="G20" s="2682"/>
    </row>
    <row r="21" spans="2:7" ht="15" customHeight="1">
      <c r="B21" s="2680"/>
      <c r="C21" s="2681"/>
      <c r="D21" s="2681"/>
      <c r="E21" s="2681"/>
      <c r="F21" s="2681"/>
      <c r="G21" s="2682"/>
    </row>
    <row r="22" spans="2:7" ht="15" customHeight="1">
      <c r="B22" s="2680"/>
      <c r="C22" s="2681"/>
      <c r="D22" s="2681"/>
      <c r="E22" s="2681"/>
      <c r="F22" s="2681"/>
      <c r="G22" s="2682"/>
    </row>
    <row r="23" spans="2:7" ht="15" customHeight="1">
      <c r="B23" s="2680"/>
      <c r="C23" s="2681"/>
      <c r="D23" s="2681"/>
      <c r="E23" s="2681"/>
      <c r="F23" s="2681"/>
      <c r="G23" s="2682"/>
    </row>
    <row r="24" spans="2:7" ht="15" customHeight="1">
      <c r="B24" s="2683"/>
      <c r="C24" s="2684"/>
      <c r="D24" s="2684"/>
      <c r="E24" s="2684"/>
      <c r="F24" s="2684"/>
      <c r="G24" s="2685"/>
    </row>
    <row r="25" spans="2:7" ht="15" customHeight="1"/>
    <row r="26" spans="2:7" ht="15" customHeight="1"/>
    <row r="27" spans="2:7" ht="15" customHeight="1"/>
    <row r="28" spans="2:7" ht="15" customHeight="1"/>
    <row r="29" spans="2:7" ht="15" customHeight="1"/>
    <row r="30" spans="2:7" ht="15" customHeight="1"/>
    <row r="31" spans="2:7" ht="15" customHeight="1"/>
    <row r="32" spans="2:7" ht="15" customHeight="1"/>
    <row r="33" spans="2:2" ht="15" customHeight="1"/>
    <row r="34" spans="2:2" ht="15" customHeight="1">
      <c r="B34" s="15"/>
    </row>
    <row r="35" spans="2:2" ht="15" customHeight="1"/>
    <row r="36" spans="2:2" ht="21" customHeight="1"/>
    <row r="37" spans="2:2" ht="21" customHeight="1"/>
    <row r="38" spans="2:2" ht="21" customHeight="1"/>
    <row r="39" spans="2:2" ht="21" customHeight="1"/>
    <row r="40" spans="2:2" ht="21" customHeight="1"/>
    <row r="41" spans="2:2" ht="23.25" customHeight="1"/>
    <row r="42" spans="2:2" ht="12.75" customHeight="1"/>
    <row r="45" spans="2:2" ht="24" customHeight="1"/>
    <row r="46" spans="2:2" ht="12.75" customHeight="1"/>
    <row r="48" spans="2:2" ht="12.75" customHeight="1"/>
    <row r="55" ht="12.75" customHeight="1"/>
    <row r="59" ht="12.75" customHeight="1"/>
    <row r="63" ht="12.75" customHeight="1"/>
    <row r="69" ht="12.75" customHeight="1"/>
    <row r="74" ht="12.75" customHeight="1"/>
    <row r="77" ht="12.75"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sheetData>
  <mergeCells count="4">
    <mergeCell ref="B12:G24"/>
    <mergeCell ref="B2:G2"/>
    <mergeCell ref="B3:C3"/>
    <mergeCell ref="H3:H4"/>
  </mergeCells>
  <hyperlinks>
    <hyperlink ref="H3:H4" location="Hofdung!A1" display="zurück"/>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DH222"/>
  <sheetViews>
    <sheetView zoomScale="80" zoomScaleNormal="80" workbookViewId="0">
      <selection activeCell="AN87" sqref="AN87"/>
    </sheetView>
  </sheetViews>
  <sheetFormatPr baseColWidth="10" defaultColWidth="5.7109375" defaultRowHeight="12.75"/>
  <cols>
    <col min="1" max="1" width="4.85546875" style="15" customWidth="1"/>
    <col min="2" max="2" width="10.140625" customWidth="1"/>
    <col min="3" max="3" width="26.5703125" customWidth="1"/>
    <col min="4" max="8" width="7.7109375" style="15" customWidth="1"/>
    <col min="9" max="10" width="8.5703125" style="15" customWidth="1"/>
    <col min="11" max="11" width="10.42578125" style="15" customWidth="1"/>
    <col min="12" max="14" width="8.5703125" style="15" customWidth="1"/>
    <col min="15" max="15" width="8.85546875" style="15" customWidth="1"/>
    <col min="16" max="16" width="8.5703125" style="15" customWidth="1"/>
    <col min="17" max="17" width="10.42578125" style="15" customWidth="1"/>
    <col min="18" max="19" width="8.5703125" style="15" customWidth="1"/>
    <col min="20" max="20" width="9.85546875" style="15" customWidth="1"/>
    <col min="21" max="31" width="8.5703125" style="15" customWidth="1"/>
    <col min="32" max="32" width="9.28515625" style="15" customWidth="1"/>
    <col min="33" max="33" width="8.85546875" style="15" customWidth="1"/>
    <col min="34" max="34" width="8.5703125" style="15" customWidth="1"/>
    <col min="35" max="35" width="43.85546875" style="15" customWidth="1"/>
    <col min="36" max="36" width="8" style="16" customWidth="1"/>
    <col min="37" max="38" width="8" style="15" customWidth="1"/>
    <col min="39" max="39" width="13.42578125" style="15" customWidth="1"/>
    <col min="40" max="40" width="14.85546875" style="15" customWidth="1"/>
    <col min="41" max="41" width="5.7109375" customWidth="1"/>
    <col min="42" max="42" width="45.7109375" customWidth="1"/>
    <col min="43" max="44" width="10.5703125" customWidth="1"/>
    <col min="45" max="49" width="9.42578125" style="15" customWidth="1"/>
    <col min="50" max="50" width="10.140625" style="15" customWidth="1"/>
    <col min="51" max="51" width="8.85546875" style="15" customWidth="1"/>
    <col min="52" max="52" width="10.140625" style="15" customWidth="1"/>
    <col min="53" max="53" width="8.85546875" style="15" customWidth="1"/>
    <col min="54" max="54" width="12" style="15" customWidth="1"/>
    <col min="55" max="55" width="11.28515625" style="15" customWidth="1"/>
    <col min="56" max="56" width="9.85546875" style="15" customWidth="1"/>
    <col min="57" max="67" width="8.85546875" style="15" customWidth="1"/>
    <col min="68" max="71" width="7" style="15" customWidth="1"/>
    <col min="72" max="72" width="8.85546875" style="15" customWidth="1"/>
    <col min="73" max="73" width="7.42578125" style="15" customWidth="1"/>
    <col min="74" max="78" width="7.7109375" style="15" customWidth="1"/>
    <col min="79" max="79" width="8.85546875" style="15" customWidth="1"/>
    <col min="80" max="80" width="8.7109375" customWidth="1"/>
    <col min="81" max="84" width="8.140625" customWidth="1"/>
    <col min="85" max="85" width="7.7109375" customWidth="1"/>
    <col min="86" max="95" width="8.140625" customWidth="1"/>
    <col min="96" max="105" width="5.7109375" customWidth="1"/>
    <col min="106" max="107" width="8" customWidth="1"/>
    <col min="108" max="108" width="21.28515625" customWidth="1"/>
    <col min="109" max="109" width="7.7109375" customWidth="1"/>
    <col min="110" max="110" width="8.85546875" customWidth="1"/>
    <col min="111" max="111" width="7.7109375" customWidth="1"/>
    <col min="112" max="112" width="39.42578125" customWidth="1"/>
  </cols>
  <sheetData>
    <row r="1" spans="1:112" ht="18.75" thickBot="1">
      <c r="A1"/>
      <c r="B1" s="367" t="s">
        <v>129</v>
      </c>
      <c r="C1" s="368"/>
      <c r="D1" s="369"/>
      <c r="E1" s="369"/>
      <c r="F1" s="369"/>
      <c r="G1" s="369"/>
      <c r="H1" s="369"/>
      <c r="I1" s="370"/>
      <c r="J1" s="370"/>
      <c r="K1" s="370"/>
      <c r="L1" s="370"/>
      <c r="M1" s="370"/>
      <c r="N1" s="371"/>
      <c r="O1" s="371"/>
      <c r="P1" s="371"/>
      <c r="Q1" s="371"/>
      <c r="R1" s="371"/>
      <c r="S1" s="371"/>
      <c r="T1" s="371"/>
      <c r="U1" s="371"/>
      <c r="V1" s="371"/>
      <c r="W1" s="371"/>
      <c r="X1" s="371"/>
      <c r="Y1" s="371"/>
      <c r="Z1" s="371"/>
      <c r="AA1" s="371"/>
      <c r="AB1" s="371"/>
      <c r="AC1" s="371"/>
      <c r="AD1" s="371"/>
      <c r="AE1" s="371"/>
      <c r="AF1" s="371"/>
      <c r="AG1" s="371"/>
      <c r="AH1" s="371"/>
      <c r="AI1" s="372"/>
      <c r="AJ1" s="372">
        <v>35</v>
      </c>
      <c r="AK1" s="371">
        <v>36</v>
      </c>
      <c r="AL1" s="342"/>
      <c r="AM1" s="342"/>
      <c r="AN1"/>
      <c r="AP1" s="18"/>
      <c r="AQ1" s="18"/>
      <c r="AR1" s="18"/>
      <c r="AS1"/>
      <c r="AT1"/>
      <c r="AU1"/>
      <c r="AV1"/>
      <c r="AW1"/>
      <c r="AX1"/>
      <c r="AY1"/>
      <c r="AZ1"/>
      <c r="BA1"/>
      <c r="BB1" s="18" t="s">
        <v>130</v>
      </c>
      <c r="BC1"/>
      <c r="BD1"/>
      <c r="BE1"/>
      <c r="BF1"/>
      <c r="BG1"/>
      <c r="BH1"/>
      <c r="BI1"/>
      <c r="BJ1"/>
      <c r="BK1"/>
      <c r="BL1"/>
      <c r="BM1"/>
      <c r="BN1"/>
      <c r="BO1"/>
      <c r="BP1"/>
      <c r="BQ1"/>
      <c r="BR1"/>
      <c r="BS1"/>
      <c r="BT1"/>
      <c r="BU1"/>
      <c r="BV1"/>
      <c r="BW1"/>
      <c r="BX1"/>
      <c r="BY1"/>
      <c r="BZ1"/>
      <c r="CA1"/>
    </row>
    <row r="2" spans="1:112" ht="16.5" customHeight="1" thickBot="1">
      <c r="A2"/>
      <c r="B2" s="375"/>
      <c r="C2" s="376" t="s">
        <v>131</v>
      </c>
      <c r="D2" s="2422" t="s">
        <v>132</v>
      </c>
      <c r="E2" s="2422"/>
      <c r="F2" s="2422"/>
      <c r="G2" s="2422"/>
      <c r="H2" s="2422"/>
      <c r="I2" s="2423" t="s">
        <v>133</v>
      </c>
      <c r="J2" s="2423"/>
      <c r="K2" s="2423"/>
      <c r="L2" s="377"/>
      <c r="M2" s="378" t="s">
        <v>134</v>
      </c>
      <c r="N2" s="379" t="s">
        <v>135</v>
      </c>
      <c r="O2" s="380"/>
      <c r="P2" s="381"/>
      <c r="Q2" s="382"/>
      <c r="R2" s="383"/>
      <c r="S2" s="384" t="s">
        <v>136</v>
      </c>
      <c r="T2" s="385"/>
      <c r="U2" s="386"/>
      <c r="V2" s="382"/>
      <c r="W2" s="382"/>
      <c r="X2" s="387" t="s">
        <v>137</v>
      </c>
      <c r="Y2" s="388"/>
      <c r="Z2" s="388"/>
      <c r="AA2" s="389"/>
      <c r="AB2" s="390" t="s">
        <v>138</v>
      </c>
      <c r="AC2" s="388"/>
      <c r="AD2" s="388"/>
      <c r="AE2" s="389"/>
      <c r="AF2" s="391" t="s">
        <v>139</v>
      </c>
      <c r="AG2" s="388"/>
      <c r="AH2" s="389"/>
      <c r="AI2" s="392" t="s">
        <v>131</v>
      </c>
      <c r="AJ2" s="2424" t="s">
        <v>140</v>
      </c>
      <c r="AK2" s="2425" t="s">
        <v>141</v>
      </c>
      <c r="AL2" s="3" t="s">
        <v>796</v>
      </c>
      <c r="AM2" s="535"/>
      <c r="AN2"/>
      <c r="AP2" s="679"/>
      <c r="AQ2" s="679" t="s">
        <v>142</v>
      </c>
      <c r="AR2" s="680">
        <v>15</v>
      </c>
      <c r="AS2" s="681">
        <v>3</v>
      </c>
      <c r="AT2" s="682">
        <v>4</v>
      </c>
      <c r="AU2" s="682">
        <v>5</v>
      </c>
      <c r="AV2" s="682">
        <v>6</v>
      </c>
      <c r="AW2" s="683">
        <v>7</v>
      </c>
      <c r="AX2" s="684"/>
      <c r="AY2" s="685">
        <v>8</v>
      </c>
      <c r="AZ2" s="682">
        <v>9</v>
      </c>
      <c r="BA2" s="683">
        <v>10</v>
      </c>
      <c r="BB2" s="684">
        <v>11</v>
      </c>
      <c r="BC2" s="684">
        <v>12</v>
      </c>
      <c r="BD2" s="685">
        <v>13</v>
      </c>
      <c r="BE2" s="682">
        <v>14</v>
      </c>
      <c r="BF2" s="682">
        <v>15</v>
      </c>
      <c r="BG2" s="682">
        <v>16</v>
      </c>
      <c r="BH2" s="683">
        <v>17</v>
      </c>
      <c r="BI2" s="684"/>
      <c r="BJ2" s="685">
        <v>18</v>
      </c>
      <c r="BK2" s="682">
        <v>19</v>
      </c>
      <c r="BL2" s="682">
        <v>20</v>
      </c>
      <c r="BM2" s="682">
        <v>21</v>
      </c>
      <c r="BN2" s="683">
        <v>22</v>
      </c>
      <c r="BO2" s="686"/>
      <c r="BP2" s="687" t="s">
        <v>143</v>
      </c>
      <c r="BQ2" s="688"/>
      <c r="BR2" s="688"/>
      <c r="BS2" s="688"/>
      <c r="BT2" s="689"/>
      <c r="BU2" s="689"/>
      <c r="BV2" s="479"/>
      <c r="BW2" s="479"/>
      <c r="BX2" s="479"/>
      <c r="BY2" s="479"/>
      <c r="BZ2" s="479"/>
      <c r="CA2" s="479"/>
      <c r="CB2" s="479"/>
      <c r="CC2" s="479"/>
      <c r="CD2" s="479"/>
      <c r="CE2" s="479"/>
      <c r="CF2" s="479"/>
      <c r="CG2" s="479"/>
      <c r="CH2" s="690" t="s">
        <v>144</v>
      </c>
      <c r="CI2" s="691"/>
      <c r="CJ2" s="691"/>
      <c r="CK2" s="691"/>
      <c r="CL2" s="691"/>
      <c r="CM2" s="691"/>
      <c r="CN2" s="691"/>
      <c r="CO2" s="691"/>
      <c r="CP2" s="691"/>
      <c r="CQ2" s="692"/>
      <c r="CR2" s="690" t="s">
        <v>145</v>
      </c>
      <c r="CS2" s="693"/>
      <c r="CT2" s="693"/>
      <c r="CU2" s="693"/>
      <c r="CV2" s="693"/>
      <c r="CW2" s="693"/>
      <c r="CX2" s="693"/>
      <c r="CY2" s="693"/>
      <c r="CZ2" s="693"/>
      <c r="DA2" s="694"/>
      <c r="DB2" s="479"/>
      <c r="DC2" s="479"/>
      <c r="DD2" s="479"/>
      <c r="DE2" s="479"/>
      <c r="DF2" s="479"/>
      <c r="DG2" s="479"/>
    </row>
    <row r="3" spans="1:112" ht="15.75" customHeight="1" thickBot="1">
      <c r="A3"/>
      <c r="B3" s="375"/>
      <c r="C3" s="376"/>
      <c r="D3" s="393" t="s">
        <v>146</v>
      </c>
      <c r="E3" s="394" t="s">
        <v>147</v>
      </c>
      <c r="F3" s="394" t="s">
        <v>148</v>
      </c>
      <c r="G3" s="394" t="s">
        <v>90</v>
      </c>
      <c r="H3" s="395" t="s">
        <v>91</v>
      </c>
      <c r="I3" s="396" t="s">
        <v>89</v>
      </c>
      <c r="J3" s="397" t="s">
        <v>90</v>
      </c>
      <c r="K3" s="398" t="s">
        <v>91</v>
      </c>
      <c r="L3" s="399" t="s">
        <v>88</v>
      </c>
      <c r="M3" s="400" t="s">
        <v>149</v>
      </c>
      <c r="N3" s="401" t="s">
        <v>146</v>
      </c>
      <c r="O3" s="402" t="s">
        <v>147</v>
      </c>
      <c r="P3" s="402" t="s">
        <v>148</v>
      </c>
      <c r="Q3" s="403" t="s">
        <v>90</v>
      </c>
      <c r="R3" s="404" t="s">
        <v>91</v>
      </c>
      <c r="S3" s="405" t="s">
        <v>146</v>
      </c>
      <c r="T3" s="406" t="s">
        <v>147</v>
      </c>
      <c r="U3" s="406" t="s">
        <v>148</v>
      </c>
      <c r="V3" s="407" t="s">
        <v>90</v>
      </c>
      <c r="W3" s="408" t="s">
        <v>91</v>
      </c>
      <c r="X3" s="409" t="s">
        <v>147</v>
      </c>
      <c r="Y3" s="403" t="s">
        <v>148</v>
      </c>
      <c r="Z3" s="403" t="s">
        <v>90</v>
      </c>
      <c r="AA3" s="404" t="s">
        <v>91</v>
      </c>
      <c r="AB3" s="409" t="s">
        <v>147</v>
      </c>
      <c r="AC3" s="403" t="s">
        <v>148</v>
      </c>
      <c r="AD3" s="403" t="s">
        <v>90</v>
      </c>
      <c r="AE3" s="404" t="s">
        <v>91</v>
      </c>
      <c r="AF3" s="410" t="s">
        <v>89</v>
      </c>
      <c r="AG3" s="403" t="s">
        <v>90</v>
      </c>
      <c r="AH3" s="404" t="s">
        <v>91</v>
      </c>
      <c r="AI3" s="392"/>
      <c r="AJ3" s="2424"/>
      <c r="AK3" s="2425"/>
      <c r="AL3" s="3" t="s">
        <v>797</v>
      </c>
      <c r="AM3" s="535"/>
      <c r="AN3"/>
      <c r="AP3" s="679"/>
      <c r="AQ3" s="679"/>
      <c r="AR3" s="2419" t="s">
        <v>150</v>
      </c>
      <c r="AS3" s="2419" t="s">
        <v>151</v>
      </c>
      <c r="AT3" s="2419"/>
      <c r="AU3" s="2419"/>
      <c r="AV3" s="2419"/>
      <c r="AW3" s="2419"/>
      <c r="AX3" s="695" t="s">
        <v>152</v>
      </c>
      <c r="AY3" s="2419" t="s">
        <v>153</v>
      </c>
      <c r="AZ3" s="2419"/>
      <c r="BA3" s="2419"/>
      <c r="BB3" s="696" t="s">
        <v>154</v>
      </c>
      <c r="BC3" s="2419" t="s">
        <v>150</v>
      </c>
      <c r="BD3" s="2419" t="s">
        <v>155</v>
      </c>
      <c r="BE3" s="2419"/>
      <c r="BF3" s="2419"/>
      <c r="BG3" s="2419"/>
      <c r="BH3" s="2419"/>
      <c r="BI3" s="695" t="s">
        <v>156</v>
      </c>
      <c r="BJ3" s="2419" t="s">
        <v>157</v>
      </c>
      <c r="BK3" s="2419"/>
      <c r="BL3" s="2419"/>
      <c r="BM3" s="2419"/>
      <c r="BN3" s="2419"/>
      <c r="BO3" s="697" t="s">
        <v>158</v>
      </c>
      <c r="BP3" s="2419" t="s">
        <v>159</v>
      </c>
      <c r="BQ3" s="2419" t="s">
        <v>160</v>
      </c>
      <c r="BR3" s="2419" t="s">
        <v>159</v>
      </c>
      <c r="BS3" s="2419" t="s">
        <v>161</v>
      </c>
      <c r="BT3" s="2419" t="s">
        <v>162</v>
      </c>
      <c r="BU3" s="2419"/>
      <c r="BV3" s="2419" t="s">
        <v>163</v>
      </c>
      <c r="BW3" s="2419"/>
      <c r="BX3" s="2419"/>
      <c r="BY3" s="2419"/>
      <c r="BZ3" s="2419"/>
      <c r="CA3" s="695" t="s">
        <v>164</v>
      </c>
      <c r="CB3" s="2419" t="s">
        <v>165</v>
      </c>
      <c r="CC3" s="2419"/>
      <c r="CD3" s="2419"/>
      <c r="CE3" s="2419"/>
      <c r="CF3" s="2419"/>
      <c r="CG3" s="695" t="s">
        <v>164</v>
      </c>
      <c r="CH3" s="2419" t="s">
        <v>166</v>
      </c>
      <c r="CI3" s="2419"/>
      <c r="CJ3" s="2419"/>
      <c r="CK3" s="2419"/>
      <c r="CL3" s="2419"/>
      <c r="CM3" s="2419" t="s">
        <v>167</v>
      </c>
      <c r="CN3" s="2419"/>
      <c r="CO3" s="2419"/>
      <c r="CP3" s="2419"/>
      <c r="CQ3" s="2419"/>
      <c r="CR3" s="2419" t="s">
        <v>168</v>
      </c>
      <c r="CS3" s="2419"/>
      <c r="CT3" s="2419"/>
      <c r="CU3" s="2419"/>
      <c r="CV3" s="2419"/>
      <c r="CW3" s="2419" t="s">
        <v>167</v>
      </c>
      <c r="CX3" s="2419"/>
      <c r="CY3" s="2419"/>
      <c r="CZ3" s="2419"/>
      <c r="DA3" s="2419"/>
      <c r="DB3" s="698" t="s">
        <v>83</v>
      </c>
      <c r="DC3" s="2419" t="s">
        <v>169</v>
      </c>
      <c r="DD3" s="699" t="s">
        <v>170</v>
      </c>
      <c r="DE3" s="700"/>
      <c r="DF3" s="701" t="s">
        <v>171</v>
      </c>
      <c r="DG3" s="702"/>
    </row>
    <row r="4" spans="1:112" ht="29.25" thickBot="1">
      <c r="A4" s="15">
        <v>0</v>
      </c>
      <c r="B4" s="411">
        <v>0</v>
      </c>
      <c r="C4" s="412">
        <v>0</v>
      </c>
      <c r="D4" s="413">
        <v>0</v>
      </c>
      <c r="E4" s="414">
        <v>0</v>
      </c>
      <c r="F4" s="414">
        <v>0</v>
      </c>
      <c r="G4" s="414">
        <v>0</v>
      </c>
      <c r="H4" s="414">
        <v>0</v>
      </c>
      <c r="I4" s="414">
        <v>0</v>
      </c>
      <c r="J4" s="414">
        <v>0</v>
      </c>
      <c r="K4" s="414">
        <v>0</v>
      </c>
      <c r="L4" s="414">
        <v>0</v>
      </c>
      <c r="M4" s="414">
        <v>0</v>
      </c>
      <c r="N4" s="415">
        <v>0</v>
      </c>
      <c r="O4" s="415">
        <v>0</v>
      </c>
      <c r="P4" s="415">
        <v>0</v>
      </c>
      <c r="Q4" s="415">
        <v>0</v>
      </c>
      <c r="R4" s="415">
        <v>0</v>
      </c>
      <c r="S4" s="414">
        <v>0</v>
      </c>
      <c r="T4" s="414">
        <v>0</v>
      </c>
      <c r="U4" s="414">
        <v>0</v>
      </c>
      <c r="V4" s="414">
        <v>0</v>
      </c>
      <c r="W4" s="414">
        <v>0</v>
      </c>
      <c r="X4" s="416"/>
      <c r="Y4" s="417"/>
      <c r="Z4" s="417"/>
      <c r="AA4" s="417"/>
      <c r="AB4" s="417"/>
      <c r="AC4" s="417"/>
      <c r="AD4" s="417"/>
      <c r="AE4" s="418"/>
      <c r="AF4" s="414">
        <v>0</v>
      </c>
      <c r="AG4" s="414">
        <v>0</v>
      </c>
      <c r="AH4" s="414">
        <v>0</v>
      </c>
      <c r="AI4" s="419" t="s">
        <v>131</v>
      </c>
      <c r="AJ4" s="2420"/>
      <c r="AK4" s="2420"/>
      <c r="AL4" s="3"/>
      <c r="AM4" s="535"/>
      <c r="AN4" s="1117" t="s">
        <v>172</v>
      </c>
      <c r="AP4" s="679"/>
      <c r="AQ4" s="679" t="s">
        <v>173</v>
      </c>
      <c r="AR4" s="2419"/>
      <c r="AS4" s="703" t="s">
        <v>146</v>
      </c>
      <c r="AT4" s="679" t="s">
        <v>147</v>
      </c>
      <c r="AU4" s="679" t="s">
        <v>148</v>
      </c>
      <c r="AV4" s="679" t="s">
        <v>90</v>
      </c>
      <c r="AW4" s="704" t="s">
        <v>91</v>
      </c>
      <c r="AX4" s="705" t="s">
        <v>174</v>
      </c>
      <c r="AY4" s="706" t="s">
        <v>89</v>
      </c>
      <c r="AZ4" s="679" t="s">
        <v>90</v>
      </c>
      <c r="BA4" s="704" t="s">
        <v>91</v>
      </c>
      <c r="BB4" s="707" t="s">
        <v>88</v>
      </c>
      <c r="BC4" s="2419"/>
      <c r="BD4" s="706" t="s">
        <v>146</v>
      </c>
      <c r="BE4" s="679" t="s">
        <v>147</v>
      </c>
      <c r="BF4" s="679" t="s">
        <v>148</v>
      </c>
      <c r="BG4" s="679" t="s">
        <v>90</v>
      </c>
      <c r="BH4" s="704" t="s">
        <v>91</v>
      </c>
      <c r="BI4" s="705" t="s">
        <v>174</v>
      </c>
      <c r="BJ4" s="706" t="s">
        <v>146</v>
      </c>
      <c r="BK4" s="679" t="s">
        <v>147</v>
      </c>
      <c r="BL4" s="679" t="s">
        <v>148</v>
      </c>
      <c r="BM4" s="679" t="s">
        <v>90</v>
      </c>
      <c r="BN4" s="704" t="s">
        <v>91</v>
      </c>
      <c r="BO4" s="432" t="s">
        <v>174</v>
      </c>
      <c r="BP4" s="2419"/>
      <c r="BQ4" s="2419"/>
      <c r="BR4" s="2419"/>
      <c r="BS4" s="2419"/>
      <c r="BT4" s="708" t="s">
        <v>175</v>
      </c>
      <c r="BU4" s="709" t="s">
        <v>176</v>
      </c>
      <c r="BV4" s="703" t="s">
        <v>146</v>
      </c>
      <c r="BW4" s="679" t="s">
        <v>147</v>
      </c>
      <c r="BX4" s="679" t="s">
        <v>148</v>
      </c>
      <c r="BY4" s="679" t="s">
        <v>90</v>
      </c>
      <c r="BZ4" s="710" t="s">
        <v>91</v>
      </c>
      <c r="CA4" s="705" t="s">
        <v>177</v>
      </c>
      <c r="CB4" s="703" t="s">
        <v>146</v>
      </c>
      <c r="CC4" s="679" t="s">
        <v>147</v>
      </c>
      <c r="CD4" s="679" t="s">
        <v>148</v>
      </c>
      <c r="CE4" s="679" t="s">
        <v>90</v>
      </c>
      <c r="CF4" s="710" t="s">
        <v>91</v>
      </c>
      <c r="CG4" s="705" t="s">
        <v>178</v>
      </c>
      <c r="CH4" s="711" t="s">
        <v>146</v>
      </c>
      <c r="CI4" s="712" t="s">
        <v>147</v>
      </c>
      <c r="CJ4" s="712" t="s">
        <v>148</v>
      </c>
      <c r="CK4" s="712" t="s">
        <v>90</v>
      </c>
      <c r="CL4" s="713" t="s">
        <v>91</v>
      </c>
      <c r="CM4" s="711" t="s">
        <v>146</v>
      </c>
      <c r="CN4" s="712" t="s">
        <v>147</v>
      </c>
      <c r="CO4" s="712" t="s">
        <v>148</v>
      </c>
      <c r="CP4" s="712" t="s">
        <v>90</v>
      </c>
      <c r="CQ4" s="713" t="s">
        <v>91</v>
      </c>
      <c r="CR4" s="711" t="s">
        <v>146</v>
      </c>
      <c r="CS4" s="712" t="s">
        <v>147</v>
      </c>
      <c r="CT4" s="712" t="s">
        <v>148</v>
      </c>
      <c r="CU4" s="712" t="s">
        <v>90</v>
      </c>
      <c r="CV4" s="713" t="s">
        <v>91</v>
      </c>
      <c r="CW4" s="711" t="s">
        <v>146</v>
      </c>
      <c r="CX4" s="712" t="s">
        <v>147</v>
      </c>
      <c r="CY4" s="712" t="s">
        <v>148</v>
      </c>
      <c r="CZ4" s="712" t="s">
        <v>90</v>
      </c>
      <c r="DA4" s="713" t="s">
        <v>91</v>
      </c>
      <c r="DB4" s="714" t="s">
        <v>179</v>
      </c>
      <c r="DC4" s="2419"/>
      <c r="DD4" s="715" t="s">
        <v>180</v>
      </c>
      <c r="DE4" s="716" t="s">
        <v>181</v>
      </c>
      <c r="DF4" s="717" t="s">
        <v>180</v>
      </c>
      <c r="DG4" s="718" t="s">
        <v>181</v>
      </c>
    </row>
    <row r="5" spans="1:112" ht="13.5" thickBot="1">
      <c r="A5" s="15">
        <v>1</v>
      </c>
      <c r="B5" s="411" t="s">
        <v>131</v>
      </c>
      <c r="C5" s="412" t="s">
        <v>131</v>
      </c>
      <c r="D5" s="413">
        <v>3</v>
      </c>
      <c r="E5" s="414">
        <v>4</v>
      </c>
      <c r="F5" s="414">
        <v>5</v>
      </c>
      <c r="G5" s="414">
        <v>6</v>
      </c>
      <c r="H5" s="420">
        <v>7</v>
      </c>
      <c r="I5" s="421">
        <v>8</v>
      </c>
      <c r="J5" s="422">
        <v>9</v>
      </c>
      <c r="K5" s="423">
        <v>10</v>
      </c>
      <c r="L5" s="421">
        <v>11</v>
      </c>
      <c r="M5" s="423">
        <v>12</v>
      </c>
      <c r="N5" s="421">
        <v>13</v>
      </c>
      <c r="O5" s="423">
        <v>14</v>
      </c>
      <c r="P5" s="421">
        <v>15</v>
      </c>
      <c r="Q5" s="423">
        <v>16</v>
      </c>
      <c r="R5" s="421">
        <v>17</v>
      </c>
      <c r="S5" s="423">
        <v>18</v>
      </c>
      <c r="T5" s="421">
        <v>19</v>
      </c>
      <c r="U5" s="423">
        <v>20</v>
      </c>
      <c r="V5" s="421">
        <v>21</v>
      </c>
      <c r="W5" s="423">
        <v>22</v>
      </c>
      <c r="X5" s="421">
        <v>23</v>
      </c>
      <c r="Y5" s="423">
        <v>24</v>
      </c>
      <c r="Z5" s="421">
        <v>25</v>
      </c>
      <c r="AA5" s="423">
        <v>26</v>
      </c>
      <c r="AB5" s="421">
        <v>27</v>
      </c>
      <c r="AC5" s="423">
        <v>28</v>
      </c>
      <c r="AD5" s="421">
        <v>29</v>
      </c>
      <c r="AE5" s="423">
        <v>30</v>
      </c>
      <c r="AF5" s="421">
        <v>31</v>
      </c>
      <c r="AG5" s="423">
        <v>32</v>
      </c>
      <c r="AH5" s="421">
        <v>33</v>
      </c>
      <c r="AI5" s="419" t="s">
        <v>131</v>
      </c>
      <c r="AJ5" s="424"/>
      <c r="AK5" s="425"/>
      <c r="AL5" s="3">
        <v>37</v>
      </c>
      <c r="AM5" s="535"/>
      <c r="AN5" s="1112"/>
      <c r="AP5" s="29">
        <f>Tiere!B5</f>
        <v>0</v>
      </c>
      <c r="AQ5" s="30">
        <f>IF(AP5=0,0,Tiere!I5)</f>
        <v>0</v>
      </c>
      <c r="AR5" s="31">
        <f>VLOOKUP($AP5,Tabelle1!$B$4:$AE$153,12,0)*$AQ5</f>
        <v>0</v>
      </c>
      <c r="AS5" s="32">
        <f>VLOOKUP($AP5,Tabelle1!$B$4:$W$153,3,0)*$AR5</f>
        <v>0</v>
      </c>
      <c r="AT5" s="33">
        <f>VLOOKUP($AP5,Tabelle1!$B$4:$W$153,4,0)*$AR5</f>
        <v>0</v>
      </c>
      <c r="AU5" s="34">
        <f>VLOOKUP($AP5,Tabelle1!$B$4:$W$153,5,0)*$AR5</f>
        <v>0</v>
      </c>
      <c r="AV5" s="34">
        <f>VLOOKUP($AP5,Tabelle1!$B$4:$W$153,6,0)*$AR5</f>
        <v>0</v>
      </c>
      <c r="AW5" s="35">
        <f>VLOOKUP($AP5,Tabelle1!$B$4:$W$153,7,0)*$AR5</f>
        <v>0</v>
      </c>
      <c r="AX5" s="36">
        <f>SUM(AS5:AW5)</f>
        <v>0</v>
      </c>
      <c r="AY5" s="37">
        <f>VLOOKUP($AP5,Tabelle1!$B$4:$W$153,8,0)*$AQ5</f>
        <v>0</v>
      </c>
      <c r="AZ5" s="38">
        <f>VLOOKUP($AP5,Tabelle1!$B$4:$W$153,9,0)*$AQ5</f>
        <v>0</v>
      </c>
      <c r="BA5" s="39">
        <f>VLOOKUP($AP5,Tabelle1!$B$4:$W$153,10,0)*$AQ5</f>
        <v>0</v>
      </c>
      <c r="BB5" s="40">
        <f>VLOOKUP($AP5,Tabelle1!$B$4:$W$153,11,0)*$AQ5</f>
        <v>0</v>
      </c>
      <c r="BC5" s="40">
        <f>DB5</f>
        <v>0</v>
      </c>
      <c r="BD5" s="33">
        <f>VLOOKUP($AP5,Tabelle1!$B$4:$W$153,13,0)*$AR5</f>
        <v>0</v>
      </c>
      <c r="BE5" s="34">
        <f>VLOOKUP($AP5,Tabelle1!$B$4:$W$153,14,0)*$AR5</f>
        <v>0</v>
      </c>
      <c r="BF5" s="34">
        <f>VLOOKUP($AP5,Tabelle1!$B$4:$W$153,15,0)*$AR5</f>
        <v>0</v>
      </c>
      <c r="BG5" s="34">
        <f>VLOOKUP($AP5,Tabelle1!$B$4:$W$153,16,0)*$AR5</f>
        <v>0</v>
      </c>
      <c r="BH5" s="35">
        <f>VLOOKUP($AP5,Tabelle1!$B$4:$W$153,17,0)*$AR5</f>
        <v>0</v>
      </c>
      <c r="BI5" s="41">
        <f>SUM(BD5:BH5)</f>
        <v>0</v>
      </c>
      <c r="BJ5" s="42">
        <f>VLOOKUP($AP5,Tabelle1!$B$4:$W$153,18,0)*$AR5</f>
        <v>0</v>
      </c>
      <c r="BK5" s="3">
        <f>VLOOKUP($AP5,Tabelle1!$B$4:$W$153,19,0)*$AR5</f>
        <v>0</v>
      </c>
      <c r="BL5" s="3">
        <f>VLOOKUP($AP5,Tabelle1!$B$4:$W$153,20,0)*$AR5</f>
        <v>0</v>
      </c>
      <c r="BM5" s="3">
        <f>VLOOKUP($AP5,Tabelle1!$B$4:$W$153,21,0)*$AR5</f>
        <v>0</v>
      </c>
      <c r="BN5" s="43">
        <f>VLOOKUP($AP5,Tabelle1!$B$4:$W$153,22,0)*$AR5</f>
        <v>0</v>
      </c>
      <c r="BO5" s="44">
        <f>SUM(BJ5:BN5)</f>
        <v>0</v>
      </c>
      <c r="BP5" s="45">
        <f>Tiere!K5</f>
        <v>0</v>
      </c>
      <c r="BQ5" s="46">
        <f>Tiere!L5</f>
        <v>0</v>
      </c>
      <c r="BR5" s="45">
        <f>Tiere!M5</f>
        <v>0</v>
      </c>
      <c r="BS5" s="31">
        <f>Tiere!N5</f>
        <v>0</v>
      </c>
      <c r="BT5" s="47">
        <f>IF($AR5=0,0,BP5/$AR5)*(BQ5/364)</f>
        <v>0</v>
      </c>
      <c r="BU5" s="47">
        <f>IF($AR5=0,0,BR5/$AR5)*(BS5/364)</f>
        <v>0</v>
      </c>
      <c r="BV5" s="32">
        <f>AS5*$BT5</f>
        <v>0</v>
      </c>
      <c r="BW5" s="33">
        <f>AT5*$BT5</f>
        <v>0</v>
      </c>
      <c r="BX5" s="34">
        <f>AU5*$BT5</f>
        <v>0</v>
      </c>
      <c r="BY5" s="34">
        <f>AV5*$BT5</f>
        <v>0</v>
      </c>
      <c r="BZ5" s="48">
        <f>AW5*$BT5</f>
        <v>0</v>
      </c>
      <c r="CA5" s="36">
        <f>SUM(BV5:BZ5)</f>
        <v>0</v>
      </c>
      <c r="CB5" s="40">
        <f>AS5*$BU5</f>
        <v>0</v>
      </c>
      <c r="CC5" s="40">
        <f>AT5*$BU5</f>
        <v>0</v>
      </c>
      <c r="CD5" s="40">
        <f>AU5*$BU5</f>
        <v>0</v>
      </c>
      <c r="CE5" s="40">
        <f>AV5*$BU5</f>
        <v>0</v>
      </c>
      <c r="CF5" s="49">
        <f>AW5*$BU5</f>
        <v>0</v>
      </c>
      <c r="CG5" s="36">
        <f>SUM(CB5:CF5)</f>
        <v>0</v>
      </c>
      <c r="CH5" s="32">
        <f>BD5*$BT5</f>
        <v>0</v>
      </c>
      <c r="CI5" s="33">
        <f>BE5*$BT5</f>
        <v>0</v>
      </c>
      <c r="CJ5" s="34">
        <f>BF5*$BT5</f>
        <v>0</v>
      </c>
      <c r="CK5" s="34">
        <f>BG5*$BT5</f>
        <v>0</v>
      </c>
      <c r="CL5" s="48">
        <f>BH5*$BT5</f>
        <v>0</v>
      </c>
      <c r="CM5" s="32">
        <f>BJ5*$BT5</f>
        <v>0</v>
      </c>
      <c r="CN5" s="33">
        <f>BK5*$BT5</f>
        <v>0</v>
      </c>
      <c r="CO5" s="34">
        <f>BL5*$BT5</f>
        <v>0</v>
      </c>
      <c r="CP5" s="34">
        <f>BM5*$BT5</f>
        <v>0</v>
      </c>
      <c r="CQ5" s="48">
        <f>BN5*$BT5</f>
        <v>0</v>
      </c>
      <c r="CR5" s="32">
        <f>BD5*$BU5</f>
        <v>0</v>
      </c>
      <c r="CS5" s="33">
        <f>BE5*$BU5</f>
        <v>0</v>
      </c>
      <c r="CT5" s="34">
        <f>BF5*$BU5</f>
        <v>0</v>
      </c>
      <c r="CU5" s="34">
        <f>BG5*$BU5</f>
        <v>0</v>
      </c>
      <c r="CV5" s="48">
        <f>BH5*$BU5</f>
        <v>0</v>
      </c>
      <c r="CW5" s="32">
        <f>BJ5*$BU5</f>
        <v>0</v>
      </c>
      <c r="CX5" s="33">
        <f>BK5*$BU5</f>
        <v>0</v>
      </c>
      <c r="CY5" s="34">
        <f>BL5*$BU5</f>
        <v>0</v>
      </c>
      <c r="CZ5" s="34">
        <f>BM5*$BU5</f>
        <v>0</v>
      </c>
      <c r="DA5" s="48">
        <f>BN5*$BU5</f>
        <v>0</v>
      </c>
      <c r="DB5" s="50">
        <f>VLOOKUP($AP5,Tabelle1!$B$4:$W$153,11,0)*$BR5</f>
        <v>0</v>
      </c>
      <c r="DC5" s="51">
        <f>AR5</f>
        <v>0</v>
      </c>
      <c r="DD5" s="52">
        <f>VLOOKUP($AP5,Tabelle1!$B$4:$AJ$153,35,0)</f>
        <v>0</v>
      </c>
      <c r="DE5" s="53">
        <f>IF(DD5&gt;0,(DD5*DC5)/170,AX5/170)</f>
        <v>0</v>
      </c>
      <c r="DF5" s="54">
        <f>VLOOKUP($AP5,Tabelle1!$B$4:$AK$153,36,0)</f>
        <v>0</v>
      </c>
      <c r="DG5" s="55">
        <f t="shared" ref="DG5:DG19" si="0">IF(DF5&gt;0,(DF5*DC5)/170,AX5/170)</f>
        <v>0</v>
      </c>
      <c r="DH5">
        <f t="shared" ref="DH5:DH19" si="1">AP5</f>
        <v>0</v>
      </c>
    </row>
    <row r="6" spans="1:112" ht="13.5" thickBot="1">
      <c r="A6" s="15">
        <v>2</v>
      </c>
      <c r="B6" s="56" t="str">
        <f t="shared" ref="B6:B44" si="2">A6&amp;" - "&amp;C6</f>
        <v>2 - andere Kälber und Jungrinder unter 1/2 Jahr - Gülle</v>
      </c>
      <c r="C6" s="57" t="s">
        <v>182</v>
      </c>
      <c r="D6" s="58">
        <v>12.7</v>
      </c>
      <c r="E6" s="59"/>
      <c r="F6" s="59"/>
      <c r="G6" s="59"/>
      <c r="H6" s="60"/>
      <c r="I6" s="61">
        <v>1.3</v>
      </c>
      <c r="J6" s="3"/>
      <c r="K6" s="62"/>
      <c r="L6" s="61">
        <v>0.4</v>
      </c>
      <c r="M6" s="62">
        <v>1</v>
      </c>
      <c r="N6" s="61">
        <v>7.1</v>
      </c>
      <c r="O6" s="3"/>
      <c r="P6" s="3"/>
      <c r="Q6" s="38"/>
      <c r="R6" s="63"/>
      <c r="S6" s="49">
        <v>10.9</v>
      </c>
      <c r="T6" s="38"/>
      <c r="U6" s="38"/>
      <c r="V6" s="38"/>
      <c r="W6" s="63"/>
      <c r="X6" s="426"/>
      <c r="Y6" s="427"/>
      <c r="Z6" s="427"/>
      <c r="AA6" s="428"/>
      <c r="AB6" s="427"/>
      <c r="AC6" s="427"/>
      <c r="AD6" s="427"/>
      <c r="AE6" s="428"/>
      <c r="AF6" s="61">
        <v>11</v>
      </c>
      <c r="AG6" s="3"/>
      <c r="AH6" s="62"/>
      <c r="AI6" s="64" t="s">
        <v>182</v>
      </c>
      <c r="AJ6" s="65">
        <v>34</v>
      </c>
      <c r="AK6" s="66">
        <f>85*L6</f>
        <v>34</v>
      </c>
      <c r="AL6" s="54">
        <f t="shared" ref="AL6:AL44" si="3">170/AK6</f>
        <v>5</v>
      </c>
      <c r="AM6" s="535"/>
      <c r="AN6" s="1118" t="s">
        <v>21</v>
      </c>
      <c r="AP6" s="29">
        <f>Tiere!B6</f>
        <v>0</v>
      </c>
      <c r="AQ6" s="30">
        <f>IF(AP6=0,0,Tiere!I6)</f>
        <v>0</v>
      </c>
      <c r="AR6" s="31">
        <f>VLOOKUP($AP6,Tabelle1!$B$4:$AE$153,12,0)*$AQ6</f>
        <v>0</v>
      </c>
      <c r="AS6" s="32">
        <f>VLOOKUP($AP6,Tabelle1!$B$4:$W$153,3,0)*$AR6</f>
        <v>0</v>
      </c>
      <c r="AT6" s="33">
        <f>VLOOKUP($AP6,Tabelle1!$B$4:$W$153,4,0)*$AR6</f>
        <v>0</v>
      </c>
      <c r="AU6" s="34">
        <f>VLOOKUP($AP6,Tabelle1!$B$4:$W$153,5,0)*$AR6</f>
        <v>0</v>
      </c>
      <c r="AV6" s="34">
        <f>VLOOKUP($AP6,Tabelle1!$B$4:$W$153,6,0)*$AR6</f>
        <v>0</v>
      </c>
      <c r="AW6" s="35">
        <f>VLOOKUP($AP6,Tabelle1!$B$4:$W$153,7,0)*$AR6</f>
        <v>0</v>
      </c>
      <c r="AX6" s="36">
        <f t="shared" ref="AX6:AX19" si="4">SUM(AS6:AW6)</f>
        <v>0</v>
      </c>
      <c r="AY6" s="37">
        <f>VLOOKUP($AP6,Tabelle1!$B$4:$W$153,8,0)*$AQ6</f>
        <v>0</v>
      </c>
      <c r="AZ6" s="38">
        <f>VLOOKUP($AP6,Tabelle1!$B$4:$W$153,9,0)*$AQ6</f>
        <v>0</v>
      </c>
      <c r="BA6" s="39">
        <f>VLOOKUP($AP6,Tabelle1!$B$4:$W$153,10,0)*$AQ6</f>
        <v>0</v>
      </c>
      <c r="BB6" s="40">
        <f>VLOOKUP($AP6,Tabelle1!$B$4:$W$153,11,0)*$AQ6</f>
        <v>0</v>
      </c>
      <c r="BC6" s="40">
        <f t="shared" ref="BC6:BC19" si="5">DB6</f>
        <v>0</v>
      </c>
      <c r="BD6" s="33">
        <f>VLOOKUP($AP6,Tabelle1!$B$4:$W$153,13,0)*$AR6</f>
        <v>0</v>
      </c>
      <c r="BE6" s="34">
        <f>VLOOKUP($AP6,Tabelle1!$B$4:$W$153,14,0)*$AR6</f>
        <v>0</v>
      </c>
      <c r="BF6" s="34">
        <f>VLOOKUP($AP6,Tabelle1!$B$4:$W$153,15,0)*$AR6</f>
        <v>0</v>
      </c>
      <c r="BG6" s="34">
        <f>VLOOKUP($AP6,Tabelle1!$B$4:$W$153,16,0)*$AR6</f>
        <v>0</v>
      </c>
      <c r="BH6" s="35">
        <f>VLOOKUP($AP6,Tabelle1!$B$4:$W$153,17,0)*$AR6</f>
        <v>0</v>
      </c>
      <c r="BI6" s="41">
        <f t="shared" ref="BI6:BI19" si="6">SUM(BD6:BH6)</f>
        <v>0</v>
      </c>
      <c r="BJ6" s="42">
        <f>VLOOKUP($AP6,Tabelle1!$B$4:$W$153,18,0)*$AR6</f>
        <v>0</v>
      </c>
      <c r="BK6" s="3">
        <f>VLOOKUP($AP6,Tabelle1!$B$4:$W$153,19,0)*$AR6</f>
        <v>0</v>
      </c>
      <c r="BL6" s="3">
        <f>VLOOKUP($AP6,Tabelle1!$B$4:$W$153,20,0)*$AR6</f>
        <v>0</v>
      </c>
      <c r="BM6" s="3">
        <f>VLOOKUP($AP6,Tabelle1!$B$4:$W$153,21,0)*$AR6</f>
        <v>0</v>
      </c>
      <c r="BN6" s="43">
        <f>VLOOKUP($AP6,Tabelle1!$B$4:$W$153,22,0)*$AR6</f>
        <v>0</v>
      </c>
      <c r="BO6" s="44">
        <f t="shared" ref="BO6:BO19" si="7">SUM(BJ6:BN6)</f>
        <v>0</v>
      </c>
      <c r="BP6" s="45">
        <f>Tiere!K6</f>
        <v>0</v>
      </c>
      <c r="BQ6" s="46">
        <f>Tiere!L6</f>
        <v>0</v>
      </c>
      <c r="BR6" s="45">
        <f>Tiere!M6</f>
        <v>0</v>
      </c>
      <c r="BS6" s="31">
        <f>Tiere!N6</f>
        <v>0</v>
      </c>
      <c r="BT6" s="47">
        <f t="shared" ref="BT6:BT19" si="8">IF($AR6=0,0,BP6/$AR6)*(BQ6/364)</f>
        <v>0</v>
      </c>
      <c r="BU6" s="47">
        <f t="shared" ref="BU6:BU19" si="9">IF($AR6=0,0,BR6/$AR6)*(BS6/364)</f>
        <v>0</v>
      </c>
      <c r="BV6" s="32">
        <f t="shared" ref="BV6:BV19" si="10">AS6*$BT6</f>
        <v>0</v>
      </c>
      <c r="BW6" s="33">
        <f t="shared" ref="BW6:BW19" si="11">AT6*$BT6</f>
        <v>0</v>
      </c>
      <c r="BX6" s="34">
        <f t="shared" ref="BX6:BX19" si="12">AU6*$BT6</f>
        <v>0</v>
      </c>
      <c r="BY6" s="34">
        <f t="shared" ref="BY6:BY19" si="13">AV6*$BT6</f>
        <v>0</v>
      </c>
      <c r="BZ6" s="48">
        <f t="shared" ref="BZ6:BZ19" si="14">AW6*$BT6</f>
        <v>0</v>
      </c>
      <c r="CA6" s="36">
        <f t="shared" ref="CA6:CA19" si="15">SUM(BV6:BZ6)</f>
        <v>0</v>
      </c>
      <c r="CB6" s="40">
        <f t="shared" ref="CB6:CB19" si="16">AS6*$BU6</f>
        <v>0</v>
      </c>
      <c r="CC6" s="40">
        <f t="shared" ref="CC6:CC19" si="17">AT6*$BU6</f>
        <v>0</v>
      </c>
      <c r="CD6" s="40">
        <f t="shared" ref="CD6:CD19" si="18">AU6*$BU6</f>
        <v>0</v>
      </c>
      <c r="CE6" s="40">
        <f t="shared" ref="CE6:CE19" si="19">AV6*$BU6</f>
        <v>0</v>
      </c>
      <c r="CF6" s="49">
        <f t="shared" ref="CF6:CF19" si="20">AW6*$BU6</f>
        <v>0</v>
      </c>
      <c r="CG6" s="36">
        <f t="shared" ref="CG6:CG19" si="21">SUM(CB6:CF6)</f>
        <v>0</v>
      </c>
      <c r="CH6" s="32">
        <f t="shared" ref="CH6:CH19" si="22">BD6*$BT6</f>
        <v>0</v>
      </c>
      <c r="CI6" s="33">
        <f t="shared" ref="CI6:CI19" si="23">BE6*$BT6</f>
        <v>0</v>
      </c>
      <c r="CJ6" s="34">
        <f t="shared" ref="CJ6:CJ19" si="24">BF6*$BT6</f>
        <v>0</v>
      </c>
      <c r="CK6" s="34">
        <f t="shared" ref="CK6:CK19" si="25">BG6*$BT6</f>
        <v>0</v>
      </c>
      <c r="CL6" s="48">
        <f t="shared" ref="CL6:CL19" si="26">BH6*$BT6</f>
        <v>0</v>
      </c>
      <c r="CM6" s="32">
        <f t="shared" ref="CM6:CM19" si="27">BJ6*$BT6</f>
        <v>0</v>
      </c>
      <c r="CN6" s="33">
        <f t="shared" ref="CN6:CN19" si="28">BK6*$BT6</f>
        <v>0</v>
      </c>
      <c r="CO6" s="34">
        <f t="shared" ref="CO6:CO19" si="29">BL6*$BT6</f>
        <v>0</v>
      </c>
      <c r="CP6" s="34">
        <f t="shared" ref="CP6:CP19" si="30">BM6*$BT6</f>
        <v>0</v>
      </c>
      <c r="CQ6" s="48">
        <f t="shared" ref="CQ6:CQ19" si="31">BN6*$BT6</f>
        <v>0</v>
      </c>
      <c r="CR6" s="32">
        <f t="shared" ref="CR6:CR19" si="32">BD6*$BU6</f>
        <v>0</v>
      </c>
      <c r="CS6" s="33">
        <f t="shared" ref="CS6:CS19" si="33">BE6*$BU6</f>
        <v>0</v>
      </c>
      <c r="CT6" s="34">
        <f t="shared" ref="CT6:CT19" si="34">BF6*$BU6</f>
        <v>0</v>
      </c>
      <c r="CU6" s="34">
        <f t="shared" ref="CU6:CU19" si="35">BG6*$BU6</f>
        <v>0</v>
      </c>
      <c r="CV6" s="48">
        <f t="shared" ref="CV6:CV19" si="36">BH6*$BU6</f>
        <v>0</v>
      </c>
      <c r="CW6" s="32">
        <f t="shared" ref="CW6:CW19" si="37">BJ6*$BU6</f>
        <v>0</v>
      </c>
      <c r="CX6" s="33">
        <f t="shared" ref="CX6:CX19" si="38">BK6*$BU6</f>
        <v>0</v>
      </c>
      <c r="CY6" s="34">
        <f t="shared" ref="CY6:CY19" si="39">BL6*$BU6</f>
        <v>0</v>
      </c>
      <c r="CZ6" s="34">
        <f t="shared" ref="CZ6:CZ19" si="40">BM6*$BU6</f>
        <v>0</v>
      </c>
      <c r="DA6" s="48">
        <f t="shared" ref="DA6:DA19" si="41">BN6*$BU6</f>
        <v>0</v>
      </c>
      <c r="DB6" s="50">
        <f>VLOOKUP($AP6,Tabelle1!$B$4:$W$153,11,0)*$BR6</f>
        <v>0</v>
      </c>
      <c r="DC6" s="51">
        <f t="shared" ref="DC6:DC19" si="42">AR6</f>
        <v>0</v>
      </c>
      <c r="DD6" s="52">
        <f>VLOOKUP($AP6,Tabelle1!$B$4:$AJ$153,35,0)</f>
        <v>0</v>
      </c>
      <c r="DE6" s="53">
        <f t="shared" ref="DE6:DE19" si="43">IF(DD6&gt;0,(DD6*DC6)/170,AX6/170)</f>
        <v>0</v>
      </c>
      <c r="DF6" s="54">
        <f>VLOOKUP($AP6,Tabelle1!$B$4:$AK$153,36,0)</f>
        <v>0</v>
      </c>
      <c r="DG6" s="55">
        <f t="shared" si="0"/>
        <v>0</v>
      </c>
      <c r="DH6">
        <f t="shared" si="1"/>
        <v>0</v>
      </c>
    </row>
    <row r="7" spans="1:112" ht="15" customHeight="1" thickBot="1">
      <c r="A7" s="15">
        <v>3</v>
      </c>
      <c r="B7" s="56" t="str">
        <f t="shared" si="2"/>
        <v>3 - andere Kälber und Jungrinder unter 1/2 Jahr - Mist/Jauche</v>
      </c>
      <c r="C7" s="57" t="s">
        <v>183</v>
      </c>
      <c r="D7" s="58"/>
      <c r="E7" s="59"/>
      <c r="F7" s="59"/>
      <c r="G7" s="59">
        <v>5.2</v>
      </c>
      <c r="H7" s="60">
        <v>5.2</v>
      </c>
      <c r="I7" s="61"/>
      <c r="J7" s="3">
        <v>0.7</v>
      </c>
      <c r="K7" s="62">
        <v>0.8</v>
      </c>
      <c r="L7" s="61">
        <v>0.4</v>
      </c>
      <c r="M7" s="62">
        <v>1</v>
      </c>
      <c r="N7" s="61"/>
      <c r="O7" s="3"/>
      <c r="P7" s="3"/>
      <c r="Q7" s="38">
        <v>0.35499999999999998</v>
      </c>
      <c r="R7" s="63">
        <v>6.7450000000000001</v>
      </c>
      <c r="S7" s="49"/>
      <c r="T7" s="38"/>
      <c r="U7" s="38"/>
      <c r="V7" s="38">
        <v>3.597</v>
      </c>
      <c r="W7" s="63">
        <v>7.3029999999999999</v>
      </c>
      <c r="X7" s="429"/>
      <c r="Y7" s="430"/>
      <c r="Z7" s="430"/>
      <c r="AA7" s="431"/>
      <c r="AB7" s="430"/>
      <c r="AC7" s="430"/>
      <c r="AD7" s="430"/>
      <c r="AE7" s="431"/>
      <c r="AF7" s="61"/>
      <c r="AG7" s="3">
        <v>4.5</v>
      </c>
      <c r="AH7" s="62">
        <v>4.7</v>
      </c>
      <c r="AI7" s="64" t="s">
        <v>183</v>
      </c>
      <c r="AJ7" s="65">
        <v>34</v>
      </c>
      <c r="AK7" s="66">
        <f>85*L7</f>
        <v>34</v>
      </c>
      <c r="AL7" s="54">
        <f t="shared" si="3"/>
        <v>5</v>
      </c>
      <c r="AM7" s="535"/>
      <c r="AN7" s="3" t="s">
        <v>71</v>
      </c>
      <c r="AP7" s="29">
        <f>Tiere!B7</f>
        <v>0</v>
      </c>
      <c r="AQ7" s="30">
        <f>IF(AP7=0,0,Tiere!I7)</f>
        <v>0</v>
      </c>
      <c r="AR7" s="31">
        <f>VLOOKUP($AP7,Tabelle1!$B$4:$AE$153,12,0)*$AQ7</f>
        <v>0</v>
      </c>
      <c r="AS7" s="32">
        <f>VLOOKUP($AP7,Tabelle1!$B$4:$W$153,3,0)*$AR7</f>
        <v>0</v>
      </c>
      <c r="AT7" s="33">
        <f>VLOOKUP($AP7,Tabelle1!$B$4:$W$153,4,0)*$AR7</f>
        <v>0</v>
      </c>
      <c r="AU7" s="34">
        <f>VLOOKUP($AP7,Tabelle1!$B$4:$W$153,5,0)*$AR7</f>
        <v>0</v>
      </c>
      <c r="AV7" s="34">
        <f>VLOOKUP($AP7,Tabelle1!$B$4:$W$153,6,0)*$AR7</f>
        <v>0</v>
      </c>
      <c r="AW7" s="35">
        <f>VLOOKUP($AP7,Tabelle1!$B$4:$W$153,7,0)*$AR7</f>
        <v>0</v>
      </c>
      <c r="AX7" s="36">
        <f t="shared" si="4"/>
        <v>0</v>
      </c>
      <c r="AY7" s="37">
        <f>VLOOKUP($AP7,Tabelle1!$B$4:$W$153,8,0)*$AQ7</f>
        <v>0</v>
      </c>
      <c r="AZ7" s="38">
        <f>VLOOKUP($AP7,Tabelle1!$B$4:$W$153,9,0)*$AQ7</f>
        <v>0</v>
      </c>
      <c r="BA7" s="39">
        <f>VLOOKUP($AP7,Tabelle1!$B$4:$W$153,10,0)*$AQ7</f>
        <v>0</v>
      </c>
      <c r="BB7" s="40">
        <f>VLOOKUP($AP7,Tabelle1!$B$4:$W$153,11,0)*$AQ7</f>
        <v>0</v>
      </c>
      <c r="BC7" s="40">
        <f t="shared" si="5"/>
        <v>0</v>
      </c>
      <c r="BD7" s="33">
        <f>VLOOKUP($AP7,Tabelle1!$B$4:$W$153,13,0)*$AR7</f>
        <v>0</v>
      </c>
      <c r="BE7" s="34">
        <f>VLOOKUP($AP7,Tabelle1!$B$4:$W$153,14,0)*$AR7</f>
        <v>0</v>
      </c>
      <c r="BF7" s="34">
        <f>VLOOKUP($AP7,Tabelle1!$B$4:$W$153,15,0)*$AR7</f>
        <v>0</v>
      </c>
      <c r="BG7" s="34">
        <f>VLOOKUP($AP7,Tabelle1!$B$4:$W$153,16,0)*$AR7</f>
        <v>0</v>
      </c>
      <c r="BH7" s="35">
        <f>VLOOKUP($AP7,Tabelle1!$B$4:$W$153,17,0)*$AR7</f>
        <v>0</v>
      </c>
      <c r="BI7" s="41">
        <f t="shared" si="6"/>
        <v>0</v>
      </c>
      <c r="BJ7" s="42">
        <f>VLOOKUP($AP7,Tabelle1!$B$4:$W$153,18,0)*$AR7</f>
        <v>0</v>
      </c>
      <c r="BK7" s="3">
        <f>VLOOKUP($AP7,Tabelle1!$B$4:$W$153,19,0)*$AR7</f>
        <v>0</v>
      </c>
      <c r="BL7" s="3">
        <f>VLOOKUP($AP7,Tabelle1!$B$4:$W$153,20,0)*$AR7</f>
        <v>0</v>
      </c>
      <c r="BM7" s="3">
        <f>VLOOKUP($AP7,Tabelle1!$B$4:$W$153,21,0)*$AR7</f>
        <v>0</v>
      </c>
      <c r="BN7" s="43">
        <f>VLOOKUP($AP7,Tabelle1!$B$4:$W$153,22,0)*$AR7</f>
        <v>0</v>
      </c>
      <c r="BO7" s="44">
        <f t="shared" si="7"/>
        <v>0</v>
      </c>
      <c r="BP7" s="45">
        <f>Tiere!K7</f>
        <v>0</v>
      </c>
      <c r="BQ7" s="46">
        <f>Tiere!L7</f>
        <v>0</v>
      </c>
      <c r="BR7" s="45">
        <f>Tiere!M7</f>
        <v>0</v>
      </c>
      <c r="BS7" s="31">
        <f>Tiere!N7</f>
        <v>0</v>
      </c>
      <c r="BT7" s="47">
        <f t="shared" si="8"/>
        <v>0</v>
      </c>
      <c r="BU7" s="47">
        <f t="shared" si="9"/>
        <v>0</v>
      </c>
      <c r="BV7" s="32">
        <f t="shared" si="10"/>
        <v>0</v>
      </c>
      <c r="BW7" s="33">
        <f t="shared" si="11"/>
        <v>0</v>
      </c>
      <c r="BX7" s="34">
        <f t="shared" si="12"/>
        <v>0</v>
      </c>
      <c r="BY7" s="34">
        <f t="shared" si="13"/>
        <v>0</v>
      </c>
      <c r="BZ7" s="48">
        <f t="shared" si="14"/>
        <v>0</v>
      </c>
      <c r="CA7" s="36">
        <f t="shared" si="15"/>
        <v>0</v>
      </c>
      <c r="CB7" s="40">
        <f t="shared" si="16"/>
        <v>0</v>
      </c>
      <c r="CC7" s="40">
        <f t="shared" si="17"/>
        <v>0</v>
      </c>
      <c r="CD7" s="40">
        <f t="shared" si="18"/>
        <v>0</v>
      </c>
      <c r="CE7" s="40">
        <f t="shared" si="19"/>
        <v>0</v>
      </c>
      <c r="CF7" s="49">
        <f t="shared" si="20"/>
        <v>0</v>
      </c>
      <c r="CG7" s="36">
        <f t="shared" si="21"/>
        <v>0</v>
      </c>
      <c r="CH7" s="32">
        <f t="shared" si="22"/>
        <v>0</v>
      </c>
      <c r="CI7" s="33">
        <f t="shared" si="23"/>
        <v>0</v>
      </c>
      <c r="CJ7" s="34">
        <f t="shared" si="24"/>
        <v>0</v>
      </c>
      <c r="CK7" s="34">
        <f t="shared" si="25"/>
        <v>0</v>
      </c>
      <c r="CL7" s="48">
        <f t="shared" si="26"/>
        <v>0</v>
      </c>
      <c r="CM7" s="32">
        <f t="shared" si="27"/>
        <v>0</v>
      </c>
      <c r="CN7" s="33">
        <f t="shared" si="28"/>
        <v>0</v>
      </c>
      <c r="CO7" s="34">
        <f t="shared" si="29"/>
        <v>0</v>
      </c>
      <c r="CP7" s="34">
        <f t="shared" si="30"/>
        <v>0</v>
      </c>
      <c r="CQ7" s="48">
        <f t="shared" si="31"/>
        <v>0</v>
      </c>
      <c r="CR7" s="32">
        <f t="shared" si="32"/>
        <v>0</v>
      </c>
      <c r="CS7" s="33">
        <f t="shared" si="33"/>
        <v>0</v>
      </c>
      <c r="CT7" s="34">
        <f t="shared" si="34"/>
        <v>0</v>
      </c>
      <c r="CU7" s="34">
        <f t="shared" si="35"/>
        <v>0</v>
      </c>
      <c r="CV7" s="48">
        <f t="shared" si="36"/>
        <v>0</v>
      </c>
      <c r="CW7" s="32">
        <f t="shared" si="37"/>
        <v>0</v>
      </c>
      <c r="CX7" s="33">
        <f t="shared" si="38"/>
        <v>0</v>
      </c>
      <c r="CY7" s="34">
        <f t="shared" si="39"/>
        <v>0</v>
      </c>
      <c r="CZ7" s="34">
        <f t="shared" si="40"/>
        <v>0</v>
      </c>
      <c r="DA7" s="48">
        <f t="shared" si="41"/>
        <v>0</v>
      </c>
      <c r="DB7" s="50">
        <f>VLOOKUP($AP7,Tabelle1!$B$4:$W$153,11,0)*$BR7</f>
        <v>0</v>
      </c>
      <c r="DC7" s="51">
        <f t="shared" si="42"/>
        <v>0</v>
      </c>
      <c r="DD7" s="52">
        <f>VLOOKUP($AP7,Tabelle1!$B$4:$AJ$153,35,0)</f>
        <v>0</v>
      </c>
      <c r="DE7" s="53">
        <f t="shared" si="43"/>
        <v>0</v>
      </c>
      <c r="DF7" s="54">
        <f>VLOOKUP($AP7,Tabelle1!$B$4:$AK$153,36,0)</f>
        <v>0</v>
      </c>
      <c r="DG7" s="55">
        <f t="shared" si="0"/>
        <v>0</v>
      </c>
      <c r="DH7">
        <f t="shared" si="1"/>
        <v>0</v>
      </c>
    </row>
    <row r="8" spans="1:112" ht="15.75" thickBot="1">
      <c r="A8" s="15">
        <v>4</v>
      </c>
      <c r="B8" s="56" t="str">
        <f t="shared" si="2"/>
        <v>4 - andere Kälber und Jungrinder unter 1/2 Jahr - Tiefstallmist</v>
      </c>
      <c r="C8" s="57" t="s">
        <v>184</v>
      </c>
      <c r="D8" s="58"/>
      <c r="E8" s="59"/>
      <c r="F8" s="59"/>
      <c r="G8" s="59"/>
      <c r="H8" s="60">
        <v>10.4</v>
      </c>
      <c r="I8" s="61"/>
      <c r="J8" s="3"/>
      <c r="K8" s="62">
        <v>1.7000000000000002</v>
      </c>
      <c r="L8" s="61">
        <v>0.4</v>
      </c>
      <c r="M8" s="62">
        <v>1</v>
      </c>
      <c r="N8" s="61"/>
      <c r="O8" s="3"/>
      <c r="P8" s="3"/>
      <c r="Q8" s="38"/>
      <c r="R8" s="63">
        <v>7.1</v>
      </c>
      <c r="S8" s="49"/>
      <c r="T8" s="38"/>
      <c r="U8" s="38"/>
      <c r="V8" s="38"/>
      <c r="W8" s="63">
        <v>10.9</v>
      </c>
      <c r="X8" s="429"/>
      <c r="Y8" s="430"/>
      <c r="Z8" s="430"/>
      <c r="AA8" s="431"/>
      <c r="AB8" s="430"/>
      <c r="AC8" s="430"/>
      <c r="AD8" s="430"/>
      <c r="AE8" s="431"/>
      <c r="AF8" s="61"/>
      <c r="AG8" s="3"/>
      <c r="AH8" s="62">
        <v>9.5</v>
      </c>
      <c r="AI8" s="64" t="s">
        <v>184</v>
      </c>
      <c r="AJ8" s="65">
        <v>34</v>
      </c>
      <c r="AK8" s="66">
        <f>85*L8</f>
        <v>34</v>
      </c>
      <c r="AL8" s="54">
        <f t="shared" si="3"/>
        <v>5</v>
      </c>
      <c r="AM8" s="536" t="s">
        <v>185</v>
      </c>
      <c r="AN8" s="70" t="s">
        <v>186</v>
      </c>
      <c r="AO8" s="56"/>
      <c r="AP8" s="29">
        <f>Tiere!B8</f>
        <v>0</v>
      </c>
      <c r="AQ8" s="30">
        <f>IF(AP8=0,0,Tiere!I8)</f>
        <v>0</v>
      </c>
      <c r="AR8" s="31">
        <f>VLOOKUP($AP8,Tabelle1!$B$4:$AE$153,12,0)*$AQ8</f>
        <v>0</v>
      </c>
      <c r="AS8" s="32">
        <f>VLOOKUP($AP8,Tabelle1!$B$4:$W$153,3,0)*$AR8</f>
        <v>0</v>
      </c>
      <c r="AT8" s="33">
        <f>VLOOKUP($AP8,Tabelle1!$B$4:$W$153,4,0)*$AR8</f>
        <v>0</v>
      </c>
      <c r="AU8" s="34">
        <f>VLOOKUP($AP8,Tabelle1!$B$4:$W$153,5,0)*$AR8</f>
        <v>0</v>
      </c>
      <c r="AV8" s="34">
        <f>VLOOKUP($AP8,Tabelle1!$B$4:$W$153,6,0)*$AR8</f>
        <v>0</v>
      </c>
      <c r="AW8" s="35">
        <f>VLOOKUP($AP8,Tabelle1!$B$4:$W$153,7,0)*$AR8</f>
        <v>0</v>
      </c>
      <c r="AX8" s="36">
        <f t="shared" si="4"/>
        <v>0</v>
      </c>
      <c r="AY8" s="37">
        <f>VLOOKUP($AP8,Tabelle1!$B$4:$W$153,8,0)*$AQ8</f>
        <v>0</v>
      </c>
      <c r="AZ8" s="38">
        <f>VLOOKUP($AP8,Tabelle1!$B$4:$W$153,9,0)*$AQ8</f>
        <v>0</v>
      </c>
      <c r="BA8" s="39">
        <f>VLOOKUP($AP8,Tabelle1!$B$4:$W$153,10,0)*$AQ8</f>
        <v>0</v>
      </c>
      <c r="BB8" s="40">
        <f>VLOOKUP($AP8,Tabelle1!$B$4:$W$153,11,0)*$AQ8</f>
        <v>0</v>
      </c>
      <c r="BC8" s="40">
        <f t="shared" si="5"/>
        <v>0</v>
      </c>
      <c r="BD8" s="33">
        <f>VLOOKUP($AP8,Tabelle1!$B$4:$W$153,13,0)*$AR8</f>
        <v>0</v>
      </c>
      <c r="BE8" s="34">
        <f>VLOOKUP($AP8,Tabelle1!$B$4:$W$153,14,0)*$AR8</f>
        <v>0</v>
      </c>
      <c r="BF8" s="34">
        <f>VLOOKUP($AP8,Tabelle1!$B$4:$W$153,15,0)*$AR8</f>
        <v>0</v>
      </c>
      <c r="BG8" s="34">
        <f>VLOOKUP($AP8,Tabelle1!$B$4:$W$153,16,0)*$AR8</f>
        <v>0</v>
      </c>
      <c r="BH8" s="35">
        <f>VLOOKUP($AP8,Tabelle1!$B$4:$W$153,17,0)*$AR8</f>
        <v>0</v>
      </c>
      <c r="BI8" s="41">
        <f t="shared" si="6"/>
        <v>0</v>
      </c>
      <c r="BJ8" s="42">
        <f>VLOOKUP($AP8,Tabelle1!$B$4:$W$153,18,0)*$AR8</f>
        <v>0</v>
      </c>
      <c r="BK8" s="3">
        <f>VLOOKUP($AP8,Tabelle1!$B$4:$W$153,19,0)*$AR8</f>
        <v>0</v>
      </c>
      <c r="BL8" s="3">
        <f>VLOOKUP($AP8,Tabelle1!$B$4:$W$153,20,0)*$AR8</f>
        <v>0</v>
      </c>
      <c r="BM8" s="3">
        <f>VLOOKUP($AP8,Tabelle1!$B$4:$W$153,21,0)*$AR8</f>
        <v>0</v>
      </c>
      <c r="BN8" s="43">
        <f>VLOOKUP($AP8,Tabelle1!$B$4:$W$153,22,0)*$AR8</f>
        <v>0</v>
      </c>
      <c r="BO8" s="44">
        <f t="shared" si="7"/>
        <v>0</v>
      </c>
      <c r="BP8" s="45">
        <f>Tiere!K8</f>
        <v>0</v>
      </c>
      <c r="BQ8" s="46">
        <f>Tiere!L8</f>
        <v>0</v>
      </c>
      <c r="BR8" s="45">
        <f>Tiere!M8</f>
        <v>0</v>
      </c>
      <c r="BS8" s="31">
        <f>Tiere!N8</f>
        <v>0</v>
      </c>
      <c r="BT8" s="47">
        <f t="shared" si="8"/>
        <v>0</v>
      </c>
      <c r="BU8" s="47">
        <f t="shared" si="9"/>
        <v>0</v>
      </c>
      <c r="BV8" s="32">
        <f t="shared" si="10"/>
        <v>0</v>
      </c>
      <c r="BW8" s="33">
        <f t="shared" si="11"/>
        <v>0</v>
      </c>
      <c r="BX8" s="34">
        <f t="shared" si="12"/>
        <v>0</v>
      </c>
      <c r="BY8" s="34">
        <f t="shared" si="13"/>
        <v>0</v>
      </c>
      <c r="BZ8" s="48">
        <f t="shared" si="14"/>
        <v>0</v>
      </c>
      <c r="CA8" s="36">
        <f t="shared" si="15"/>
        <v>0</v>
      </c>
      <c r="CB8" s="40">
        <f t="shared" si="16"/>
        <v>0</v>
      </c>
      <c r="CC8" s="40">
        <f t="shared" si="17"/>
        <v>0</v>
      </c>
      <c r="CD8" s="40">
        <f t="shared" si="18"/>
        <v>0</v>
      </c>
      <c r="CE8" s="40">
        <f t="shared" si="19"/>
        <v>0</v>
      </c>
      <c r="CF8" s="49">
        <f t="shared" si="20"/>
        <v>0</v>
      </c>
      <c r="CG8" s="36">
        <f t="shared" si="21"/>
        <v>0</v>
      </c>
      <c r="CH8" s="32">
        <f t="shared" si="22"/>
        <v>0</v>
      </c>
      <c r="CI8" s="33">
        <f t="shared" si="23"/>
        <v>0</v>
      </c>
      <c r="CJ8" s="34">
        <f t="shared" si="24"/>
        <v>0</v>
      </c>
      <c r="CK8" s="34">
        <f t="shared" si="25"/>
        <v>0</v>
      </c>
      <c r="CL8" s="48">
        <f t="shared" si="26"/>
        <v>0</v>
      </c>
      <c r="CM8" s="32">
        <f t="shared" si="27"/>
        <v>0</v>
      </c>
      <c r="CN8" s="33">
        <f t="shared" si="28"/>
        <v>0</v>
      </c>
      <c r="CO8" s="34">
        <f t="shared" si="29"/>
        <v>0</v>
      </c>
      <c r="CP8" s="34">
        <f t="shared" si="30"/>
        <v>0</v>
      </c>
      <c r="CQ8" s="48">
        <f t="shared" si="31"/>
        <v>0</v>
      </c>
      <c r="CR8" s="32">
        <f t="shared" si="32"/>
        <v>0</v>
      </c>
      <c r="CS8" s="33">
        <f t="shared" si="33"/>
        <v>0</v>
      </c>
      <c r="CT8" s="34">
        <f t="shared" si="34"/>
        <v>0</v>
      </c>
      <c r="CU8" s="34">
        <f t="shared" si="35"/>
        <v>0</v>
      </c>
      <c r="CV8" s="48">
        <f t="shared" si="36"/>
        <v>0</v>
      </c>
      <c r="CW8" s="32">
        <f t="shared" si="37"/>
        <v>0</v>
      </c>
      <c r="CX8" s="33">
        <f t="shared" si="38"/>
        <v>0</v>
      </c>
      <c r="CY8" s="34">
        <f t="shared" si="39"/>
        <v>0</v>
      </c>
      <c r="CZ8" s="34">
        <f t="shared" si="40"/>
        <v>0</v>
      </c>
      <c r="DA8" s="48">
        <f t="shared" si="41"/>
        <v>0</v>
      </c>
      <c r="DB8" s="50">
        <f>VLOOKUP($AP8,Tabelle1!$B$4:$W$153,11,0)*$BR8</f>
        <v>0</v>
      </c>
      <c r="DC8" s="51">
        <f t="shared" si="42"/>
        <v>0</v>
      </c>
      <c r="DD8" s="52">
        <f>VLOOKUP($AP8,Tabelle1!$B$4:$AJ$153,35,0)</f>
        <v>0</v>
      </c>
      <c r="DE8" s="53">
        <f t="shared" si="43"/>
        <v>0</v>
      </c>
      <c r="DF8" s="54">
        <f>VLOOKUP($AP8,Tabelle1!$B$4:$AK$153,36,0)</f>
        <v>0</v>
      </c>
      <c r="DG8" s="55">
        <f t="shared" si="0"/>
        <v>0</v>
      </c>
      <c r="DH8">
        <f t="shared" si="1"/>
        <v>0</v>
      </c>
    </row>
    <row r="9" spans="1:112" ht="15" thickBot="1">
      <c r="A9" s="15">
        <v>5</v>
      </c>
      <c r="B9" s="56" t="str">
        <f t="shared" si="2"/>
        <v>5 - Jungvieh 1/2 bis 1 Jahr - Gülle</v>
      </c>
      <c r="C9" s="57" t="s">
        <v>187</v>
      </c>
      <c r="D9" s="58">
        <v>34.4</v>
      </c>
      <c r="E9" s="59"/>
      <c r="F9" s="59"/>
      <c r="G9" s="59"/>
      <c r="H9" s="60"/>
      <c r="I9" s="61">
        <v>3.4</v>
      </c>
      <c r="J9" s="3"/>
      <c r="K9" s="62"/>
      <c r="L9" s="61">
        <v>0.60000000000000009</v>
      </c>
      <c r="M9" s="62">
        <v>1</v>
      </c>
      <c r="N9" s="61">
        <v>13.5</v>
      </c>
      <c r="O9" s="3"/>
      <c r="P9" s="3"/>
      <c r="Q9" s="38"/>
      <c r="R9" s="63"/>
      <c r="S9" s="49">
        <v>43.1</v>
      </c>
      <c r="T9" s="38"/>
      <c r="U9" s="38"/>
      <c r="V9" s="38"/>
      <c r="W9" s="63"/>
      <c r="X9" s="429"/>
      <c r="Y9" s="430"/>
      <c r="Z9" s="430"/>
      <c r="AA9" s="431"/>
      <c r="AB9" s="430"/>
      <c r="AC9" s="430"/>
      <c r="AD9" s="430"/>
      <c r="AE9" s="431"/>
      <c r="AF9" s="61">
        <v>29.9</v>
      </c>
      <c r="AG9" s="3"/>
      <c r="AH9" s="62"/>
      <c r="AI9" s="64" t="s">
        <v>187</v>
      </c>
      <c r="AJ9" s="65">
        <v>34</v>
      </c>
      <c r="AK9" s="66">
        <v>34</v>
      </c>
      <c r="AL9" s="54">
        <f t="shared" si="3"/>
        <v>5</v>
      </c>
      <c r="AM9" s="536" t="s">
        <v>188</v>
      </c>
      <c r="AN9" s="71"/>
      <c r="AO9" s="72"/>
      <c r="AP9" s="29">
        <f>Tiere!B9</f>
        <v>0</v>
      </c>
      <c r="AQ9" s="30">
        <f>IF(AP9=0,0,Tiere!I9)</f>
        <v>0</v>
      </c>
      <c r="AR9" s="31">
        <f>VLOOKUP($AP9,Tabelle1!$B$4:$AE$153,12,0)*$AQ9</f>
        <v>0</v>
      </c>
      <c r="AS9" s="32">
        <f>VLOOKUP($AP9,Tabelle1!$B$4:$W$153,3,0)*$AR9</f>
        <v>0</v>
      </c>
      <c r="AT9" s="33">
        <f>VLOOKUP($AP9,Tabelle1!$B$4:$W$153,4,0)*$AR9</f>
        <v>0</v>
      </c>
      <c r="AU9" s="34">
        <f>VLOOKUP($AP9,Tabelle1!$B$4:$W$153,5,0)*$AR9</f>
        <v>0</v>
      </c>
      <c r="AV9" s="34">
        <f>VLOOKUP($AP9,Tabelle1!$B$4:$W$153,6,0)*$AR9</f>
        <v>0</v>
      </c>
      <c r="AW9" s="35">
        <f>VLOOKUP($AP9,Tabelle1!$B$4:$W$153,7,0)*$AR9</f>
        <v>0</v>
      </c>
      <c r="AX9" s="36">
        <f t="shared" si="4"/>
        <v>0</v>
      </c>
      <c r="AY9" s="37">
        <f>VLOOKUP($AP9,Tabelle1!$B$4:$W$153,8,0)*$AQ9</f>
        <v>0</v>
      </c>
      <c r="AZ9" s="38">
        <f>VLOOKUP($AP9,Tabelle1!$B$4:$W$153,9,0)*$AQ9</f>
        <v>0</v>
      </c>
      <c r="BA9" s="39">
        <f>VLOOKUP($AP9,Tabelle1!$B$4:$W$153,10,0)*$AQ9</f>
        <v>0</v>
      </c>
      <c r="BB9" s="40">
        <f>VLOOKUP($AP9,Tabelle1!$B$4:$W$153,11,0)*$AQ9</f>
        <v>0</v>
      </c>
      <c r="BC9" s="40">
        <f t="shared" si="5"/>
        <v>0</v>
      </c>
      <c r="BD9" s="33">
        <f>VLOOKUP($AP9,Tabelle1!$B$4:$W$153,13,0)*$AR9</f>
        <v>0</v>
      </c>
      <c r="BE9" s="34">
        <f>VLOOKUP($AP9,Tabelle1!$B$4:$W$153,14,0)*$AR9</f>
        <v>0</v>
      </c>
      <c r="BF9" s="34">
        <f>VLOOKUP($AP9,Tabelle1!$B$4:$W$153,15,0)*$AR9</f>
        <v>0</v>
      </c>
      <c r="BG9" s="34">
        <f>VLOOKUP($AP9,Tabelle1!$B$4:$W$153,16,0)*$AR9</f>
        <v>0</v>
      </c>
      <c r="BH9" s="35">
        <f>VLOOKUP($AP9,Tabelle1!$B$4:$W$153,17,0)*$AR9</f>
        <v>0</v>
      </c>
      <c r="BI9" s="41">
        <f t="shared" si="6"/>
        <v>0</v>
      </c>
      <c r="BJ9" s="42">
        <f>VLOOKUP($AP9,Tabelle1!$B$4:$W$153,18,0)*$AR9</f>
        <v>0</v>
      </c>
      <c r="BK9" s="3">
        <f>VLOOKUP($AP9,Tabelle1!$B$4:$W$153,19,0)*$AR9</f>
        <v>0</v>
      </c>
      <c r="BL9" s="3">
        <f>VLOOKUP($AP9,Tabelle1!$B$4:$W$153,20,0)*$AR9</f>
        <v>0</v>
      </c>
      <c r="BM9" s="3">
        <f>VLOOKUP($AP9,Tabelle1!$B$4:$W$153,21,0)*$AR9</f>
        <v>0</v>
      </c>
      <c r="BN9" s="43">
        <f>VLOOKUP($AP9,Tabelle1!$B$4:$W$153,22,0)*$AR9</f>
        <v>0</v>
      </c>
      <c r="BO9" s="44">
        <f t="shared" si="7"/>
        <v>0</v>
      </c>
      <c r="BP9" s="45">
        <f>Tiere!K9</f>
        <v>0</v>
      </c>
      <c r="BQ9" s="46">
        <f>Tiere!L9</f>
        <v>0</v>
      </c>
      <c r="BR9" s="45">
        <f>Tiere!M9</f>
        <v>0</v>
      </c>
      <c r="BS9" s="31">
        <f>Tiere!N9</f>
        <v>0</v>
      </c>
      <c r="BT9" s="47">
        <f t="shared" si="8"/>
        <v>0</v>
      </c>
      <c r="BU9" s="47">
        <f t="shared" si="9"/>
        <v>0</v>
      </c>
      <c r="BV9" s="32">
        <f t="shared" si="10"/>
        <v>0</v>
      </c>
      <c r="BW9" s="33">
        <f t="shared" si="11"/>
        <v>0</v>
      </c>
      <c r="BX9" s="34">
        <f t="shared" si="12"/>
        <v>0</v>
      </c>
      <c r="BY9" s="34">
        <f t="shared" si="13"/>
        <v>0</v>
      </c>
      <c r="BZ9" s="48">
        <f t="shared" si="14"/>
        <v>0</v>
      </c>
      <c r="CA9" s="36">
        <f t="shared" si="15"/>
        <v>0</v>
      </c>
      <c r="CB9" s="40">
        <f t="shared" si="16"/>
        <v>0</v>
      </c>
      <c r="CC9" s="40">
        <f t="shared" si="17"/>
        <v>0</v>
      </c>
      <c r="CD9" s="40">
        <f t="shared" si="18"/>
        <v>0</v>
      </c>
      <c r="CE9" s="40">
        <f t="shared" si="19"/>
        <v>0</v>
      </c>
      <c r="CF9" s="49">
        <f t="shared" si="20"/>
        <v>0</v>
      </c>
      <c r="CG9" s="36">
        <f t="shared" si="21"/>
        <v>0</v>
      </c>
      <c r="CH9" s="32">
        <f t="shared" si="22"/>
        <v>0</v>
      </c>
      <c r="CI9" s="33">
        <f t="shared" si="23"/>
        <v>0</v>
      </c>
      <c r="CJ9" s="34">
        <f t="shared" si="24"/>
        <v>0</v>
      </c>
      <c r="CK9" s="34">
        <f t="shared" si="25"/>
        <v>0</v>
      </c>
      <c r="CL9" s="48">
        <f t="shared" si="26"/>
        <v>0</v>
      </c>
      <c r="CM9" s="32">
        <f t="shared" si="27"/>
        <v>0</v>
      </c>
      <c r="CN9" s="33">
        <f t="shared" si="28"/>
        <v>0</v>
      </c>
      <c r="CO9" s="34">
        <f t="shared" si="29"/>
        <v>0</v>
      </c>
      <c r="CP9" s="34">
        <f t="shared" si="30"/>
        <v>0</v>
      </c>
      <c r="CQ9" s="48">
        <f t="shared" si="31"/>
        <v>0</v>
      </c>
      <c r="CR9" s="32">
        <f t="shared" si="32"/>
        <v>0</v>
      </c>
      <c r="CS9" s="33">
        <f t="shared" si="33"/>
        <v>0</v>
      </c>
      <c r="CT9" s="34">
        <f t="shared" si="34"/>
        <v>0</v>
      </c>
      <c r="CU9" s="34">
        <f t="shared" si="35"/>
        <v>0</v>
      </c>
      <c r="CV9" s="48">
        <f t="shared" si="36"/>
        <v>0</v>
      </c>
      <c r="CW9" s="32">
        <f t="shared" si="37"/>
        <v>0</v>
      </c>
      <c r="CX9" s="33">
        <f t="shared" si="38"/>
        <v>0</v>
      </c>
      <c r="CY9" s="34">
        <f t="shared" si="39"/>
        <v>0</v>
      </c>
      <c r="CZ9" s="34">
        <f t="shared" si="40"/>
        <v>0</v>
      </c>
      <c r="DA9" s="48">
        <f t="shared" si="41"/>
        <v>0</v>
      </c>
      <c r="DB9" s="50">
        <f>VLOOKUP($AP9,Tabelle1!$B$4:$W$153,11,0)*$BR9</f>
        <v>0</v>
      </c>
      <c r="DC9" s="51">
        <f t="shared" si="42"/>
        <v>0</v>
      </c>
      <c r="DD9" s="52">
        <f>VLOOKUP($AP9,Tabelle1!$B$4:$AJ$153,35,0)</f>
        <v>0</v>
      </c>
      <c r="DE9" s="53">
        <f t="shared" si="43"/>
        <v>0</v>
      </c>
      <c r="DF9" s="54">
        <f>VLOOKUP($AP9,Tabelle1!$B$4:$AK$153,36,0)</f>
        <v>0</v>
      </c>
      <c r="DG9" s="55">
        <f t="shared" si="0"/>
        <v>0</v>
      </c>
      <c r="DH9">
        <f t="shared" si="1"/>
        <v>0</v>
      </c>
    </row>
    <row r="10" spans="1:112" ht="15" thickBot="1">
      <c r="A10" s="15">
        <v>6</v>
      </c>
      <c r="B10" s="56" t="str">
        <f t="shared" si="2"/>
        <v>6 - Jungvieh 1/2 bis 1 Jahr - Mist/Jauche</v>
      </c>
      <c r="C10" s="57" t="s">
        <v>189</v>
      </c>
      <c r="D10" s="58"/>
      <c r="E10" s="59"/>
      <c r="F10" s="59"/>
      <c r="G10" s="59">
        <v>14.2</v>
      </c>
      <c r="H10" s="60">
        <v>14.2</v>
      </c>
      <c r="I10" s="61"/>
      <c r="J10" s="3">
        <v>1.7000000000000002</v>
      </c>
      <c r="K10" s="62">
        <v>1.8</v>
      </c>
      <c r="L10" s="61">
        <v>0.60000000000000009</v>
      </c>
      <c r="M10" s="62">
        <v>1</v>
      </c>
      <c r="N10" s="61"/>
      <c r="O10" s="3"/>
      <c r="P10" s="3"/>
      <c r="Q10" s="38">
        <v>0.67500000000000004</v>
      </c>
      <c r="R10" s="63">
        <v>12.824999999999999</v>
      </c>
      <c r="S10" s="49"/>
      <c r="T10" s="38"/>
      <c r="U10" s="38"/>
      <c r="V10" s="38">
        <v>14.223000000000001</v>
      </c>
      <c r="W10" s="63">
        <v>28.876999999999999</v>
      </c>
      <c r="X10" s="429"/>
      <c r="Y10" s="430"/>
      <c r="Z10" s="430"/>
      <c r="AA10" s="431"/>
      <c r="AB10" s="430"/>
      <c r="AC10" s="430"/>
      <c r="AD10" s="430"/>
      <c r="AE10" s="431"/>
      <c r="AF10" s="61"/>
      <c r="AG10" s="3">
        <v>12.4</v>
      </c>
      <c r="AH10" s="62">
        <v>12.9</v>
      </c>
      <c r="AI10" s="64" t="s">
        <v>189</v>
      </c>
      <c r="AJ10" s="65">
        <v>34</v>
      </c>
      <c r="AK10" s="66">
        <v>34</v>
      </c>
      <c r="AL10" s="54">
        <f t="shared" si="3"/>
        <v>5</v>
      </c>
      <c r="AM10" s="536" t="s">
        <v>190</v>
      </c>
      <c r="AN10" s="73"/>
      <c r="AO10" s="72"/>
      <c r="AP10" s="74">
        <f>Tiere!B10</f>
        <v>0</v>
      </c>
      <c r="AQ10" s="30">
        <f>IF(AP10=0,0,Tiere!I10)</f>
        <v>0</v>
      </c>
      <c r="AR10" s="31">
        <f>VLOOKUP($AP10,Tabelle1!$B$4:$AE$153,12,0)*$AQ10</f>
        <v>0</v>
      </c>
      <c r="AS10" s="32">
        <f>VLOOKUP($AP10,Tabelle1!$B$4:$W$153,3,0)*$AR10</f>
        <v>0</v>
      </c>
      <c r="AT10" s="33">
        <f>VLOOKUP($AP10,Tabelle1!$B$4:$W$153,4,0)*$AR10</f>
        <v>0</v>
      </c>
      <c r="AU10" s="34">
        <f>VLOOKUP($AP10,Tabelle1!$B$4:$W$153,5,0)*$AR10</f>
        <v>0</v>
      </c>
      <c r="AV10" s="34">
        <f>VLOOKUP($AP10,Tabelle1!$B$4:$W$153,6,0)*$AR10</f>
        <v>0</v>
      </c>
      <c r="AW10" s="35">
        <f>VLOOKUP($AP10,Tabelle1!$B$4:$W$153,7,0)*$AR10</f>
        <v>0</v>
      </c>
      <c r="AX10" s="36">
        <f t="shared" si="4"/>
        <v>0</v>
      </c>
      <c r="AY10" s="37">
        <f>VLOOKUP($AP10,Tabelle1!$B$4:$W$153,8,0)*$AQ10</f>
        <v>0</v>
      </c>
      <c r="AZ10" s="38">
        <f>VLOOKUP($AP10,Tabelle1!$B$4:$W$153,9,0)*$AQ10</f>
        <v>0</v>
      </c>
      <c r="BA10" s="39">
        <f>VLOOKUP($AP10,Tabelle1!$B$4:$W$153,10,0)*$AQ10</f>
        <v>0</v>
      </c>
      <c r="BB10" s="40">
        <f>VLOOKUP($AP10,Tabelle1!$B$4:$W$153,11,0)*$AQ10</f>
        <v>0</v>
      </c>
      <c r="BC10" s="40">
        <f t="shared" si="5"/>
        <v>0</v>
      </c>
      <c r="BD10" s="33">
        <f>VLOOKUP($AP10,Tabelle1!$B$4:$W$153,13,0)*$AR10</f>
        <v>0</v>
      </c>
      <c r="BE10" s="34">
        <f>VLOOKUP($AP10,Tabelle1!$B$4:$W$153,14,0)*$AR10</f>
        <v>0</v>
      </c>
      <c r="BF10" s="34">
        <f>VLOOKUP($AP10,Tabelle1!$B$4:$W$153,15,0)*$AR10</f>
        <v>0</v>
      </c>
      <c r="BG10" s="34">
        <f>VLOOKUP($AP10,Tabelle1!$B$4:$W$153,16,0)*$AR10</f>
        <v>0</v>
      </c>
      <c r="BH10" s="35">
        <f>VLOOKUP($AP10,Tabelle1!$B$4:$W$153,17,0)*$AR10</f>
        <v>0</v>
      </c>
      <c r="BI10" s="41">
        <f t="shared" si="6"/>
        <v>0</v>
      </c>
      <c r="BJ10" s="42">
        <f>VLOOKUP($AP10,Tabelle1!$B$4:$W$153,18,0)*$AR10</f>
        <v>0</v>
      </c>
      <c r="BK10" s="3">
        <f>VLOOKUP($AP10,Tabelle1!$B$4:$W$153,19,0)*$AR10</f>
        <v>0</v>
      </c>
      <c r="BL10" s="3">
        <f>VLOOKUP($AP10,Tabelle1!$B$4:$W$153,20,0)*$AR10</f>
        <v>0</v>
      </c>
      <c r="BM10" s="3">
        <f>VLOOKUP($AP10,Tabelle1!$B$4:$W$153,21,0)*$AR10</f>
        <v>0</v>
      </c>
      <c r="BN10" s="43">
        <f>VLOOKUP($AP10,Tabelle1!$B$4:$W$153,22,0)*$AR10</f>
        <v>0</v>
      </c>
      <c r="BO10" s="44">
        <f t="shared" si="7"/>
        <v>0</v>
      </c>
      <c r="BP10" s="45">
        <f>Tiere!K10</f>
        <v>0</v>
      </c>
      <c r="BQ10" s="46">
        <f>Tiere!L10</f>
        <v>0</v>
      </c>
      <c r="BR10" s="45">
        <f>Tiere!M10</f>
        <v>0</v>
      </c>
      <c r="BS10" s="31">
        <f>Tiere!N10</f>
        <v>0</v>
      </c>
      <c r="BT10" s="47">
        <f t="shared" si="8"/>
        <v>0</v>
      </c>
      <c r="BU10" s="47">
        <f t="shared" si="9"/>
        <v>0</v>
      </c>
      <c r="BV10" s="32">
        <f t="shared" si="10"/>
        <v>0</v>
      </c>
      <c r="BW10" s="33">
        <f t="shared" si="11"/>
        <v>0</v>
      </c>
      <c r="BX10" s="34">
        <f t="shared" si="12"/>
        <v>0</v>
      </c>
      <c r="BY10" s="34">
        <f t="shared" si="13"/>
        <v>0</v>
      </c>
      <c r="BZ10" s="48">
        <f t="shared" si="14"/>
        <v>0</v>
      </c>
      <c r="CA10" s="36">
        <f t="shared" si="15"/>
        <v>0</v>
      </c>
      <c r="CB10" s="40">
        <f t="shared" si="16"/>
        <v>0</v>
      </c>
      <c r="CC10" s="40">
        <f t="shared" si="17"/>
        <v>0</v>
      </c>
      <c r="CD10" s="40">
        <f t="shared" si="18"/>
        <v>0</v>
      </c>
      <c r="CE10" s="40">
        <f t="shared" si="19"/>
        <v>0</v>
      </c>
      <c r="CF10" s="49">
        <f t="shared" si="20"/>
        <v>0</v>
      </c>
      <c r="CG10" s="36">
        <f t="shared" si="21"/>
        <v>0</v>
      </c>
      <c r="CH10" s="32">
        <f t="shared" si="22"/>
        <v>0</v>
      </c>
      <c r="CI10" s="33">
        <f t="shared" si="23"/>
        <v>0</v>
      </c>
      <c r="CJ10" s="34">
        <f t="shared" si="24"/>
        <v>0</v>
      </c>
      <c r="CK10" s="34">
        <f t="shared" si="25"/>
        <v>0</v>
      </c>
      <c r="CL10" s="48">
        <f t="shared" si="26"/>
        <v>0</v>
      </c>
      <c r="CM10" s="32">
        <f t="shared" si="27"/>
        <v>0</v>
      </c>
      <c r="CN10" s="33">
        <f t="shared" si="28"/>
        <v>0</v>
      </c>
      <c r="CO10" s="34">
        <f t="shared" si="29"/>
        <v>0</v>
      </c>
      <c r="CP10" s="34">
        <f t="shared" si="30"/>
        <v>0</v>
      </c>
      <c r="CQ10" s="48">
        <f t="shared" si="31"/>
        <v>0</v>
      </c>
      <c r="CR10" s="32">
        <f t="shared" si="32"/>
        <v>0</v>
      </c>
      <c r="CS10" s="33">
        <f t="shared" si="33"/>
        <v>0</v>
      </c>
      <c r="CT10" s="34">
        <f t="shared" si="34"/>
        <v>0</v>
      </c>
      <c r="CU10" s="34">
        <f t="shared" si="35"/>
        <v>0</v>
      </c>
      <c r="CV10" s="48">
        <f t="shared" si="36"/>
        <v>0</v>
      </c>
      <c r="CW10" s="32">
        <f t="shared" si="37"/>
        <v>0</v>
      </c>
      <c r="CX10" s="33">
        <f t="shared" si="38"/>
        <v>0</v>
      </c>
      <c r="CY10" s="34">
        <f t="shared" si="39"/>
        <v>0</v>
      </c>
      <c r="CZ10" s="34">
        <f t="shared" si="40"/>
        <v>0</v>
      </c>
      <c r="DA10" s="48">
        <f t="shared" si="41"/>
        <v>0</v>
      </c>
      <c r="DB10" s="50">
        <f>VLOOKUP($AP10,Tabelle1!$B$4:$W$153,11,0)*$BR10</f>
        <v>0</v>
      </c>
      <c r="DC10" s="51">
        <f t="shared" si="42"/>
        <v>0</v>
      </c>
      <c r="DD10" s="52">
        <f>VLOOKUP($AP10,Tabelle1!$B$4:$AJ$153,35,0)</f>
        <v>0</v>
      </c>
      <c r="DE10" s="53">
        <f t="shared" si="43"/>
        <v>0</v>
      </c>
      <c r="DF10" s="54">
        <f>VLOOKUP($AP10,Tabelle1!$B$4:$AK$153,36,0)</f>
        <v>0</v>
      </c>
      <c r="DG10" s="55">
        <f t="shared" si="0"/>
        <v>0</v>
      </c>
      <c r="DH10">
        <f t="shared" si="1"/>
        <v>0</v>
      </c>
    </row>
    <row r="11" spans="1:112" ht="15" thickBot="1">
      <c r="A11" s="15">
        <v>7</v>
      </c>
      <c r="B11" s="56" t="str">
        <f t="shared" si="2"/>
        <v>7 - Jungvieh 1/2 bis 1 Jahr - Tiefstallmist</v>
      </c>
      <c r="C11" s="57" t="s">
        <v>191</v>
      </c>
      <c r="D11" s="58"/>
      <c r="E11" s="59"/>
      <c r="F11" s="59"/>
      <c r="G11" s="59"/>
      <c r="H11" s="60">
        <v>28.4</v>
      </c>
      <c r="I11" s="61"/>
      <c r="J11" s="3"/>
      <c r="K11" s="62">
        <v>3.9</v>
      </c>
      <c r="L11" s="61">
        <v>0.60000000000000009</v>
      </c>
      <c r="M11" s="62">
        <v>1</v>
      </c>
      <c r="N11" s="61"/>
      <c r="O11" s="3"/>
      <c r="P11" s="3"/>
      <c r="Q11" s="38"/>
      <c r="R11" s="63">
        <v>13.5</v>
      </c>
      <c r="S11" s="49"/>
      <c r="T11" s="38"/>
      <c r="U11" s="38"/>
      <c r="V11" s="38"/>
      <c r="W11" s="63">
        <v>43.1</v>
      </c>
      <c r="X11" s="429"/>
      <c r="Y11" s="430"/>
      <c r="Z11" s="430"/>
      <c r="AA11" s="431"/>
      <c r="AB11" s="430"/>
      <c r="AC11" s="430"/>
      <c r="AD11" s="430"/>
      <c r="AE11" s="431"/>
      <c r="AF11" s="61"/>
      <c r="AG11" s="3"/>
      <c r="AH11" s="62">
        <v>25.8</v>
      </c>
      <c r="AI11" s="64" t="s">
        <v>191</v>
      </c>
      <c r="AJ11" s="65">
        <v>34</v>
      </c>
      <c r="AK11" s="66">
        <v>34</v>
      </c>
      <c r="AL11" s="54">
        <f t="shared" si="3"/>
        <v>5</v>
      </c>
      <c r="AM11" s="536" t="s">
        <v>192</v>
      </c>
      <c r="AN11" s="19" t="s">
        <v>25</v>
      </c>
      <c r="AO11" s="75" t="e">
        <f>Acker!#REF!-Acker!#REF!</f>
        <v>#REF!</v>
      </c>
      <c r="AP11" s="29">
        <f>Tiere!B11</f>
        <v>0</v>
      </c>
      <c r="AQ11" s="30">
        <f>IF(AP11=0,0,Tiere!I11)</f>
        <v>0</v>
      </c>
      <c r="AR11" s="31">
        <f>VLOOKUP($AP11,Tabelle1!$B$4:$AE$153,12,0)*$AQ11</f>
        <v>0</v>
      </c>
      <c r="AS11" s="32">
        <f>VLOOKUP($AP11,Tabelle1!$B$4:$W$153,3,0)*$AR11</f>
        <v>0</v>
      </c>
      <c r="AT11" s="33">
        <f>VLOOKUP($AP11,Tabelle1!$B$4:$W$153,4,0)*$AR11</f>
        <v>0</v>
      </c>
      <c r="AU11" s="34">
        <f>VLOOKUP($AP11,Tabelle1!$B$4:$W$153,5,0)*$AR11</f>
        <v>0</v>
      </c>
      <c r="AV11" s="34">
        <f>VLOOKUP($AP11,Tabelle1!$B$4:$W$153,6,0)*$AR11</f>
        <v>0</v>
      </c>
      <c r="AW11" s="35">
        <f>VLOOKUP($AP11,Tabelle1!$B$4:$W$153,7,0)*$AR11</f>
        <v>0</v>
      </c>
      <c r="AX11" s="36">
        <f t="shared" si="4"/>
        <v>0</v>
      </c>
      <c r="AY11" s="37">
        <f>VLOOKUP($AP11,Tabelle1!$B$4:$W$153,8,0)*$AQ11</f>
        <v>0</v>
      </c>
      <c r="AZ11" s="38">
        <f>VLOOKUP($AP11,Tabelle1!$B$4:$W$153,9,0)*$AQ11</f>
        <v>0</v>
      </c>
      <c r="BA11" s="39">
        <f>VLOOKUP($AP11,Tabelle1!$B$4:$W$153,10,0)*$AQ11</f>
        <v>0</v>
      </c>
      <c r="BB11" s="40">
        <f>VLOOKUP($AP11,Tabelle1!$B$4:$W$153,11,0)*$AQ11</f>
        <v>0</v>
      </c>
      <c r="BC11" s="40">
        <f t="shared" si="5"/>
        <v>0</v>
      </c>
      <c r="BD11" s="33">
        <f>VLOOKUP($AP11,Tabelle1!$B$4:$W$153,13,0)*$AR11</f>
        <v>0</v>
      </c>
      <c r="BE11" s="34">
        <f>VLOOKUP($AP11,Tabelle1!$B$4:$W$153,14,0)*$AR11</f>
        <v>0</v>
      </c>
      <c r="BF11" s="34">
        <f>VLOOKUP($AP11,Tabelle1!$B$4:$W$153,15,0)*$AR11</f>
        <v>0</v>
      </c>
      <c r="BG11" s="34">
        <f>VLOOKUP($AP11,Tabelle1!$B$4:$W$153,16,0)*$AR11</f>
        <v>0</v>
      </c>
      <c r="BH11" s="35">
        <f>VLOOKUP($AP11,Tabelle1!$B$4:$W$153,17,0)*$AR11</f>
        <v>0</v>
      </c>
      <c r="BI11" s="41">
        <f t="shared" si="6"/>
        <v>0</v>
      </c>
      <c r="BJ11" s="42">
        <f>VLOOKUP($AP11,Tabelle1!$B$4:$W$153,18,0)*$AR11</f>
        <v>0</v>
      </c>
      <c r="BK11" s="3">
        <f>VLOOKUP($AP11,Tabelle1!$B$4:$W$153,19,0)*$AR11</f>
        <v>0</v>
      </c>
      <c r="BL11" s="3">
        <f>VLOOKUP($AP11,Tabelle1!$B$4:$W$153,20,0)*$AR11</f>
        <v>0</v>
      </c>
      <c r="BM11" s="3">
        <f>VLOOKUP($AP11,Tabelle1!$B$4:$W$153,21,0)*$AR11</f>
        <v>0</v>
      </c>
      <c r="BN11" s="43">
        <f>VLOOKUP($AP11,Tabelle1!$B$4:$W$153,22,0)*$AR11</f>
        <v>0</v>
      </c>
      <c r="BO11" s="44">
        <f t="shared" si="7"/>
        <v>0</v>
      </c>
      <c r="BP11" s="45">
        <f>Tiere!K11</f>
        <v>0</v>
      </c>
      <c r="BQ11" s="46">
        <f>Tiere!L11</f>
        <v>0</v>
      </c>
      <c r="BR11" s="45">
        <f>Tiere!M11</f>
        <v>0</v>
      </c>
      <c r="BS11" s="31">
        <f>Tiere!N11</f>
        <v>0</v>
      </c>
      <c r="BT11" s="47">
        <f t="shared" si="8"/>
        <v>0</v>
      </c>
      <c r="BU11" s="47">
        <f t="shared" si="9"/>
        <v>0</v>
      </c>
      <c r="BV11" s="32">
        <f t="shared" si="10"/>
        <v>0</v>
      </c>
      <c r="BW11" s="33">
        <f t="shared" si="11"/>
        <v>0</v>
      </c>
      <c r="BX11" s="34">
        <f t="shared" si="12"/>
        <v>0</v>
      </c>
      <c r="BY11" s="34">
        <f t="shared" si="13"/>
        <v>0</v>
      </c>
      <c r="BZ11" s="48">
        <f t="shared" si="14"/>
        <v>0</v>
      </c>
      <c r="CA11" s="36">
        <f t="shared" si="15"/>
        <v>0</v>
      </c>
      <c r="CB11" s="40">
        <f t="shared" si="16"/>
        <v>0</v>
      </c>
      <c r="CC11" s="40">
        <f t="shared" si="17"/>
        <v>0</v>
      </c>
      <c r="CD11" s="40">
        <f t="shared" si="18"/>
        <v>0</v>
      </c>
      <c r="CE11" s="40">
        <f t="shared" si="19"/>
        <v>0</v>
      </c>
      <c r="CF11" s="49">
        <f t="shared" si="20"/>
        <v>0</v>
      </c>
      <c r="CG11" s="36">
        <f t="shared" si="21"/>
        <v>0</v>
      </c>
      <c r="CH11" s="32">
        <f t="shared" si="22"/>
        <v>0</v>
      </c>
      <c r="CI11" s="33">
        <f t="shared" si="23"/>
        <v>0</v>
      </c>
      <c r="CJ11" s="34">
        <f t="shared" si="24"/>
        <v>0</v>
      </c>
      <c r="CK11" s="34">
        <f t="shared" si="25"/>
        <v>0</v>
      </c>
      <c r="CL11" s="48">
        <f t="shared" si="26"/>
        <v>0</v>
      </c>
      <c r="CM11" s="32">
        <f t="shared" si="27"/>
        <v>0</v>
      </c>
      <c r="CN11" s="33">
        <f t="shared" si="28"/>
        <v>0</v>
      </c>
      <c r="CO11" s="34">
        <f t="shared" si="29"/>
        <v>0</v>
      </c>
      <c r="CP11" s="34">
        <f t="shared" si="30"/>
        <v>0</v>
      </c>
      <c r="CQ11" s="48">
        <f t="shared" si="31"/>
        <v>0</v>
      </c>
      <c r="CR11" s="32">
        <f t="shared" si="32"/>
        <v>0</v>
      </c>
      <c r="CS11" s="33">
        <f t="shared" si="33"/>
        <v>0</v>
      </c>
      <c r="CT11" s="34">
        <f t="shared" si="34"/>
        <v>0</v>
      </c>
      <c r="CU11" s="34">
        <f t="shared" si="35"/>
        <v>0</v>
      </c>
      <c r="CV11" s="48">
        <f t="shared" si="36"/>
        <v>0</v>
      </c>
      <c r="CW11" s="32">
        <f t="shared" si="37"/>
        <v>0</v>
      </c>
      <c r="CX11" s="33">
        <f t="shared" si="38"/>
        <v>0</v>
      </c>
      <c r="CY11" s="34">
        <f t="shared" si="39"/>
        <v>0</v>
      </c>
      <c r="CZ11" s="34">
        <f t="shared" si="40"/>
        <v>0</v>
      </c>
      <c r="DA11" s="48">
        <f t="shared" si="41"/>
        <v>0</v>
      </c>
      <c r="DB11" s="50">
        <f>VLOOKUP($AP11,Tabelle1!$B$4:$W$153,11,0)*$BR11</f>
        <v>0</v>
      </c>
      <c r="DC11" s="51">
        <f t="shared" si="42"/>
        <v>0</v>
      </c>
      <c r="DD11" s="52">
        <f>VLOOKUP($AP11,Tabelle1!$B$4:$AJ$153,35,0)</f>
        <v>0</v>
      </c>
      <c r="DE11" s="53">
        <f t="shared" si="43"/>
        <v>0</v>
      </c>
      <c r="DF11" s="54">
        <f>VLOOKUP($AP11,Tabelle1!$B$4:$AK$153,36,0)</f>
        <v>0</v>
      </c>
      <c r="DG11" s="55">
        <f t="shared" si="0"/>
        <v>0</v>
      </c>
      <c r="DH11">
        <f t="shared" si="1"/>
        <v>0</v>
      </c>
    </row>
    <row r="12" spans="1:112" ht="15" thickBot="1">
      <c r="A12" s="15">
        <v>8</v>
      </c>
      <c r="B12" s="56" t="str">
        <f t="shared" si="2"/>
        <v>8 - Jungvieh 1 bis 2 Jahr - Gülle</v>
      </c>
      <c r="C12" s="57" t="s">
        <v>193</v>
      </c>
      <c r="D12" s="58">
        <v>45.6</v>
      </c>
      <c r="E12" s="59"/>
      <c r="F12" s="59"/>
      <c r="G12" s="59"/>
      <c r="H12" s="60"/>
      <c r="I12" s="61">
        <v>5.8</v>
      </c>
      <c r="J12" s="3"/>
      <c r="K12" s="62"/>
      <c r="L12" s="61">
        <v>0.60000000000000009</v>
      </c>
      <c r="M12" s="62">
        <v>1</v>
      </c>
      <c r="N12" s="61">
        <v>19.600000000000001</v>
      </c>
      <c r="O12" s="3"/>
      <c r="P12" s="3"/>
      <c r="Q12" s="38"/>
      <c r="R12" s="63"/>
      <c r="S12" s="49">
        <v>74.8</v>
      </c>
      <c r="T12" s="38"/>
      <c r="U12" s="38"/>
      <c r="V12" s="38"/>
      <c r="W12" s="63"/>
      <c r="X12" s="429"/>
      <c r="Y12" s="430"/>
      <c r="Z12" s="430"/>
      <c r="AA12" s="431"/>
      <c r="AB12" s="430"/>
      <c r="AC12" s="430"/>
      <c r="AD12" s="430"/>
      <c r="AE12" s="431"/>
      <c r="AF12" s="61">
        <v>39.700000000000003</v>
      </c>
      <c r="AG12" s="3"/>
      <c r="AH12" s="62"/>
      <c r="AI12" s="64" t="s">
        <v>193</v>
      </c>
      <c r="AJ12" s="65">
        <v>51.52</v>
      </c>
      <c r="AK12" s="66">
        <v>51.52</v>
      </c>
      <c r="AL12" s="54">
        <f t="shared" si="3"/>
        <v>3.2996894409937885</v>
      </c>
      <c r="AM12" s="536" t="s">
        <v>194</v>
      </c>
      <c r="AN12" s="19" t="s">
        <v>195</v>
      </c>
      <c r="AO12" s="76">
        <f>IF(Mineral_Dü!H29&lt;=0,1,0)</f>
        <v>1</v>
      </c>
      <c r="AP12" s="29">
        <f>Tiere!B12</f>
        <v>0</v>
      </c>
      <c r="AQ12" s="30">
        <f>IF(AP12=0,0,Tiere!I12)</f>
        <v>0</v>
      </c>
      <c r="AR12" s="31">
        <f>VLOOKUP($AP12,Tabelle1!$B$4:$AE$153,12,0)*$AQ12</f>
        <v>0</v>
      </c>
      <c r="AS12" s="32">
        <f>VLOOKUP($AP12,Tabelle1!$B$4:$W$153,3,0)*$AR12</f>
        <v>0</v>
      </c>
      <c r="AT12" s="33">
        <f>VLOOKUP($AP12,Tabelle1!$B$4:$W$153,4,0)*$AR12</f>
        <v>0</v>
      </c>
      <c r="AU12" s="34">
        <f>VLOOKUP($AP12,Tabelle1!$B$4:$W$153,5,0)*$AR12</f>
        <v>0</v>
      </c>
      <c r="AV12" s="34">
        <f>VLOOKUP($AP12,Tabelle1!$B$4:$W$153,6,0)*$AR12</f>
        <v>0</v>
      </c>
      <c r="AW12" s="35">
        <f>VLOOKUP($AP12,Tabelle1!$B$4:$W$153,7,0)*$AR12</f>
        <v>0</v>
      </c>
      <c r="AX12" s="36">
        <f t="shared" si="4"/>
        <v>0</v>
      </c>
      <c r="AY12" s="37">
        <f>VLOOKUP($AP12,Tabelle1!$B$4:$W$153,8,0)*$AQ12</f>
        <v>0</v>
      </c>
      <c r="AZ12" s="38">
        <f>VLOOKUP($AP12,Tabelle1!$B$4:$W$153,9,0)*$AQ12</f>
        <v>0</v>
      </c>
      <c r="BA12" s="39">
        <f>VLOOKUP($AP12,Tabelle1!$B$4:$W$153,10,0)*$AQ12</f>
        <v>0</v>
      </c>
      <c r="BB12" s="40">
        <f>VLOOKUP($AP12,Tabelle1!$B$4:$W$153,11,0)*$AQ12</f>
        <v>0</v>
      </c>
      <c r="BC12" s="40">
        <f t="shared" si="5"/>
        <v>0</v>
      </c>
      <c r="BD12" s="33">
        <f>VLOOKUP($AP12,Tabelle1!$B$4:$W$153,13,0)*$AR12</f>
        <v>0</v>
      </c>
      <c r="BE12" s="34">
        <f>VLOOKUP($AP12,Tabelle1!$B$4:$W$153,14,0)*$AR12</f>
        <v>0</v>
      </c>
      <c r="BF12" s="34">
        <f>VLOOKUP($AP12,Tabelle1!$B$4:$W$153,15,0)*$AR12</f>
        <v>0</v>
      </c>
      <c r="BG12" s="34">
        <f>VLOOKUP($AP12,Tabelle1!$B$4:$W$153,16,0)*$AR12</f>
        <v>0</v>
      </c>
      <c r="BH12" s="35">
        <f>VLOOKUP($AP12,Tabelle1!$B$4:$W$153,17,0)*$AR12</f>
        <v>0</v>
      </c>
      <c r="BI12" s="41">
        <f t="shared" si="6"/>
        <v>0</v>
      </c>
      <c r="BJ12" s="42">
        <f>VLOOKUP($AP12,Tabelle1!$B$4:$W$153,18,0)*$AR12</f>
        <v>0</v>
      </c>
      <c r="BK12" s="3">
        <f>VLOOKUP($AP12,Tabelle1!$B$4:$W$153,19,0)*$AR12</f>
        <v>0</v>
      </c>
      <c r="BL12" s="3">
        <f>VLOOKUP($AP12,Tabelle1!$B$4:$W$153,20,0)*$AR12</f>
        <v>0</v>
      </c>
      <c r="BM12" s="3">
        <f>VLOOKUP($AP12,Tabelle1!$B$4:$W$153,21,0)*$AR12</f>
        <v>0</v>
      </c>
      <c r="BN12" s="43">
        <f>VLOOKUP($AP12,Tabelle1!$B$4:$W$153,22,0)*$AR12</f>
        <v>0</v>
      </c>
      <c r="BO12" s="44">
        <f t="shared" si="7"/>
        <v>0</v>
      </c>
      <c r="BP12" s="45">
        <f>Tiere!K12</f>
        <v>0</v>
      </c>
      <c r="BQ12" s="46">
        <f>Tiere!L12</f>
        <v>0</v>
      </c>
      <c r="BR12" s="45">
        <f>Tiere!M12</f>
        <v>0</v>
      </c>
      <c r="BS12" s="31">
        <f>Tiere!N12</f>
        <v>0</v>
      </c>
      <c r="BT12" s="47">
        <f t="shared" si="8"/>
        <v>0</v>
      </c>
      <c r="BU12" s="47">
        <f t="shared" si="9"/>
        <v>0</v>
      </c>
      <c r="BV12" s="32">
        <f t="shared" si="10"/>
        <v>0</v>
      </c>
      <c r="BW12" s="33">
        <f t="shared" si="11"/>
        <v>0</v>
      </c>
      <c r="BX12" s="34">
        <f t="shared" si="12"/>
        <v>0</v>
      </c>
      <c r="BY12" s="34">
        <f t="shared" si="13"/>
        <v>0</v>
      </c>
      <c r="BZ12" s="48">
        <f t="shared" si="14"/>
        <v>0</v>
      </c>
      <c r="CA12" s="36">
        <f t="shared" si="15"/>
        <v>0</v>
      </c>
      <c r="CB12" s="40">
        <f t="shared" si="16"/>
        <v>0</v>
      </c>
      <c r="CC12" s="40">
        <f t="shared" si="17"/>
        <v>0</v>
      </c>
      <c r="CD12" s="40">
        <f t="shared" si="18"/>
        <v>0</v>
      </c>
      <c r="CE12" s="40">
        <f t="shared" si="19"/>
        <v>0</v>
      </c>
      <c r="CF12" s="49">
        <f t="shared" si="20"/>
        <v>0</v>
      </c>
      <c r="CG12" s="36">
        <f t="shared" si="21"/>
        <v>0</v>
      </c>
      <c r="CH12" s="32">
        <f t="shared" si="22"/>
        <v>0</v>
      </c>
      <c r="CI12" s="33">
        <f t="shared" si="23"/>
        <v>0</v>
      </c>
      <c r="CJ12" s="34">
        <f t="shared" si="24"/>
        <v>0</v>
      </c>
      <c r="CK12" s="34">
        <f t="shared" si="25"/>
        <v>0</v>
      </c>
      <c r="CL12" s="48">
        <f t="shared" si="26"/>
        <v>0</v>
      </c>
      <c r="CM12" s="32">
        <f t="shared" si="27"/>
        <v>0</v>
      </c>
      <c r="CN12" s="33">
        <f t="shared" si="28"/>
        <v>0</v>
      </c>
      <c r="CO12" s="34">
        <f t="shared" si="29"/>
        <v>0</v>
      </c>
      <c r="CP12" s="34">
        <f t="shared" si="30"/>
        <v>0</v>
      </c>
      <c r="CQ12" s="48">
        <f t="shared" si="31"/>
        <v>0</v>
      </c>
      <c r="CR12" s="32">
        <f t="shared" si="32"/>
        <v>0</v>
      </c>
      <c r="CS12" s="33">
        <f t="shared" si="33"/>
        <v>0</v>
      </c>
      <c r="CT12" s="34">
        <f t="shared" si="34"/>
        <v>0</v>
      </c>
      <c r="CU12" s="34">
        <f t="shared" si="35"/>
        <v>0</v>
      </c>
      <c r="CV12" s="48">
        <f t="shared" si="36"/>
        <v>0</v>
      </c>
      <c r="CW12" s="32">
        <f t="shared" si="37"/>
        <v>0</v>
      </c>
      <c r="CX12" s="33">
        <f t="shared" si="38"/>
        <v>0</v>
      </c>
      <c r="CY12" s="34">
        <f t="shared" si="39"/>
        <v>0</v>
      </c>
      <c r="CZ12" s="34">
        <f t="shared" si="40"/>
        <v>0</v>
      </c>
      <c r="DA12" s="48">
        <f t="shared" si="41"/>
        <v>0</v>
      </c>
      <c r="DB12" s="50">
        <f>VLOOKUP($AP12,Tabelle1!$B$4:$W$153,11,0)*$BR12</f>
        <v>0</v>
      </c>
      <c r="DC12" s="51">
        <f t="shared" si="42"/>
        <v>0</v>
      </c>
      <c r="DD12" s="52">
        <f>VLOOKUP($AP12,Tabelle1!$B$4:$AJ$153,35,0)</f>
        <v>0</v>
      </c>
      <c r="DE12" s="53">
        <f t="shared" si="43"/>
        <v>0</v>
      </c>
      <c r="DF12" s="54">
        <f>VLOOKUP($AP12,Tabelle1!$B$4:$AK$153,36,0)</f>
        <v>0</v>
      </c>
      <c r="DG12" s="55">
        <f t="shared" si="0"/>
        <v>0</v>
      </c>
      <c r="DH12">
        <f t="shared" si="1"/>
        <v>0</v>
      </c>
    </row>
    <row r="13" spans="1:112" ht="14.25" customHeight="1" thickBot="1">
      <c r="A13" s="15">
        <v>9</v>
      </c>
      <c r="B13" s="56" t="str">
        <f t="shared" si="2"/>
        <v>9 - Jungvieh 1 bis 2 Jahr - Mist/Jauche</v>
      </c>
      <c r="C13" s="57" t="s">
        <v>196</v>
      </c>
      <c r="D13" s="58"/>
      <c r="E13" s="59"/>
      <c r="F13" s="59"/>
      <c r="G13" s="59">
        <v>18.7</v>
      </c>
      <c r="H13" s="60">
        <v>18.8</v>
      </c>
      <c r="I13" s="61"/>
      <c r="J13" s="3">
        <v>2.9</v>
      </c>
      <c r="K13" s="63">
        <v>3</v>
      </c>
      <c r="L13" s="61">
        <v>0.60000000000000009</v>
      </c>
      <c r="M13" s="62">
        <v>1</v>
      </c>
      <c r="N13" s="61"/>
      <c r="O13" s="3"/>
      <c r="P13" s="3"/>
      <c r="Q13" s="38">
        <v>0.98</v>
      </c>
      <c r="R13" s="63">
        <v>18.62</v>
      </c>
      <c r="S13" s="49"/>
      <c r="T13" s="38"/>
      <c r="U13" s="38"/>
      <c r="V13" s="38">
        <v>24.684000000000001</v>
      </c>
      <c r="W13" s="63">
        <v>50.116</v>
      </c>
      <c r="X13" s="429"/>
      <c r="Y13" s="430"/>
      <c r="Z13" s="430"/>
      <c r="AA13" s="431"/>
      <c r="AB13" s="430"/>
      <c r="AC13" s="430"/>
      <c r="AD13" s="430"/>
      <c r="AE13" s="431"/>
      <c r="AF13" s="61"/>
      <c r="AG13" s="3">
        <v>16.3</v>
      </c>
      <c r="AH13" s="62">
        <v>17.100000000000001</v>
      </c>
      <c r="AI13" s="64" t="s">
        <v>196</v>
      </c>
      <c r="AJ13" s="65">
        <v>51.52</v>
      </c>
      <c r="AK13" s="66">
        <v>51.52</v>
      </c>
      <c r="AL13" s="54">
        <f t="shared" si="3"/>
        <v>3.2996894409937885</v>
      </c>
      <c r="AM13" s="536" t="s">
        <v>197</v>
      </c>
      <c r="AN13" s="77" t="s">
        <v>198</v>
      </c>
      <c r="AO13" s="76"/>
      <c r="AP13" s="29">
        <f>Tiere!B13</f>
        <v>0</v>
      </c>
      <c r="AQ13" s="30">
        <f>IF(AP13=0,0,Tiere!I13)</f>
        <v>0</v>
      </c>
      <c r="AR13" s="31">
        <f>VLOOKUP($AP13,Tabelle1!$B$4:$AE$153,12,0)*$AQ13</f>
        <v>0</v>
      </c>
      <c r="AS13" s="32">
        <f>VLOOKUP($AP13,Tabelle1!$B$4:$W$153,3,0)*$AR13</f>
        <v>0</v>
      </c>
      <c r="AT13" s="33">
        <f>VLOOKUP($AP13,Tabelle1!$B$4:$W$153,4,0)*$AR13</f>
        <v>0</v>
      </c>
      <c r="AU13" s="34">
        <f>VLOOKUP($AP13,Tabelle1!$B$4:$W$153,5,0)*$AR13</f>
        <v>0</v>
      </c>
      <c r="AV13" s="34">
        <f>VLOOKUP($AP13,Tabelle1!$B$4:$W$153,6,0)*$AR13</f>
        <v>0</v>
      </c>
      <c r="AW13" s="35">
        <f>VLOOKUP($AP13,Tabelle1!$B$4:$W$153,7,0)*$AR13</f>
        <v>0</v>
      </c>
      <c r="AX13" s="36">
        <f t="shared" si="4"/>
        <v>0</v>
      </c>
      <c r="AY13" s="37">
        <f>VLOOKUP($AP13,Tabelle1!$B$4:$W$153,8,0)*$AQ13</f>
        <v>0</v>
      </c>
      <c r="AZ13" s="38">
        <f>VLOOKUP($AP13,Tabelle1!$B$4:$W$153,9,0)*$AQ13</f>
        <v>0</v>
      </c>
      <c r="BA13" s="39">
        <f>VLOOKUP($AP13,Tabelle1!$B$4:$W$153,10,0)*$AQ13</f>
        <v>0</v>
      </c>
      <c r="BB13" s="40">
        <f>VLOOKUP($AP13,Tabelle1!$B$4:$W$153,11,0)*$AQ13</f>
        <v>0</v>
      </c>
      <c r="BC13" s="40">
        <f t="shared" si="5"/>
        <v>0</v>
      </c>
      <c r="BD13" s="33">
        <f>VLOOKUP($AP13,Tabelle1!$B$4:$W$153,13,0)*$AR13</f>
        <v>0</v>
      </c>
      <c r="BE13" s="34">
        <f>VLOOKUP($AP13,Tabelle1!$B$4:$W$153,14,0)*$AR13</f>
        <v>0</v>
      </c>
      <c r="BF13" s="34">
        <f>VLOOKUP($AP13,Tabelle1!$B$4:$W$153,15,0)*$AR13</f>
        <v>0</v>
      </c>
      <c r="BG13" s="34">
        <f>VLOOKUP($AP13,Tabelle1!$B$4:$W$153,16,0)*$AR13</f>
        <v>0</v>
      </c>
      <c r="BH13" s="35">
        <f>VLOOKUP($AP13,Tabelle1!$B$4:$W$153,17,0)*$AR13</f>
        <v>0</v>
      </c>
      <c r="BI13" s="41">
        <f t="shared" si="6"/>
        <v>0</v>
      </c>
      <c r="BJ13" s="42">
        <f>VLOOKUP($AP13,Tabelle1!$B$4:$W$153,18,0)*$AR13</f>
        <v>0</v>
      </c>
      <c r="BK13" s="3">
        <f>VLOOKUP($AP13,Tabelle1!$B$4:$W$153,19,0)*$AR13</f>
        <v>0</v>
      </c>
      <c r="BL13" s="3">
        <f>VLOOKUP($AP13,Tabelle1!$B$4:$W$153,20,0)*$AR13</f>
        <v>0</v>
      </c>
      <c r="BM13" s="3">
        <f>VLOOKUP($AP13,Tabelle1!$B$4:$W$153,21,0)*$AR13</f>
        <v>0</v>
      </c>
      <c r="BN13" s="43">
        <f>VLOOKUP($AP13,Tabelle1!$B$4:$W$153,22,0)*$AR13</f>
        <v>0</v>
      </c>
      <c r="BO13" s="44">
        <f t="shared" si="7"/>
        <v>0</v>
      </c>
      <c r="BP13" s="45">
        <f>Tiere!K13</f>
        <v>0</v>
      </c>
      <c r="BQ13" s="46">
        <f>Tiere!L13</f>
        <v>0</v>
      </c>
      <c r="BR13" s="45">
        <f>Tiere!M13</f>
        <v>0</v>
      </c>
      <c r="BS13" s="31">
        <f>Tiere!N13</f>
        <v>0</v>
      </c>
      <c r="BT13" s="47">
        <f t="shared" si="8"/>
        <v>0</v>
      </c>
      <c r="BU13" s="47">
        <f t="shared" si="9"/>
        <v>0</v>
      </c>
      <c r="BV13" s="32">
        <f t="shared" si="10"/>
        <v>0</v>
      </c>
      <c r="BW13" s="33">
        <f t="shared" si="11"/>
        <v>0</v>
      </c>
      <c r="BX13" s="34">
        <f t="shared" si="12"/>
        <v>0</v>
      </c>
      <c r="BY13" s="34">
        <f t="shared" si="13"/>
        <v>0</v>
      </c>
      <c r="BZ13" s="48">
        <f t="shared" si="14"/>
        <v>0</v>
      </c>
      <c r="CA13" s="36">
        <f t="shared" si="15"/>
        <v>0</v>
      </c>
      <c r="CB13" s="40">
        <f t="shared" si="16"/>
        <v>0</v>
      </c>
      <c r="CC13" s="40">
        <f t="shared" si="17"/>
        <v>0</v>
      </c>
      <c r="CD13" s="40">
        <f t="shared" si="18"/>
        <v>0</v>
      </c>
      <c r="CE13" s="40">
        <f t="shared" si="19"/>
        <v>0</v>
      </c>
      <c r="CF13" s="49">
        <f t="shared" si="20"/>
        <v>0</v>
      </c>
      <c r="CG13" s="36">
        <f t="shared" si="21"/>
        <v>0</v>
      </c>
      <c r="CH13" s="32">
        <f t="shared" si="22"/>
        <v>0</v>
      </c>
      <c r="CI13" s="33">
        <f t="shared" si="23"/>
        <v>0</v>
      </c>
      <c r="CJ13" s="34">
        <f t="shared" si="24"/>
        <v>0</v>
      </c>
      <c r="CK13" s="34">
        <f t="shared" si="25"/>
        <v>0</v>
      </c>
      <c r="CL13" s="48">
        <f t="shared" si="26"/>
        <v>0</v>
      </c>
      <c r="CM13" s="32">
        <f t="shared" si="27"/>
        <v>0</v>
      </c>
      <c r="CN13" s="33">
        <f t="shared" si="28"/>
        <v>0</v>
      </c>
      <c r="CO13" s="34">
        <f t="shared" si="29"/>
        <v>0</v>
      </c>
      <c r="CP13" s="34">
        <f t="shared" si="30"/>
        <v>0</v>
      </c>
      <c r="CQ13" s="48">
        <f t="shared" si="31"/>
        <v>0</v>
      </c>
      <c r="CR13" s="32">
        <f t="shared" si="32"/>
        <v>0</v>
      </c>
      <c r="CS13" s="33">
        <f t="shared" si="33"/>
        <v>0</v>
      </c>
      <c r="CT13" s="34">
        <f t="shared" si="34"/>
        <v>0</v>
      </c>
      <c r="CU13" s="34">
        <f t="shared" si="35"/>
        <v>0</v>
      </c>
      <c r="CV13" s="48">
        <f t="shared" si="36"/>
        <v>0</v>
      </c>
      <c r="CW13" s="32">
        <f t="shared" si="37"/>
        <v>0</v>
      </c>
      <c r="CX13" s="33">
        <f t="shared" si="38"/>
        <v>0</v>
      </c>
      <c r="CY13" s="34">
        <f t="shared" si="39"/>
        <v>0</v>
      </c>
      <c r="CZ13" s="34">
        <f t="shared" si="40"/>
        <v>0</v>
      </c>
      <c r="DA13" s="48">
        <f t="shared" si="41"/>
        <v>0</v>
      </c>
      <c r="DB13" s="50">
        <f>VLOOKUP($AP13,Tabelle1!$B$4:$W$153,11,0)*$BR13</f>
        <v>0</v>
      </c>
      <c r="DC13" s="51">
        <f t="shared" si="42"/>
        <v>0</v>
      </c>
      <c r="DD13" s="52">
        <f>VLOOKUP($AP13,Tabelle1!$B$4:$AJ$153,35,0)</f>
        <v>0</v>
      </c>
      <c r="DE13" s="53">
        <f t="shared" si="43"/>
        <v>0</v>
      </c>
      <c r="DF13" s="54">
        <f>VLOOKUP($AP13,Tabelle1!$B$4:$AK$153,36,0)</f>
        <v>0</v>
      </c>
      <c r="DG13" s="55">
        <f t="shared" si="0"/>
        <v>0</v>
      </c>
      <c r="DH13">
        <f t="shared" si="1"/>
        <v>0</v>
      </c>
    </row>
    <row r="14" spans="1:112" ht="15" thickBot="1">
      <c r="A14" s="15">
        <v>10</v>
      </c>
      <c r="B14" s="56" t="str">
        <f t="shared" si="2"/>
        <v>10 - Jungvieh 1 bis 2 Jahr - Tiefstallmist</v>
      </c>
      <c r="C14" s="57" t="s">
        <v>199</v>
      </c>
      <c r="D14" s="58"/>
      <c r="E14" s="59"/>
      <c r="F14" s="59"/>
      <c r="G14" s="59"/>
      <c r="H14" s="60">
        <v>37.5</v>
      </c>
      <c r="I14" s="61"/>
      <c r="J14" s="3"/>
      <c r="K14" s="62">
        <v>6.2</v>
      </c>
      <c r="L14" s="61">
        <v>0.60000000000000009</v>
      </c>
      <c r="M14" s="62">
        <v>1</v>
      </c>
      <c r="N14" s="61"/>
      <c r="O14" s="3"/>
      <c r="P14" s="3"/>
      <c r="Q14" s="38"/>
      <c r="R14" s="63">
        <v>19.600000000000001</v>
      </c>
      <c r="S14" s="49"/>
      <c r="T14" s="38"/>
      <c r="U14" s="38"/>
      <c r="V14" s="38"/>
      <c r="W14" s="63">
        <v>74.8</v>
      </c>
      <c r="X14" s="429"/>
      <c r="Y14" s="430"/>
      <c r="Z14" s="430"/>
      <c r="AA14" s="431"/>
      <c r="AB14" s="430"/>
      <c r="AC14" s="430"/>
      <c r="AD14" s="430"/>
      <c r="AE14" s="431"/>
      <c r="AF14" s="61"/>
      <c r="AG14" s="3"/>
      <c r="AH14" s="62">
        <v>34.1</v>
      </c>
      <c r="AI14" s="64" t="s">
        <v>199</v>
      </c>
      <c r="AJ14" s="65">
        <v>51.52</v>
      </c>
      <c r="AK14" s="66">
        <v>51.52</v>
      </c>
      <c r="AL14" s="54">
        <f t="shared" si="3"/>
        <v>3.2996894409937885</v>
      </c>
      <c r="AM14" s="536" t="s">
        <v>200</v>
      </c>
      <c r="AN14" s="3" t="e">
        <f>IF(Betrieb!#REF!="JA","ÖPUL 2015","")</f>
        <v>#REF!</v>
      </c>
      <c r="AO14" s="72" t="e">
        <f>IF(Betrieb!#REF!="JA",1,0)</f>
        <v>#REF!</v>
      </c>
      <c r="AP14" s="29">
        <f>Tiere!B14</f>
        <v>0</v>
      </c>
      <c r="AQ14" s="30">
        <f>IF(AP14=0,0,Tiere!I14)</f>
        <v>0</v>
      </c>
      <c r="AR14" s="31">
        <f>VLOOKUP($AP14,Tabelle1!$B$4:$AE$153,12,0)*$AQ14</f>
        <v>0</v>
      </c>
      <c r="AS14" s="32">
        <f>VLOOKUP($AP14,Tabelle1!$B$4:$W$153,3,0)*$AR14</f>
        <v>0</v>
      </c>
      <c r="AT14" s="33">
        <f>VLOOKUP($AP14,Tabelle1!$B$4:$W$153,4,0)*$AR14</f>
        <v>0</v>
      </c>
      <c r="AU14" s="34">
        <f>VLOOKUP($AP14,Tabelle1!$B$4:$W$153,5,0)*$AR14</f>
        <v>0</v>
      </c>
      <c r="AV14" s="34">
        <f>VLOOKUP($AP14,Tabelle1!$B$4:$W$153,6,0)*$AR14</f>
        <v>0</v>
      </c>
      <c r="AW14" s="35">
        <f>VLOOKUP($AP14,Tabelle1!$B$4:$W$153,7,0)*$AR14</f>
        <v>0</v>
      </c>
      <c r="AX14" s="36">
        <f t="shared" si="4"/>
        <v>0</v>
      </c>
      <c r="AY14" s="37">
        <f>VLOOKUP($AP14,Tabelle1!$B$4:$W$153,8,0)*$AQ14</f>
        <v>0</v>
      </c>
      <c r="AZ14" s="38">
        <f>VLOOKUP($AP14,Tabelle1!$B$4:$W$153,9,0)*$AQ14</f>
        <v>0</v>
      </c>
      <c r="BA14" s="39">
        <f>VLOOKUP($AP14,Tabelle1!$B$4:$W$153,10,0)*$AQ14</f>
        <v>0</v>
      </c>
      <c r="BB14" s="40">
        <f>VLOOKUP($AP14,Tabelle1!$B$4:$W$153,11,0)*$AQ14</f>
        <v>0</v>
      </c>
      <c r="BC14" s="40">
        <f t="shared" si="5"/>
        <v>0</v>
      </c>
      <c r="BD14" s="33">
        <f>VLOOKUP($AP14,Tabelle1!$B$4:$W$153,13,0)*$AR14</f>
        <v>0</v>
      </c>
      <c r="BE14" s="34">
        <f>VLOOKUP($AP14,Tabelle1!$B$4:$W$153,14,0)*$AR14</f>
        <v>0</v>
      </c>
      <c r="BF14" s="34">
        <f>VLOOKUP($AP14,Tabelle1!$B$4:$W$153,15,0)*$AR14</f>
        <v>0</v>
      </c>
      <c r="BG14" s="34">
        <f>VLOOKUP($AP14,Tabelle1!$B$4:$W$153,16,0)*$AR14</f>
        <v>0</v>
      </c>
      <c r="BH14" s="35">
        <f>VLOOKUP($AP14,Tabelle1!$B$4:$W$153,17,0)*$AR14</f>
        <v>0</v>
      </c>
      <c r="BI14" s="41">
        <f t="shared" si="6"/>
        <v>0</v>
      </c>
      <c r="BJ14" s="42">
        <f>VLOOKUP($AP14,Tabelle1!$B$4:$W$153,18,0)*$AR14</f>
        <v>0</v>
      </c>
      <c r="BK14" s="3">
        <f>VLOOKUP($AP14,Tabelle1!$B$4:$W$153,19,0)*$AR14</f>
        <v>0</v>
      </c>
      <c r="BL14" s="3">
        <f>VLOOKUP($AP14,Tabelle1!$B$4:$W$153,20,0)*$AR14</f>
        <v>0</v>
      </c>
      <c r="BM14" s="3">
        <f>VLOOKUP($AP14,Tabelle1!$B$4:$W$153,21,0)*$AR14</f>
        <v>0</v>
      </c>
      <c r="BN14" s="43">
        <f>VLOOKUP($AP14,Tabelle1!$B$4:$W$153,22,0)*$AR14</f>
        <v>0</v>
      </c>
      <c r="BO14" s="44">
        <f t="shared" si="7"/>
        <v>0</v>
      </c>
      <c r="BP14" s="45">
        <f>Tiere!K14</f>
        <v>0</v>
      </c>
      <c r="BQ14" s="46">
        <f>Tiere!L14</f>
        <v>0</v>
      </c>
      <c r="BR14" s="45">
        <f>Tiere!M14</f>
        <v>0</v>
      </c>
      <c r="BS14" s="31">
        <f>Tiere!N14</f>
        <v>0</v>
      </c>
      <c r="BT14" s="47">
        <f t="shared" si="8"/>
        <v>0</v>
      </c>
      <c r="BU14" s="47">
        <f t="shared" si="9"/>
        <v>0</v>
      </c>
      <c r="BV14" s="32">
        <f t="shared" si="10"/>
        <v>0</v>
      </c>
      <c r="BW14" s="33">
        <f t="shared" si="11"/>
        <v>0</v>
      </c>
      <c r="BX14" s="34">
        <f t="shared" si="12"/>
        <v>0</v>
      </c>
      <c r="BY14" s="34">
        <f t="shared" si="13"/>
        <v>0</v>
      </c>
      <c r="BZ14" s="48">
        <f t="shared" si="14"/>
        <v>0</v>
      </c>
      <c r="CA14" s="36">
        <f t="shared" si="15"/>
        <v>0</v>
      </c>
      <c r="CB14" s="40">
        <f t="shared" si="16"/>
        <v>0</v>
      </c>
      <c r="CC14" s="40">
        <f t="shared" si="17"/>
        <v>0</v>
      </c>
      <c r="CD14" s="40">
        <f t="shared" si="18"/>
        <v>0</v>
      </c>
      <c r="CE14" s="40">
        <f t="shared" si="19"/>
        <v>0</v>
      </c>
      <c r="CF14" s="49">
        <f t="shared" si="20"/>
        <v>0</v>
      </c>
      <c r="CG14" s="36">
        <f t="shared" si="21"/>
        <v>0</v>
      </c>
      <c r="CH14" s="32">
        <f t="shared" si="22"/>
        <v>0</v>
      </c>
      <c r="CI14" s="33">
        <f t="shared" si="23"/>
        <v>0</v>
      </c>
      <c r="CJ14" s="34">
        <f t="shared" si="24"/>
        <v>0</v>
      </c>
      <c r="CK14" s="34">
        <f t="shared" si="25"/>
        <v>0</v>
      </c>
      <c r="CL14" s="48">
        <f t="shared" si="26"/>
        <v>0</v>
      </c>
      <c r="CM14" s="32">
        <f t="shared" si="27"/>
        <v>0</v>
      </c>
      <c r="CN14" s="33">
        <f t="shared" si="28"/>
        <v>0</v>
      </c>
      <c r="CO14" s="34">
        <f t="shared" si="29"/>
        <v>0</v>
      </c>
      <c r="CP14" s="34">
        <f t="shared" si="30"/>
        <v>0</v>
      </c>
      <c r="CQ14" s="48">
        <f t="shared" si="31"/>
        <v>0</v>
      </c>
      <c r="CR14" s="32">
        <f t="shared" si="32"/>
        <v>0</v>
      </c>
      <c r="CS14" s="33">
        <f t="shared" si="33"/>
        <v>0</v>
      </c>
      <c r="CT14" s="34">
        <f t="shared" si="34"/>
        <v>0</v>
      </c>
      <c r="CU14" s="34">
        <f t="shared" si="35"/>
        <v>0</v>
      </c>
      <c r="CV14" s="48">
        <f t="shared" si="36"/>
        <v>0</v>
      </c>
      <c r="CW14" s="32">
        <f t="shared" si="37"/>
        <v>0</v>
      </c>
      <c r="CX14" s="33">
        <f t="shared" si="38"/>
        <v>0</v>
      </c>
      <c r="CY14" s="34">
        <f t="shared" si="39"/>
        <v>0</v>
      </c>
      <c r="CZ14" s="34">
        <f t="shared" si="40"/>
        <v>0</v>
      </c>
      <c r="DA14" s="48">
        <f t="shared" si="41"/>
        <v>0</v>
      </c>
      <c r="DB14" s="50">
        <f>VLOOKUP($AP14,Tabelle1!$B$4:$W$153,11,0)*$BR14</f>
        <v>0</v>
      </c>
      <c r="DC14" s="51">
        <f t="shared" si="42"/>
        <v>0</v>
      </c>
      <c r="DD14" s="52">
        <f>VLOOKUP($AP14,Tabelle1!$B$4:$AJ$153,35,0)</f>
        <v>0</v>
      </c>
      <c r="DE14" s="53">
        <f t="shared" si="43"/>
        <v>0</v>
      </c>
      <c r="DF14" s="54">
        <f>VLOOKUP($AP14,Tabelle1!$B$4:$AK$153,36,0)</f>
        <v>0</v>
      </c>
      <c r="DG14" s="55">
        <f t="shared" si="0"/>
        <v>0</v>
      </c>
      <c r="DH14">
        <f t="shared" si="1"/>
        <v>0</v>
      </c>
    </row>
    <row r="15" spans="1:112" ht="15" thickBot="1">
      <c r="A15" s="15">
        <v>11</v>
      </c>
      <c r="B15" s="56" t="str">
        <f t="shared" si="2"/>
        <v>11 - Ochsen, Stiere - Gülle</v>
      </c>
      <c r="C15" s="57" t="s">
        <v>201</v>
      </c>
      <c r="D15" s="58">
        <v>54.7</v>
      </c>
      <c r="E15" s="59"/>
      <c r="F15" s="59"/>
      <c r="G15" s="59"/>
      <c r="H15" s="60"/>
      <c r="I15" s="61">
        <v>7.1</v>
      </c>
      <c r="J15" s="3"/>
      <c r="K15" s="62"/>
      <c r="L15" s="61">
        <v>1</v>
      </c>
      <c r="M15" s="62">
        <v>1</v>
      </c>
      <c r="N15" s="61">
        <v>24.8</v>
      </c>
      <c r="O15" s="3"/>
      <c r="P15" s="3"/>
      <c r="Q15" s="38"/>
      <c r="R15" s="63"/>
      <c r="S15" s="49">
        <v>84.9</v>
      </c>
      <c r="T15" s="38"/>
      <c r="U15" s="38"/>
      <c r="V15" s="38"/>
      <c r="W15" s="63"/>
      <c r="X15" s="429"/>
      <c r="Y15" s="430"/>
      <c r="Z15" s="430"/>
      <c r="AA15" s="431"/>
      <c r="AB15" s="430"/>
      <c r="AC15" s="430"/>
      <c r="AD15" s="430"/>
      <c r="AE15" s="431"/>
      <c r="AF15" s="61">
        <v>47.6</v>
      </c>
      <c r="AG15" s="3"/>
      <c r="AH15" s="62"/>
      <c r="AI15" s="64" t="s">
        <v>201</v>
      </c>
      <c r="AJ15" s="65">
        <v>85</v>
      </c>
      <c r="AK15" s="66">
        <f>85*L15</f>
        <v>85</v>
      </c>
      <c r="AL15" s="54">
        <f t="shared" si="3"/>
        <v>2</v>
      </c>
      <c r="AM15" s="536" t="s">
        <v>202</v>
      </c>
      <c r="AN15" s="3" t="str">
        <f>IF(Betrieb!E9="JA","Bio","")</f>
        <v/>
      </c>
      <c r="AO15" s="72">
        <f>IF(Betrieb!E9="JA",1,0)</f>
        <v>0</v>
      </c>
      <c r="AP15" s="29">
        <f>Tiere!B15</f>
        <v>0</v>
      </c>
      <c r="AQ15" s="30">
        <f>IF(AP15=0,0,Tiere!I15)</f>
        <v>0</v>
      </c>
      <c r="AR15" s="31">
        <f>VLOOKUP($AP15,Tabelle1!$B$4:$AE$153,12,0)*$AQ15</f>
        <v>0</v>
      </c>
      <c r="AS15" s="32">
        <f>VLOOKUP($AP15,Tabelle1!$B$4:$W$153,3,0)*$AR15</f>
        <v>0</v>
      </c>
      <c r="AT15" s="33">
        <f>VLOOKUP($AP15,Tabelle1!$B$4:$W$153,4,0)*$AR15</f>
        <v>0</v>
      </c>
      <c r="AU15" s="34">
        <f>VLOOKUP($AP15,Tabelle1!$B$4:$W$153,5,0)*$AR15</f>
        <v>0</v>
      </c>
      <c r="AV15" s="34">
        <f>VLOOKUP($AP15,Tabelle1!$B$4:$W$153,6,0)*$AR15</f>
        <v>0</v>
      </c>
      <c r="AW15" s="35">
        <f>VLOOKUP($AP15,Tabelle1!$B$4:$W$153,7,0)*$AR15</f>
        <v>0</v>
      </c>
      <c r="AX15" s="36">
        <f t="shared" si="4"/>
        <v>0</v>
      </c>
      <c r="AY15" s="37">
        <f>VLOOKUP($AP15,Tabelle1!$B$4:$W$153,8,0)*$AQ15</f>
        <v>0</v>
      </c>
      <c r="AZ15" s="38">
        <f>VLOOKUP($AP15,Tabelle1!$B$4:$W$153,9,0)*$AQ15</f>
        <v>0</v>
      </c>
      <c r="BA15" s="39">
        <f>VLOOKUP($AP15,Tabelle1!$B$4:$W$153,10,0)*$AQ15</f>
        <v>0</v>
      </c>
      <c r="BB15" s="40">
        <f>VLOOKUP($AP15,Tabelle1!$B$4:$W$153,11,0)*$AQ15</f>
        <v>0</v>
      </c>
      <c r="BC15" s="40">
        <f t="shared" si="5"/>
        <v>0</v>
      </c>
      <c r="BD15" s="33">
        <f>VLOOKUP($AP15,Tabelle1!$B$4:$W$153,13,0)*$AR15</f>
        <v>0</v>
      </c>
      <c r="BE15" s="34">
        <f>VLOOKUP($AP15,Tabelle1!$B$4:$W$153,14,0)*$AR15</f>
        <v>0</v>
      </c>
      <c r="BF15" s="34">
        <f>VLOOKUP($AP15,Tabelle1!$B$4:$W$153,15,0)*$AR15</f>
        <v>0</v>
      </c>
      <c r="BG15" s="34">
        <f>VLOOKUP($AP15,Tabelle1!$B$4:$W$153,16,0)*$AR15</f>
        <v>0</v>
      </c>
      <c r="BH15" s="35">
        <f>VLOOKUP($AP15,Tabelle1!$B$4:$W$153,17,0)*$AR15</f>
        <v>0</v>
      </c>
      <c r="BI15" s="41">
        <f t="shared" si="6"/>
        <v>0</v>
      </c>
      <c r="BJ15" s="42">
        <f>VLOOKUP($AP15,Tabelle1!$B$4:$W$153,18,0)*$AR15</f>
        <v>0</v>
      </c>
      <c r="BK15" s="3">
        <f>VLOOKUP($AP15,Tabelle1!$B$4:$W$153,19,0)*$AR15</f>
        <v>0</v>
      </c>
      <c r="BL15" s="3">
        <f>VLOOKUP($AP15,Tabelle1!$B$4:$W$153,20,0)*$AR15</f>
        <v>0</v>
      </c>
      <c r="BM15" s="3">
        <f>VLOOKUP($AP15,Tabelle1!$B$4:$W$153,21,0)*$AR15</f>
        <v>0</v>
      </c>
      <c r="BN15" s="43">
        <f>VLOOKUP($AP15,Tabelle1!$B$4:$W$153,22,0)*$AR15</f>
        <v>0</v>
      </c>
      <c r="BO15" s="44">
        <f t="shared" si="7"/>
        <v>0</v>
      </c>
      <c r="BP15" s="45">
        <f>Tiere!K15</f>
        <v>0</v>
      </c>
      <c r="BQ15" s="46">
        <f>Tiere!L15</f>
        <v>0</v>
      </c>
      <c r="BR15" s="45">
        <f>Tiere!M15</f>
        <v>0</v>
      </c>
      <c r="BS15" s="31">
        <f>Tiere!N15</f>
        <v>0</v>
      </c>
      <c r="BT15" s="47">
        <f t="shared" si="8"/>
        <v>0</v>
      </c>
      <c r="BU15" s="47">
        <f t="shared" si="9"/>
        <v>0</v>
      </c>
      <c r="BV15" s="32">
        <f t="shared" si="10"/>
        <v>0</v>
      </c>
      <c r="BW15" s="33">
        <f t="shared" si="11"/>
        <v>0</v>
      </c>
      <c r="BX15" s="34">
        <f t="shared" si="12"/>
        <v>0</v>
      </c>
      <c r="BY15" s="34">
        <f t="shared" si="13"/>
        <v>0</v>
      </c>
      <c r="BZ15" s="48">
        <f t="shared" si="14"/>
        <v>0</v>
      </c>
      <c r="CA15" s="36">
        <f t="shared" si="15"/>
        <v>0</v>
      </c>
      <c r="CB15" s="40">
        <f t="shared" si="16"/>
        <v>0</v>
      </c>
      <c r="CC15" s="40">
        <f t="shared" si="17"/>
        <v>0</v>
      </c>
      <c r="CD15" s="40">
        <f t="shared" si="18"/>
        <v>0</v>
      </c>
      <c r="CE15" s="40">
        <f t="shared" si="19"/>
        <v>0</v>
      </c>
      <c r="CF15" s="49">
        <f t="shared" si="20"/>
        <v>0</v>
      </c>
      <c r="CG15" s="36">
        <f t="shared" si="21"/>
        <v>0</v>
      </c>
      <c r="CH15" s="32">
        <f t="shared" si="22"/>
        <v>0</v>
      </c>
      <c r="CI15" s="33">
        <f t="shared" si="23"/>
        <v>0</v>
      </c>
      <c r="CJ15" s="34">
        <f t="shared" si="24"/>
        <v>0</v>
      </c>
      <c r="CK15" s="34">
        <f t="shared" si="25"/>
        <v>0</v>
      </c>
      <c r="CL15" s="48">
        <f t="shared" si="26"/>
        <v>0</v>
      </c>
      <c r="CM15" s="32">
        <f t="shared" si="27"/>
        <v>0</v>
      </c>
      <c r="CN15" s="33">
        <f t="shared" si="28"/>
        <v>0</v>
      </c>
      <c r="CO15" s="34">
        <f t="shared" si="29"/>
        <v>0</v>
      </c>
      <c r="CP15" s="34">
        <f t="shared" si="30"/>
        <v>0</v>
      </c>
      <c r="CQ15" s="48">
        <f t="shared" si="31"/>
        <v>0</v>
      </c>
      <c r="CR15" s="32">
        <f t="shared" si="32"/>
        <v>0</v>
      </c>
      <c r="CS15" s="33">
        <f t="shared" si="33"/>
        <v>0</v>
      </c>
      <c r="CT15" s="34">
        <f t="shared" si="34"/>
        <v>0</v>
      </c>
      <c r="CU15" s="34">
        <f t="shared" si="35"/>
        <v>0</v>
      </c>
      <c r="CV15" s="48">
        <f t="shared" si="36"/>
        <v>0</v>
      </c>
      <c r="CW15" s="32">
        <f t="shared" si="37"/>
        <v>0</v>
      </c>
      <c r="CX15" s="33">
        <f t="shared" si="38"/>
        <v>0</v>
      </c>
      <c r="CY15" s="34">
        <f t="shared" si="39"/>
        <v>0</v>
      </c>
      <c r="CZ15" s="34">
        <f t="shared" si="40"/>
        <v>0</v>
      </c>
      <c r="DA15" s="48">
        <f t="shared" si="41"/>
        <v>0</v>
      </c>
      <c r="DB15" s="50">
        <f>VLOOKUP($AP15,Tabelle1!$B$4:$W$153,11,0)*$BR15</f>
        <v>0</v>
      </c>
      <c r="DC15" s="51">
        <f t="shared" si="42"/>
        <v>0</v>
      </c>
      <c r="DD15" s="52">
        <f>VLOOKUP($AP15,Tabelle1!$B$4:$AJ$153,35,0)</f>
        <v>0</v>
      </c>
      <c r="DE15" s="53">
        <f t="shared" si="43"/>
        <v>0</v>
      </c>
      <c r="DF15" s="54">
        <f>VLOOKUP($AP15,Tabelle1!$B$4:$AK$153,36,0)</f>
        <v>0</v>
      </c>
      <c r="DG15" s="55">
        <f t="shared" si="0"/>
        <v>0</v>
      </c>
      <c r="DH15">
        <f t="shared" si="1"/>
        <v>0</v>
      </c>
    </row>
    <row r="16" spans="1:112" ht="15" thickBot="1">
      <c r="A16" s="15">
        <v>12</v>
      </c>
      <c r="B16" s="56" t="str">
        <f t="shared" si="2"/>
        <v>12 - Ochsen, Stiere - Mist/Jauche</v>
      </c>
      <c r="C16" s="57" t="s">
        <v>203</v>
      </c>
      <c r="D16" s="58"/>
      <c r="E16" s="59"/>
      <c r="F16" s="59"/>
      <c r="G16" s="59">
        <v>22.5</v>
      </c>
      <c r="H16" s="60">
        <v>22.6</v>
      </c>
      <c r="I16" s="61"/>
      <c r="J16" s="3">
        <v>3.5</v>
      </c>
      <c r="K16" s="62">
        <v>3.5</v>
      </c>
      <c r="L16" s="61">
        <v>1</v>
      </c>
      <c r="M16" s="62">
        <v>1</v>
      </c>
      <c r="N16" s="61"/>
      <c r="O16" s="3"/>
      <c r="P16" s="3"/>
      <c r="Q16" s="38">
        <v>1.24</v>
      </c>
      <c r="R16" s="63">
        <v>23.56</v>
      </c>
      <c r="S16" s="49"/>
      <c r="T16" s="38"/>
      <c r="U16" s="38"/>
      <c r="V16" s="38">
        <v>28.016999999999999</v>
      </c>
      <c r="W16" s="63">
        <v>56.883000000000003</v>
      </c>
      <c r="X16" s="429"/>
      <c r="Y16" s="430"/>
      <c r="Z16" s="430"/>
      <c r="AA16" s="431"/>
      <c r="AB16" s="430"/>
      <c r="AC16" s="430"/>
      <c r="AD16" s="430"/>
      <c r="AE16" s="431"/>
      <c r="AF16" s="61"/>
      <c r="AG16" s="3">
        <v>19.600000000000001</v>
      </c>
      <c r="AH16" s="62">
        <v>20.6</v>
      </c>
      <c r="AI16" s="64" t="s">
        <v>203</v>
      </c>
      <c r="AJ16" s="65">
        <v>85</v>
      </c>
      <c r="AK16" s="66">
        <f>85*L16</f>
        <v>85</v>
      </c>
      <c r="AL16" s="54">
        <f t="shared" si="3"/>
        <v>2</v>
      </c>
      <c r="AM16" s="536" t="s">
        <v>204</v>
      </c>
      <c r="AN16" s="3" t="str">
        <f>IF(Betrieb!E11="JA","N-zehrend","")</f>
        <v/>
      </c>
      <c r="AO16" s="72">
        <f>IF(Betrieb!E11="JA",1,0)</f>
        <v>0</v>
      </c>
      <c r="AP16" s="29">
        <f>Tiere!B16</f>
        <v>0</v>
      </c>
      <c r="AQ16" s="30">
        <f>IF(AP16=0,0,Tiere!I16)</f>
        <v>0</v>
      </c>
      <c r="AR16" s="31">
        <f>VLOOKUP($AP16,Tabelle1!$B$4:$AE$153,12,0)*$AQ16</f>
        <v>0</v>
      </c>
      <c r="AS16" s="32">
        <f>VLOOKUP($AP16,Tabelle1!$B$4:$W$153,3,0)*$AR16</f>
        <v>0</v>
      </c>
      <c r="AT16" s="33">
        <f>VLOOKUP($AP16,Tabelle1!$B$4:$W$153,4,0)*$AR16</f>
        <v>0</v>
      </c>
      <c r="AU16" s="34">
        <f>VLOOKUP($AP16,Tabelle1!$B$4:$W$153,5,0)*$AR16</f>
        <v>0</v>
      </c>
      <c r="AV16" s="34">
        <f>VLOOKUP($AP16,Tabelle1!$B$4:$W$153,6,0)*$AR16</f>
        <v>0</v>
      </c>
      <c r="AW16" s="35">
        <f>VLOOKUP($AP16,Tabelle1!$B$4:$W$153,7,0)*$AR16</f>
        <v>0</v>
      </c>
      <c r="AX16" s="36">
        <f t="shared" si="4"/>
        <v>0</v>
      </c>
      <c r="AY16" s="37">
        <f>VLOOKUP($AP16,Tabelle1!$B$4:$W$153,8,0)*$AQ16</f>
        <v>0</v>
      </c>
      <c r="AZ16" s="38">
        <f>VLOOKUP($AP16,Tabelle1!$B$4:$W$153,9,0)*$AQ16</f>
        <v>0</v>
      </c>
      <c r="BA16" s="39">
        <f>VLOOKUP($AP16,Tabelle1!$B$4:$W$153,10,0)*$AQ16</f>
        <v>0</v>
      </c>
      <c r="BB16" s="40">
        <f>VLOOKUP($AP16,Tabelle1!$B$4:$W$153,11,0)*$AQ16</f>
        <v>0</v>
      </c>
      <c r="BC16" s="40">
        <f t="shared" si="5"/>
        <v>0</v>
      </c>
      <c r="BD16" s="33">
        <f>VLOOKUP($AP16,Tabelle1!$B$4:$W$153,13,0)*$AR16</f>
        <v>0</v>
      </c>
      <c r="BE16" s="34">
        <f>VLOOKUP($AP16,Tabelle1!$B$4:$W$153,14,0)*$AR16</f>
        <v>0</v>
      </c>
      <c r="BF16" s="34">
        <f>VLOOKUP($AP16,Tabelle1!$B$4:$W$153,15,0)*$AR16</f>
        <v>0</v>
      </c>
      <c r="BG16" s="34">
        <f>VLOOKUP($AP16,Tabelle1!$B$4:$W$153,16,0)*$AR16</f>
        <v>0</v>
      </c>
      <c r="BH16" s="35">
        <f>VLOOKUP($AP16,Tabelle1!$B$4:$W$153,17,0)*$AR16</f>
        <v>0</v>
      </c>
      <c r="BI16" s="41">
        <f t="shared" si="6"/>
        <v>0</v>
      </c>
      <c r="BJ16" s="42">
        <f>VLOOKUP($AP16,Tabelle1!$B$4:$W$153,18,0)*$AR16</f>
        <v>0</v>
      </c>
      <c r="BK16" s="3">
        <f>VLOOKUP($AP16,Tabelle1!$B$4:$W$153,19,0)*$AR16</f>
        <v>0</v>
      </c>
      <c r="BL16" s="3">
        <f>VLOOKUP($AP16,Tabelle1!$B$4:$W$153,20,0)*$AR16</f>
        <v>0</v>
      </c>
      <c r="BM16" s="3">
        <f>VLOOKUP($AP16,Tabelle1!$B$4:$W$153,21,0)*$AR16</f>
        <v>0</v>
      </c>
      <c r="BN16" s="43">
        <f>VLOOKUP($AP16,Tabelle1!$B$4:$W$153,22,0)*$AR16</f>
        <v>0</v>
      </c>
      <c r="BO16" s="44">
        <f t="shared" si="7"/>
        <v>0</v>
      </c>
      <c r="BP16" s="45">
        <f>Tiere!K16</f>
        <v>0</v>
      </c>
      <c r="BQ16" s="46">
        <f>Tiere!L16</f>
        <v>0</v>
      </c>
      <c r="BR16" s="45">
        <f>Tiere!M16</f>
        <v>0</v>
      </c>
      <c r="BS16" s="31">
        <f>Tiere!N16</f>
        <v>0</v>
      </c>
      <c r="BT16" s="47">
        <f t="shared" si="8"/>
        <v>0</v>
      </c>
      <c r="BU16" s="47">
        <f t="shared" si="9"/>
        <v>0</v>
      </c>
      <c r="BV16" s="32">
        <f t="shared" si="10"/>
        <v>0</v>
      </c>
      <c r="BW16" s="33">
        <f t="shared" si="11"/>
        <v>0</v>
      </c>
      <c r="BX16" s="34">
        <f t="shared" si="12"/>
        <v>0</v>
      </c>
      <c r="BY16" s="34">
        <f t="shared" si="13"/>
        <v>0</v>
      </c>
      <c r="BZ16" s="48">
        <f t="shared" si="14"/>
        <v>0</v>
      </c>
      <c r="CA16" s="36">
        <f t="shared" si="15"/>
        <v>0</v>
      </c>
      <c r="CB16" s="40">
        <f t="shared" si="16"/>
        <v>0</v>
      </c>
      <c r="CC16" s="40">
        <f t="shared" si="17"/>
        <v>0</v>
      </c>
      <c r="CD16" s="40">
        <f t="shared" si="18"/>
        <v>0</v>
      </c>
      <c r="CE16" s="40">
        <f t="shared" si="19"/>
        <v>0</v>
      </c>
      <c r="CF16" s="49">
        <f t="shared" si="20"/>
        <v>0</v>
      </c>
      <c r="CG16" s="36">
        <f t="shared" si="21"/>
        <v>0</v>
      </c>
      <c r="CH16" s="32">
        <f t="shared" si="22"/>
        <v>0</v>
      </c>
      <c r="CI16" s="33">
        <f t="shared" si="23"/>
        <v>0</v>
      </c>
      <c r="CJ16" s="34">
        <f t="shared" si="24"/>
        <v>0</v>
      </c>
      <c r="CK16" s="34">
        <f t="shared" si="25"/>
        <v>0</v>
      </c>
      <c r="CL16" s="48">
        <f t="shared" si="26"/>
        <v>0</v>
      </c>
      <c r="CM16" s="32">
        <f t="shared" si="27"/>
        <v>0</v>
      </c>
      <c r="CN16" s="33">
        <f t="shared" si="28"/>
        <v>0</v>
      </c>
      <c r="CO16" s="34">
        <f t="shared" si="29"/>
        <v>0</v>
      </c>
      <c r="CP16" s="34">
        <f t="shared" si="30"/>
        <v>0</v>
      </c>
      <c r="CQ16" s="48">
        <f t="shared" si="31"/>
        <v>0</v>
      </c>
      <c r="CR16" s="32">
        <f t="shared" si="32"/>
        <v>0</v>
      </c>
      <c r="CS16" s="33">
        <f t="shared" si="33"/>
        <v>0</v>
      </c>
      <c r="CT16" s="34">
        <f t="shared" si="34"/>
        <v>0</v>
      </c>
      <c r="CU16" s="34">
        <f t="shared" si="35"/>
        <v>0</v>
      </c>
      <c r="CV16" s="48">
        <f t="shared" si="36"/>
        <v>0</v>
      </c>
      <c r="CW16" s="32">
        <f t="shared" si="37"/>
        <v>0</v>
      </c>
      <c r="CX16" s="33">
        <f t="shared" si="38"/>
        <v>0</v>
      </c>
      <c r="CY16" s="34">
        <f t="shared" si="39"/>
        <v>0</v>
      </c>
      <c r="CZ16" s="34">
        <f t="shared" si="40"/>
        <v>0</v>
      </c>
      <c r="DA16" s="48">
        <f t="shared" si="41"/>
        <v>0</v>
      </c>
      <c r="DB16" s="50">
        <f>VLOOKUP($AP16,Tabelle1!$B$4:$W$153,11,0)*$BR16</f>
        <v>0</v>
      </c>
      <c r="DC16" s="51">
        <f t="shared" si="42"/>
        <v>0</v>
      </c>
      <c r="DD16" s="52">
        <f>VLOOKUP($AP16,Tabelle1!$B$4:$AJ$153,35,0)</f>
        <v>0</v>
      </c>
      <c r="DE16" s="53">
        <f t="shared" si="43"/>
        <v>0</v>
      </c>
      <c r="DF16" s="54">
        <f>VLOOKUP($AP16,Tabelle1!$B$4:$AK$153,36,0)</f>
        <v>0</v>
      </c>
      <c r="DG16" s="55">
        <f t="shared" si="0"/>
        <v>0</v>
      </c>
      <c r="DH16">
        <f t="shared" si="1"/>
        <v>0</v>
      </c>
    </row>
    <row r="17" spans="1:112" ht="15" thickBot="1">
      <c r="A17" s="15">
        <v>13</v>
      </c>
      <c r="B17" s="56" t="str">
        <f t="shared" si="2"/>
        <v>13 - Ochsen, Stiere - Tiefstallmist</v>
      </c>
      <c r="C17" s="57" t="s">
        <v>205</v>
      </c>
      <c r="D17" s="58"/>
      <c r="E17" s="59"/>
      <c r="F17" s="59"/>
      <c r="G17" s="59"/>
      <c r="H17" s="60">
        <v>45.1</v>
      </c>
      <c r="I17" s="61"/>
      <c r="J17" s="3"/>
      <c r="K17" s="62">
        <v>7.7</v>
      </c>
      <c r="L17" s="61">
        <v>1</v>
      </c>
      <c r="M17" s="62">
        <v>1</v>
      </c>
      <c r="N17" s="61"/>
      <c r="O17" s="3"/>
      <c r="P17" s="3"/>
      <c r="Q17" s="38"/>
      <c r="R17" s="63">
        <v>24.8</v>
      </c>
      <c r="S17" s="49"/>
      <c r="T17" s="38"/>
      <c r="U17" s="38"/>
      <c r="V17" s="38"/>
      <c r="W17" s="63">
        <v>84.9</v>
      </c>
      <c r="X17" s="429"/>
      <c r="Y17" s="430"/>
      <c r="Z17" s="430"/>
      <c r="AA17" s="431"/>
      <c r="AB17" s="430"/>
      <c r="AC17" s="430"/>
      <c r="AD17" s="430"/>
      <c r="AE17" s="431"/>
      <c r="AF17" s="61"/>
      <c r="AG17" s="3"/>
      <c r="AH17" s="62">
        <v>41</v>
      </c>
      <c r="AI17" s="64" t="s">
        <v>205</v>
      </c>
      <c r="AJ17" s="65">
        <v>85</v>
      </c>
      <c r="AK17" s="66">
        <f>85*L17</f>
        <v>85</v>
      </c>
      <c r="AL17" s="54">
        <f t="shared" si="3"/>
        <v>2</v>
      </c>
      <c r="AM17" s="535"/>
      <c r="AN17" s="78"/>
      <c r="AO17" s="79"/>
      <c r="AP17" s="29">
        <f>Tiere!B17</f>
        <v>0</v>
      </c>
      <c r="AQ17" s="30">
        <f>IF(AP17=0,0,Tiere!I17)</f>
        <v>0</v>
      </c>
      <c r="AR17" s="31">
        <f>VLOOKUP($AP17,Tabelle1!$B$4:$AE$153,12,0)*$AQ17</f>
        <v>0</v>
      </c>
      <c r="AS17" s="32">
        <f>VLOOKUP($AP17,Tabelle1!$B$4:$W$153,3,0)*$AR17</f>
        <v>0</v>
      </c>
      <c r="AT17" s="33">
        <f>VLOOKUP($AP17,Tabelle1!$B$4:$W$153,4,0)*$AR17</f>
        <v>0</v>
      </c>
      <c r="AU17" s="34">
        <f>VLOOKUP($AP17,Tabelle1!$B$4:$W$153,5,0)*$AR17</f>
        <v>0</v>
      </c>
      <c r="AV17" s="34">
        <f>VLOOKUP($AP17,Tabelle1!$B$4:$W$153,6,0)*$AR17</f>
        <v>0</v>
      </c>
      <c r="AW17" s="35">
        <f>VLOOKUP($AP17,Tabelle1!$B$4:$W$153,7,0)*$AR17</f>
        <v>0</v>
      </c>
      <c r="AX17" s="36">
        <f t="shared" si="4"/>
        <v>0</v>
      </c>
      <c r="AY17" s="37">
        <f>VLOOKUP($AP17,Tabelle1!$B$4:$W$153,8,0)*$AQ17</f>
        <v>0</v>
      </c>
      <c r="AZ17" s="38">
        <f>VLOOKUP($AP17,Tabelle1!$B$4:$W$153,9,0)*$AQ17</f>
        <v>0</v>
      </c>
      <c r="BA17" s="39">
        <f>VLOOKUP($AP17,Tabelle1!$B$4:$W$153,10,0)*$AQ17</f>
        <v>0</v>
      </c>
      <c r="BB17" s="40">
        <f>VLOOKUP($AP17,Tabelle1!$B$4:$W$153,11,0)*$AQ17</f>
        <v>0</v>
      </c>
      <c r="BC17" s="40">
        <f t="shared" si="5"/>
        <v>0</v>
      </c>
      <c r="BD17" s="33">
        <f>VLOOKUP($AP17,Tabelle1!$B$4:$W$153,13,0)*$AR17</f>
        <v>0</v>
      </c>
      <c r="BE17" s="34">
        <f>VLOOKUP($AP17,Tabelle1!$B$4:$W$153,14,0)*$AR17</f>
        <v>0</v>
      </c>
      <c r="BF17" s="34">
        <f>VLOOKUP($AP17,Tabelle1!$B$4:$W$153,15,0)*$AR17</f>
        <v>0</v>
      </c>
      <c r="BG17" s="34">
        <f>VLOOKUP($AP17,Tabelle1!$B$4:$W$153,16,0)*$AR17</f>
        <v>0</v>
      </c>
      <c r="BH17" s="35">
        <f>VLOOKUP($AP17,Tabelle1!$B$4:$W$153,17,0)*$AR17</f>
        <v>0</v>
      </c>
      <c r="BI17" s="41">
        <f t="shared" si="6"/>
        <v>0</v>
      </c>
      <c r="BJ17" s="42">
        <f>VLOOKUP($AP17,Tabelle1!$B$4:$W$153,18,0)*$AR17</f>
        <v>0</v>
      </c>
      <c r="BK17" s="3">
        <f>VLOOKUP($AP17,Tabelle1!$B$4:$W$153,19,0)*$AR17</f>
        <v>0</v>
      </c>
      <c r="BL17" s="3">
        <f>VLOOKUP($AP17,Tabelle1!$B$4:$W$153,20,0)*$AR17</f>
        <v>0</v>
      </c>
      <c r="BM17" s="3">
        <f>VLOOKUP($AP17,Tabelle1!$B$4:$W$153,21,0)*$AR17</f>
        <v>0</v>
      </c>
      <c r="BN17" s="43">
        <f>VLOOKUP($AP17,Tabelle1!$B$4:$W$153,22,0)*$AR17</f>
        <v>0</v>
      </c>
      <c r="BO17" s="44">
        <f t="shared" si="7"/>
        <v>0</v>
      </c>
      <c r="BP17" s="45">
        <f>Tiere!K17</f>
        <v>0</v>
      </c>
      <c r="BQ17" s="46">
        <f>Tiere!L17</f>
        <v>0</v>
      </c>
      <c r="BR17" s="45">
        <f>Tiere!M17</f>
        <v>0</v>
      </c>
      <c r="BS17" s="31">
        <f>Tiere!N17</f>
        <v>0</v>
      </c>
      <c r="BT17" s="47">
        <f t="shared" si="8"/>
        <v>0</v>
      </c>
      <c r="BU17" s="47">
        <f t="shared" si="9"/>
        <v>0</v>
      </c>
      <c r="BV17" s="32">
        <f t="shared" si="10"/>
        <v>0</v>
      </c>
      <c r="BW17" s="33">
        <f t="shared" si="11"/>
        <v>0</v>
      </c>
      <c r="BX17" s="34">
        <f t="shared" si="12"/>
        <v>0</v>
      </c>
      <c r="BY17" s="34">
        <f t="shared" si="13"/>
        <v>0</v>
      </c>
      <c r="BZ17" s="48">
        <f t="shared" si="14"/>
        <v>0</v>
      </c>
      <c r="CA17" s="36">
        <f t="shared" si="15"/>
        <v>0</v>
      </c>
      <c r="CB17" s="40">
        <f t="shared" si="16"/>
        <v>0</v>
      </c>
      <c r="CC17" s="40">
        <f t="shared" si="17"/>
        <v>0</v>
      </c>
      <c r="CD17" s="40">
        <f t="shared" si="18"/>
        <v>0</v>
      </c>
      <c r="CE17" s="40">
        <f t="shared" si="19"/>
        <v>0</v>
      </c>
      <c r="CF17" s="49">
        <f t="shared" si="20"/>
        <v>0</v>
      </c>
      <c r="CG17" s="36">
        <f t="shared" si="21"/>
        <v>0</v>
      </c>
      <c r="CH17" s="32">
        <f t="shared" si="22"/>
        <v>0</v>
      </c>
      <c r="CI17" s="33">
        <f t="shared" si="23"/>
        <v>0</v>
      </c>
      <c r="CJ17" s="34">
        <f t="shared" si="24"/>
        <v>0</v>
      </c>
      <c r="CK17" s="34">
        <f t="shared" si="25"/>
        <v>0</v>
      </c>
      <c r="CL17" s="48">
        <f t="shared" si="26"/>
        <v>0</v>
      </c>
      <c r="CM17" s="32">
        <f t="shared" si="27"/>
        <v>0</v>
      </c>
      <c r="CN17" s="33">
        <f t="shared" si="28"/>
        <v>0</v>
      </c>
      <c r="CO17" s="34">
        <f t="shared" si="29"/>
        <v>0</v>
      </c>
      <c r="CP17" s="34">
        <f t="shared" si="30"/>
        <v>0</v>
      </c>
      <c r="CQ17" s="48">
        <f t="shared" si="31"/>
        <v>0</v>
      </c>
      <c r="CR17" s="32">
        <f t="shared" si="32"/>
        <v>0</v>
      </c>
      <c r="CS17" s="33">
        <f t="shared" si="33"/>
        <v>0</v>
      </c>
      <c r="CT17" s="34">
        <f t="shared" si="34"/>
        <v>0</v>
      </c>
      <c r="CU17" s="34">
        <f t="shared" si="35"/>
        <v>0</v>
      </c>
      <c r="CV17" s="48">
        <f t="shared" si="36"/>
        <v>0</v>
      </c>
      <c r="CW17" s="32">
        <f t="shared" si="37"/>
        <v>0</v>
      </c>
      <c r="CX17" s="33">
        <f t="shared" si="38"/>
        <v>0</v>
      </c>
      <c r="CY17" s="34">
        <f t="shared" si="39"/>
        <v>0</v>
      </c>
      <c r="CZ17" s="34">
        <f t="shared" si="40"/>
        <v>0</v>
      </c>
      <c r="DA17" s="48">
        <f t="shared" si="41"/>
        <v>0</v>
      </c>
      <c r="DB17" s="50">
        <f>VLOOKUP($AP17,Tabelle1!$B$4:$W$153,11,0)*$BR17</f>
        <v>0</v>
      </c>
      <c r="DC17" s="51">
        <f t="shared" si="42"/>
        <v>0</v>
      </c>
      <c r="DD17" s="52">
        <f>VLOOKUP($AP17,Tabelle1!$B$4:$AJ$153,35,0)</f>
        <v>0</v>
      </c>
      <c r="DE17" s="53">
        <f t="shared" si="43"/>
        <v>0</v>
      </c>
      <c r="DF17" s="54">
        <f>VLOOKUP($AP17,Tabelle1!$B$4:$AK$153,36,0)</f>
        <v>0</v>
      </c>
      <c r="DG17" s="55">
        <f t="shared" si="0"/>
        <v>0</v>
      </c>
      <c r="DH17">
        <f t="shared" si="1"/>
        <v>0</v>
      </c>
    </row>
    <row r="18" spans="1:112" ht="15" thickBot="1">
      <c r="A18" s="15">
        <v>14</v>
      </c>
      <c r="B18" s="56" t="str">
        <f t="shared" si="2"/>
        <v>14 - Kalbinnen - Gülle</v>
      </c>
      <c r="C18" s="57" t="s">
        <v>206</v>
      </c>
      <c r="D18" s="58">
        <v>58.9</v>
      </c>
      <c r="E18" s="59"/>
      <c r="F18" s="59"/>
      <c r="G18" s="59"/>
      <c r="H18" s="60"/>
      <c r="I18" s="61">
        <v>7.65</v>
      </c>
      <c r="J18" s="3"/>
      <c r="K18" s="62"/>
      <c r="L18" s="61">
        <v>1</v>
      </c>
      <c r="M18" s="62">
        <v>1</v>
      </c>
      <c r="N18" s="61">
        <v>25.5</v>
      </c>
      <c r="O18" s="3"/>
      <c r="P18" s="3"/>
      <c r="Q18" s="38"/>
      <c r="R18" s="63"/>
      <c r="S18" s="49">
        <v>104.2</v>
      </c>
      <c r="T18" s="38"/>
      <c r="U18" s="38"/>
      <c r="V18" s="38"/>
      <c r="W18" s="63"/>
      <c r="X18" s="429"/>
      <c r="Y18" s="430"/>
      <c r="Z18" s="430"/>
      <c r="AA18" s="431"/>
      <c r="AB18" s="430"/>
      <c r="AC18" s="430"/>
      <c r="AD18" s="430"/>
      <c r="AE18" s="431"/>
      <c r="AF18" s="61">
        <v>51.2</v>
      </c>
      <c r="AG18" s="3"/>
      <c r="AH18" s="62"/>
      <c r="AI18" s="64" t="s">
        <v>206</v>
      </c>
      <c r="AJ18" s="65">
        <v>68</v>
      </c>
      <c r="AK18" s="66">
        <v>68</v>
      </c>
      <c r="AL18" s="54">
        <f t="shared" si="3"/>
        <v>2.5</v>
      </c>
      <c r="AM18" s="537" t="s">
        <v>207</v>
      </c>
      <c r="AN18" s="29" t="str">
        <f>IF(Tiere!U13=0,"LN-Angaben fehelen!","")</f>
        <v>LN-Angaben fehelen!</v>
      </c>
      <c r="AP18" s="29">
        <f>Tiere!B18</f>
        <v>0</v>
      </c>
      <c r="AQ18" s="30">
        <f>IF(AP18=0,0,Tiere!I18)</f>
        <v>0</v>
      </c>
      <c r="AR18" s="31">
        <f>VLOOKUP($AP18,Tabelle1!$B$4:$AE$153,12,0)*$AQ18</f>
        <v>0</v>
      </c>
      <c r="AS18" s="32">
        <f>VLOOKUP($AP18,Tabelle1!$B$4:$W$153,3,0)*$AR18</f>
        <v>0</v>
      </c>
      <c r="AT18" s="33">
        <f>VLOOKUP($AP18,Tabelle1!$B$4:$W$153,4,0)*$AR18</f>
        <v>0</v>
      </c>
      <c r="AU18" s="34">
        <f>VLOOKUP($AP18,Tabelle1!$B$4:$W$153,5,0)*$AR18</f>
        <v>0</v>
      </c>
      <c r="AV18" s="34">
        <f>VLOOKUP($AP18,Tabelle1!$B$4:$W$153,6,0)*$AR18</f>
        <v>0</v>
      </c>
      <c r="AW18" s="35">
        <f>VLOOKUP($AP18,Tabelle1!$B$4:$W$153,7,0)*$AR18</f>
        <v>0</v>
      </c>
      <c r="AX18" s="36">
        <f t="shared" si="4"/>
        <v>0</v>
      </c>
      <c r="AY18" s="37">
        <f>VLOOKUP($AP18,Tabelle1!$B$4:$W$153,8,0)*$AQ18</f>
        <v>0</v>
      </c>
      <c r="AZ18" s="38">
        <f>VLOOKUP($AP18,Tabelle1!$B$4:$W$153,9,0)*$AQ18</f>
        <v>0</v>
      </c>
      <c r="BA18" s="39">
        <f>VLOOKUP($AP18,Tabelle1!$B$4:$W$153,10,0)*$AQ18</f>
        <v>0</v>
      </c>
      <c r="BB18" s="40">
        <f>VLOOKUP($AP18,Tabelle1!$B$4:$W$153,11,0)*$AQ18</f>
        <v>0</v>
      </c>
      <c r="BC18" s="40">
        <f t="shared" si="5"/>
        <v>0</v>
      </c>
      <c r="BD18" s="33">
        <f>VLOOKUP($AP18,Tabelle1!$B$4:$W$153,13,0)*$AR18</f>
        <v>0</v>
      </c>
      <c r="BE18" s="34">
        <f>VLOOKUP($AP18,Tabelle1!$B$4:$W$153,14,0)*$AR18</f>
        <v>0</v>
      </c>
      <c r="BF18" s="34">
        <f>VLOOKUP($AP18,Tabelle1!$B$4:$W$153,15,0)*$AR18</f>
        <v>0</v>
      </c>
      <c r="BG18" s="34">
        <f>VLOOKUP($AP18,Tabelle1!$B$4:$W$153,16,0)*$AR18</f>
        <v>0</v>
      </c>
      <c r="BH18" s="35">
        <f>VLOOKUP($AP18,Tabelle1!$B$4:$W$153,17,0)*$AR18</f>
        <v>0</v>
      </c>
      <c r="BI18" s="41">
        <f t="shared" si="6"/>
        <v>0</v>
      </c>
      <c r="BJ18" s="42">
        <f>VLOOKUP($AP18,Tabelle1!$B$4:$W$153,18,0)*$AR18</f>
        <v>0</v>
      </c>
      <c r="BK18" s="3">
        <f>VLOOKUP($AP18,Tabelle1!$B$4:$W$153,19,0)*$AR18</f>
        <v>0</v>
      </c>
      <c r="BL18" s="3">
        <f>VLOOKUP($AP18,Tabelle1!$B$4:$W$153,20,0)*$AR18</f>
        <v>0</v>
      </c>
      <c r="BM18" s="3">
        <f>VLOOKUP($AP18,Tabelle1!$B$4:$W$153,21,0)*$AR18</f>
        <v>0</v>
      </c>
      <c r="BN18" s="43">
        <f>VLOOKUP($AP18,Tabelle1!$B$4:$W$153,22,0)*$AR18</f>
        <v>0</v>
      </c>
      <c r="BO18" s="44">
        <f t="shared" si="7"/>
        <v>0</v>
      </c>
      <c r="BP18" s="45">
        <f>Tiere!K18</f>
        <v>0</v>
      </c>
      <c r="BQ18" s="46">
        <f>Tiere!L18</f>
        <v>0</v>
      </c>
      <c r="BR18" s="45">
        <f>Tiere!M18</f>
        <v>0</v>
      </c>
      <c r="BS18" s="31">
        <f>Tiere!N18</f>
        <v>0</v>
      </c>
      <c r="BT18" s="47">
        <f t="shared" si="8"/>
        <v>0</v>
      </c>
      <c r="BU18" s="47">
        <f t="shared" si="9"/>
        <v>0</v>
      </c>
      <c r="BV18" s="32">
        <f t="shared" si="10"/>
        <v>0</v>
      </c>
      <c r="BW18" s="33">
        <f t="shared" si="11"/>
        <v>0</v>
      </c>
      <c r="BX18" s="34">
        <f t="shared" si="12"/>
        <v>0</v>
      </c>
      <c r="BY18" s="34">
        <f t="shared" si="13"/>
        <v>0</v>
      </c>
      <c r="BZ18" s="48">
        <f t="shared" si="14"/>
        <v>0</v>
      </c>
      <c r="CA18" s="36">
        <f t="shared" si="15"/>
        <v>0</v>
      </c>
      <c r="CB18" s="40">
        <f t="shared" si="16"/>
        <v>0</v>
      </c>
      <c r="CC18" s="40">
        <f t="shared" si="17"/>
        <v>0</v>
      </c>
      <c r="CD18" s="40">
        <f t="shared" si="18"/>
        <v>0</v>
      </c>
      <c r="CE18" s="40">
        <f t="shared" si="19"/>
        <v>0</v>
      </c>
      <c r="CF18" s="49">
        <f t="shared" si="20"/>
        <v>0</v>
      </c>
      <c r="CG18" s="36">
        <f t="shared" si="21"/>
        <v>0</v>
      </c>
      <c r="CH18" s="32">
        <f t="shared" si="22"/>
        <v>0</v>
      </c>
      <c r="CI18" s="33">
        <f t="shared" si="23"/>
        <v>0</v>
      </c>
      <c r="CJ18" s="34">
        <f t="shared" si="24"/>
        <v>0</v>
      </c>
      <c r="CK18" s="34">
        <f t="shared" si="25"/>
        <v>0</v>
      </c>
      <c r="CL18" s="48">
        <f t="shared" si="26"/>
        <v>0</v>
      </c>
      <c r="CM18" s="32">
        <f t="shared" si="27"/>
        <v>0</v>
      </c>
      <c r="CN18" s="33">
        <f t="shared" si="28"/>
        <v>0</v>
      </c>
      <c r="CO18" s="34">
        <f t="shared" si="29"/>
        <v>0</v>
      </c>
      <c r="CP18" s="34">
        <f t="shared" si="30"/>
        <v>0</v>
      </c>
      <c r="CQ18" s="48">
        <f t="shared" si="31"/>
        <v>0</v>
      </c>
      <c r="CR18" s="32">
        <f t="shared" si="32"/>
        <v>0</v>
      </c>
      <c r="CS18" s="33">
        <f t="shared" si="33"/>
        <v>0</v>
      </c>
      <c r="CT18" s="34">
        <f t="shared" si="34"/>
        <v>0</v>
      </c>
      <c r="CU18" s="34">
        <f t="shared" si="35"/>
        <v>0</v>
      </c>
      <c r="CV18" s="48">
        <f t="shared" si="36"/>
        <v>0</v>
      </c>
      <c r="CW18" s="32">
        <f t="shared" si="37"/>
        <v>0</v>
      </c>
      <c r="CX18" s="33">
        <f t="shared" si="38"/>
        <v>0</v>
      </c>
      <c r="CY18" s="34">
        <f t="shared" si="39"/>
        <v>0</v>
      </c>
      <c r="CZ18" s="34">
        <f t="shared" si="40"/>
        <v>0</v>
      </c>
      <c r="DA18" s="48">
        <f t="shared" si="41"/>
        <v>0</v>
      </c>
      <c r="DB18" s="50">
        <f>VLOOKUP($AP18,Tabelle1!$B$4:$W$153,11,0)*$BR18</f>
        <v>0</v>
      </c>
      <c r="DC18" s="51">
        <f t="shared" si="42"/>
        <v>0</v>
      </c>
      <c r="DD18" s="52">
        <f>VLOOKUP($AP18,Tabelle1!$B$4:$AJ$153,35,0)</f>
        <v>0</v>
      </c>
      <c r="DE18" s="53">
        <f t="shared" si="43"/>
        <v>0</v>
      </c>
      <c r="DF18" s="54">
        <f>VLOOKUP($AP18,Tabelle1!$B$4:$AK$153,36,0)</f>
        <v>0</v>
      </c>
      <c r="DG18" s="55">
        <f t="shared" si="0"/>
        <v>0</v>
      </c>
      <c r="DH18">
        <f t="shared" si="1"/>
        <v>0</v>
      </c>
    </row>
    <row r="19" spans="1:112" ht="15" thickBot="1">
      <c r="A19" s="15">
        <v>15</v>
      </c>
      <c r="B19" s="56" t="str">
        <f t="shared" si="2"/>
        <v>15 - Kalbinnen - Mist/Jauche</v>
      </c>
      <c r="C19" s="57" t="s">
        <v>208</v>
      </c>
      <c r="D19" s="58"/>
      <c r="E19" s="59"/>
      <c r="F19" s="59"/>
      <c r="G19" s="59">
        <v>24.2</v>
      </c>
      <c r="H19" s="60">
        <v>24.3</v>
      </c>
      <c r="I19" s="61"/>
      <c r="J19" s="3">
        <v>3.8</v>
      </c>
      <c r="K19" s="62">
        <v>3.8</v>
      </c>
      <c r="L19" s="61">
        <v>1</v>
      </c>
      <c r="M19" s="62">
        <v>1</v>
      </c>
      <c r="N19" s="61"/>
      <c r="O19" s="3"/>
      <c r="P19" s="3"/>
      <c r="Q19" s="38">
        <v>1.2749999999999999</v>
      </c>
      <c r="R19" s="63">
        <v>24.225000000000001</v>
      </c>
      <c r="S19" s="49"/>
      <c r="T19" s="38"/>
      <c r="U19" s="38"/>
      <c r="V19" s="38">
        <v>34.386000000000003</v>
      </c>
      <c r="W19" s="63">
        <v>69.813999999999993</v>
      </c>
      <c r="X19" s="429"/>
      <c r="Y19" s="430"/>
      <c r="Z19" s="430"/>
      <c r="AA19" s="431"/>
      <c r="AB19" s="430"/>
      <c r="AC19" s="430"/>
      <c r="AD19" s="430"/>
      <c r="AE19" s="431"/>
      <c r="AF19" s="61"/>
      <c r="AG19" s="3">
        <v>21.1</v>
      </c>
      <c r="AH19" s="62">
        <v>22.1</v>
      </c>
      <c r="AI19" s="64" t="s">
        <v>208</v>
      </c>
      <c r="AJ19" s="65">
        <v>68</v>
      </c>
      <c r="AK19" s="66">
        <v>68</v>
      </c>
      <c r="AL19" s="54">
        <f t="shared" si="3"/>
        <v>2.5</v>
      </c>
      <c r="AM19" s="537" t="s">
        <v>209</v>
      </c>
      <c r="AN19" s="80"/>
      <c r="AP19" s="29">
        <f>Tiere!B19</f>
        <v>0</v>
      </c>
      <c r="AQ19" s="30">
        <f>IF(AP19=0,0,Tiere!I19)</f>
        <v>0</v>
      </c>
      <c r="AR19" s="31">
        <f>VLOOKUP($AP19,Tabelle1!$B$4:$AE$153,12,0)*$AQ19</f>
        <v>0</v>
      </c>
      <c r="AS19" s="32">
        <f>VLOOKUP($AP19,Tabelle1!$B$4:$W$153,3,0)*$AR19</f>
        <v>0</v>
      </c>
      <c r="AT19" s="33">
        <f>VLOOKUP($AP19,Tabelle1!$B$4:$W$153,4,0)*$AR19</f>
        <v>0</v>
      </c>
      <c r="AU19" s="34">
        <f>VLOOKUP($AP19,Tabelle1!$B$4:$W$153,5,0)*$AR19</f>
        <v>0</v>
      </c>
      <c r="AV19" s="34">
        <f>VLOOKUP($AP19,Tabelle1!$B$4:$W$153,6,0)*$AR19</f>
        <v>0</v>
      </c>
      <c r="AW19" s="35">
        <f>VLOOKUP($AP19,Tabelle1!$B$4:$W$153,7,0)*$AR19</f>
        <v>0</v>
      </c>
      <c r="AX19" s="36">
        <f t="shared" si="4"/>
        <v>0</v>
      </c>
      <c r="AY19" s="37">
        <f>VLOOKUP($AP19,Tabelle1!$B$4:$W$153,8,0)*$AQ19</f>
        <v>0</v>
      </c>
      <c r="AZ19" s="38">
        <f>VLOOKUP($AP19,Tabelle1!$B$4:$W$153,9,0)*$AQ19</f>
        <v>0</v>
      </c>
      <c r="BA19" s="39">
        <f>VLOOKUP($AP19,Tabelle1!$B$4:$W$153,10,0)*$AQ19</f>
        <v>0</v>
      </c>
      <c r="BB19" s="40">
        <f>VLOOKUP($AP19,Tabelle1!$B$4:$W$153,11,0)*$AQ19</f>
        <v>0</v>
      </c>
      <c r="BC19" s="40">
        <f t="shared" si="5"/>
        <v>0</v>
      </c>
      <c r="BD19" s="33">
        <f>VLOOKUP($AP19,Tabelle1!$B$4:$W$153,13,0)*$AR19</f>
        <v>0</v>
      </c>
      <c r="BE19" s="34">
        <f>VLOOKUP($AP19,Tabelle1!$B$4:$W$153,14,0)*$AR19</f>
        <v>0</v>
      </c>
      <c r="BF19" s="34">
        <f>VLOOKUP($AP19,Tabelle1!$B$4:$W$153,15,0)*$AR19</f>
        <v>0</v>
      </c>
      <c r="BG19" s="34">
        <f>VLOOKUP($AP19,Tabelle1!$B$4:$W$153,16,0)*$AR19</f>
        <v>0</v>
      </c>
      <c r="BH19" s="35">
        <f>VLOOKUP($AP19,Tabelle1!$B$4:$W$153,17,0)*$AR19</f>
        <v>0</v>
      </c>
      <c r="BI19" s="41">
        <f t="shared" si="6"/>
        <v>0</v>
      </c>
      <c r="BJ19" s="42">
        <f>VLOOKUP($AP19,Tabelle1!$B$4:$W$153,18,0)*$AR19</f>
        <v>0</v>
      </c>
      <c r="BK19" s="3">
        <f>VLOOKUP($AP19,Tabelle1!$B$4:$W$153,19,0)*$AR19</f>
        <v>0</v>
      </c>
      <c r="BL19" s="3">
        <f>VLOOKUP($AP19,Tabelle1!$B$4:$W$153,20,0)*$AR19</f>
        <v>0</v>
      </c>
      <c r="BM19" s="3">
        <f>VLOOKUP($AP19,Tabelle1!$B$4:$W$153,21,0)*$AR19</f>
        <v>0</v>
      </c>
      <c r="BN19" s="43">
        <f>VLOOKUP($AP19,Tabelle1!$B$4:$W$153,22,0)*$AR19</f>
        <v>0</v>
      </c>
      <c r="BO19" s="44">
        <f t="shared" si="7"/>
        <v>0</v>
      </c>
      <c r="BP19" s="45">
        <f>Tiere!K19</f>
        <v>0</v>
      </c>
      <c r="BQ19" s="46">
        <f>Tiere!L19</f>
        <v>0</v>
      </c>
      <c r="BR19" s="45">
        <f>Tiere!M19</f>
        <v>0</v>
      </c>
      <c r="BS19" s="31">
        <f>Tiere!N19</f>
        <v>0</v>
      </c>
      <c r="BT19" s="47">
        <f t="shared" si="8"/>
        <v>0</v>
      </c>
      <c r="BU19" s="47">
        <f t="shared" si="9"/>
        <v>0</v>
      </c>
      <c r="BV19" s="32">
        <f t="shared" si="10"/>
        <v>0</v>
      </c>
      <c r="BW19" s="33">
        <f t="shared" si="11"/>
        <v>0</v>
      </c>
      <c r="BX19" s="34">
        <f t="shared" si="12"/>
        <v>0</v>
      </c>
      <c r="BY19" s="34">
        <f t="shared" si="13"/>
        <v>0</v>
      </c>
      <c r="BZ19" s="48">
        <f t="shared" si="14"/>
        <v>0</v>
      </c>
      <c r="CA19" s="36">
        <f t="shared" si="15"/>
        <v>0</v>
      </c>
      <c r="CB19" s="40">
        <f t="shared" si="16"/>
        <v>0</v>
      </c>
      <c r="CC19" s="40">
        <f t="shared" si="17"/>
        <v>0</v>
      </c>
      <c r="CD19" s="40">
        <f t="shared" si="18"/>
        <v>0</v>
      </c>
      <c r="CE19" s="40">
        <f t="shared" si="19"/>
        <v>0</v>
      </c>
      <c r="CF19" s="49">
        <f t="shared" si="20"/>
        <v>0</v>
      </c>
      <c r="CG19" s="36">
        <f t="shared" si="21"/>
        <v>0</v>
      </c>
      <c r="CH19" s="32">
        <f t="shared" si="22"/>
        <v>0</v>
      </c>
      <c r="CI19" s="33">
        <f t="shared" si="23"/>
        <v>0</v>
      </c>
      <c r="CJ19" s="34">
        <f t="shared" si="24"/>
        <v>0</v>
      </c>
      <c r="CK19" s="34">
        <f t="shared" si="25"/>
        <v>0</v>
      </c>
      <c r="CL19" s="48">
        <f t="shared" si="26"/>
        <v>0</v>
      </c>
      <c r="CM19" s="32">
        <f t="shared" si="27"/>
        <v>0</v>
      </c>
      <c r="CN19" s="33">
        <f t="shared" si="28"/>
        <v>0</v>
      </c>
      <c r="CO19" s="34">
        <f t="shared" si="29"/>
        <v>0</v>
      </c>
      <c r="CP19" s="34">
        <f t="shared" si="30"/>
        <v>0</v>
      </c>
      <c r="CQ19" s="48">
        <f t="shared" si="31"/>
        <v>0</v>
      </c>
      <c r="CR19" s="32">
        <f t="shared" si="32"/>
        <v>0</v>
      </c>
      <c r="CS19" s="33">
        <f t="shared" si="33"/>
        <v>0</v>
      </c>
      <c r="CT19" s="34">
        <f t="shared" si="34"/>
        <v>0</v>
      </c>
      <c r="CU19" s="34">
        <f t="shared" si="35"/>
        <v>0</v>
      </c>
      <c r="CV19" s="48">
        <f t="shared" si="36"/>
        <v>0</v>
      </c>
      <c r="CW19" s="32">
        <f t="shared" si="37"/>
        <v>0</v>
      </c>
      <c r="CX19" s="33">
        <f t="shared" si="38"/>
        <v>0</v>
      </c>
      <c r="CY19" s="34">
        <f t="shared" si="39"/>
        <v>0</v>
      </c>
      <c r="CZ19" s="34">
        <f t="shared" si="40"/>
        <v>0</v>
      </c>
      <c r="DA19" s="48">
        <f t="shared" si="41"/>
        <v>0</v>
      </c>
      <c r="DB19" s="50">
        <f>VLOOKUP($AP19,Tabelle1!$B$4:$W$153,11,0)*$BR19</f>
        <v>0</v>
      </c>
      <c r="DC19" s="51">
        <f t="shared" si="42"/>
        <v>0</v>
      </c>
      <c r="DD19" s="52">
        <f>VLOOKUP($AP19,Tabelle1!$B$4:$AJ$153,35,0)</f>
        <v>0</v>
      </c>
      <c r="DE19" s="53">
        <f t="shared" si="43"/>
        <v>0</v>
      </c>
      <c r="DF19" s="54">
        <f>VLOOKUP($AP19,Tabelle1!$B$4:$AK$153,36,0)</f>
        <v>0</v>
      </c>
      <c r="DG19" s="55">
        <f t="shared" si="0"/>
        <v>0</v>
      </c>
      <c r="DH19">
        <f t="shared" si="1"/>
        <v>0</v>
      </c>
    </row>
    <row r="20" spans="1:112" ht="15" thickBot="1">
      <c r="A20" s="15">
        <v>16</v>
      </c>
      <c r="B20" s="56" t="str">
        <f t="shared" si="2"/>
        <v>16 - Kalbinnen - Tiefstallmist</v>
      </c>
      <c r="C20" s="57" t="s">
        <v>210</v>
      </c>
      <c r="D20" s="58"/>
      <c r="E20" s="59"/>
      <c r="F20" s="59"/>
      <c r="G20" s="59"/>
      <c r="H20" s="60">
        <v>48.5</v>
      </c>
      <c r="I20" s="61"/>
      <c r="J20" s="3"/>
      <c r="K20" s="62">
        <v>8.1999999999999993</v>
      </c>
      <c r="L20" s="61">
        <v>1</v>
      </c>
      <c r="M20" s="62">
        <v>1</v>
      </c>
      <c r="N20" s="61"/>
      <c r="O20" s="3"/>
      <c r="P20" s="3"/>
      <c r="Q20" s="38"/>
      <c r="R20" s="63">
        <v>25.5</v>
      </c>
      <c r="S20" s="49"/>
      <c r="T20" s="38"/>
      <c r="U20" s="38"/>
      <c r="V20" s="38"/>
      <c r="W20" s="63">
        <v>104.2</v>
      </c>
      <c r="X20" s="429"/>
      <c r="Y20" s="430"/>
      <c r="Z20" s="430"/>
      <c r="AA20" s="431"/>
      <c r="AB20" s="430"/>
      <c r="AC20" s="430"/>
      <c r="AD20" s="430"/>
      <c r="AE20" s="431"/>
      <c r="AF20" s="61"/>
      <c r="AG20" s="3"/>
      <c r="AH20" s="62">
        <v>44.1</v>
      </c>
      <c r="AI20" s="64" t="s">
        <v>210</v>
      </c>
      <c r="AJ20" s="65">
        <v>68</v>
      </c>
      <c r="AK20" s="66">
        <v>68</v>
      </c>
      <c r="AL20" s="54">
        <f t="shared" si="3"/>
        <v>2.5</v>
      </c>
      <c r="AM20" s="537" t="s">
        <v>211</v>
      </c>
      <c r="AN20" s="29" t="str">
        <f>IF(Tiere!U15=0,"LN-Angaben fehlen!",IF(Tiere!U15&gt;210,"Zuviel Stickstoff am Betrieb!",""))</f>
        <v>LN-Angaben fehlen!</v>
      </c>
      <c r="AP20" s="489" t="s">
        <v>212</v>
      </c>
      <c r="AQ20" s="489"/>
      <c r="AR20" s="540"/>
      <c r="AS20" s="609">
        <f>SUM(AS5:AS19)</f>
        <v>0</v>
      </c>
      <c r="AT20" s="610">
        <f>SUM(AT5:AT19)</f>
        <v>0</v>
      </c>
      <c r="AU20" s="610">
        <f>SUM(AU5:AU19)</f>
        <v>0</v>
      </c>
      <c r="AV20" s="610">
        <f>SUM(AV5:AV19)</f>
        <v>0</v>
      </c>
      <c r="AW20" s="611">
        <f>SUM(AW5:AW19)</f>
        <v>0</v>
      </c>
      <c r="AX20" s="612">
        <f>SUM(AS20:AW20)</f>
        <v>0</v>
      </c>
      <c r="AY20" s="613">
        <f t="shared" ref="AY20:BH20" si="44">SUM(AY5:AY19)</f>
        <v>0</v>
      </c>
      <c r="AZ20" s="610">
        <f t="shared" si="44"/>
        <v>0</v>
      </c>
      <c r="BA20" s="611">
        <f t="shared" si="44"/>
        <v>0</v>
      </c>
      <c r="BB20" s="612">
        <f t="shared" si="44"/>
        <v>0</v>
      </c>
      <c r="BC20" s="612">
        <f t="shared" si="44"/>
        <v>0</v>
      </c>
      <c r="BD20" s="613">
        <f t="shared" si="44"/>
        <v>0</v>
      </c>
      <c r="BE20" s="610">
        <f t="shared" si="44"/>
        <v>0</v>
      </c>
      <c r="BF20" s="610">
        <f t="shared" si="44"/>
        <v>0</v>
      </c>
      <c r="BG20" s="610">
        <f t="shared" si="44"/>
        <v>0</v>
      </c>
      <c r="BH20" s="611">
        <f t="shared" si="44"/>
        <v>0</v>
      </c>
      <c r="BI20" s="612">
        <f>SUM(BD20:BH20)</f>
        <v>0</v>
      </c>
      <c r="BJ20" s="614">
        <f t="shared" ref="BJ20:BO20" si="45">SUM(BJ5:BJ19)</f>
        <v>0</v>
      </c>
      <c r="BK20" s="518">
        <f t="shared" si="45"/>
        <v>0</v>
      </c>
      <c r="BL20" s="518">
        <f t="shared" si="45"/>
        <v>0</v>
      </c>
      <c r="BM20" s="518">
        <f t="shared" si="45"/>
        <v>0</v>
      </c>
      <c r="BN20" s="615">
        <f t="shared" si="45"/>
        <v>0</v>
      </c>
      <c r="BO20" s="616">
        <f t="shared" si="45"/>
        <v>0</v>
      </c>
      <c r="BP20" s="617"/>
      <c r="BQ20" s="618"/>
      <c r="BR20" s="520"/>
      <c r="BS20" s="619"/>
      <c r="BT20" s="616"/>
      <c r="BU20" s="620" t="s">
        <v>213</v>
      </c>
      <c r="BV20" s="621">
        <f t="shared" ref="BV20:DB20" si="46">SUM(BV5:BV19)</f>
        <v>0</v>
      </c>
      <c r="BW20" s="622">
        <f t="shared" si="46"/>
        <v>0</v>
      </c>
      <c r="BX20" s="622">
        <f t="shared" si="46"/>
        <v>0</v>
      </c>
      <c r="BY20" s="622">
        <f t="shared" si="46"/>
        <v>0</v>
      </c>
      <c r="BZ20" s="623">
        <f t="shared" si="46"/>
        <v>0</v>
      </c>
      <c r="CA20" s="624">
        <f t="shared" si="46"/>
        <v>0</v>
      </c>
      <c r="CB20" s="621">
        <f t="shared" si="46"/>
        <v>0</v>
      </c>
      <c r="CC20" s="622">
        <f t="shared" si="46"/>
        <v>0</v>
      </c>
      <c r="CD20" s="622">
        <f t="shared" si="46"/>
        <v>0</v>
      </c>
      <c r="CE20" s="622">
        <f t="shared" si="46"/>
        <v>0</v>
      </c>
      <c r="CF20" s="623">
        <f t="shared" si="46"/>
        <v>0</v>
      </c>
      <c r="CG20" s="624">
        <f t="shared" si="46"/>
        <v>0</v>
      </c>
      <c r="CH20" s="625">
        <f t="shared" si="46"/>
        <v>0</v>
      </c>
      <c r="CI20" s="626">
        <f t="shared" si="46"/>
        <v>0</v>
      </c>
      <c r="CJ20" s="626">
        <f t="shared" si="46"/>
        <v>0</v>
      </c>
      <c r="CK20" s="626">
        <f t="shared" si="46"/>
        <v>0</v>
      </c>
      <c r="CL20" s="627">
        <f t="shared" si="46"/>
        <v>0</v>
      </c>
      <c r="CM20" s="625">
        <f t="shared" si="46"/>
        <v>0</v>
      </c>
      <c r="CN20" s="626">
        <f t="shared" si="46"/>
        <v>0</v>
      </c>
      <c r="CO20" s="626">
        <f t="shared" si="46"/>
        <v>0</v>
      </c>
      <c r="CP20" s="626">
        <f t="shared" si="46"/>
        <v>0</v>
      </c>
      <c r="CQ20" s="627">
        <f t="shared" si="46"/>
        <v>0</v>
      </c>
      <c r="CR20" s="625">
        <f t="shared" si="46"/>
        <v>0</v>
      </c>
      <c r="CS20" s="626">
        <f t="shared" si="46"/>
        <v>0</v>
      </c>
      <c r="CT20" s="626">
        <f t="shared" si="46"/>
        <v>0</v>
      </c>
      <c r="CU20" s="626">
        <f t="shared" si="46"/>
        <v>0</v>
      </c>
      <c r="CV20" s="627">
        <f t="shared" si="46"/>
        <v>0</v>
      </c>
      <c r="CW20" s="625">
        <f t="shared" si="46"/>
        <v>0</v>
      </c>
      <c r="CX20" s="626">
        <f t="shared" si="46"/>
        <v>0</v>
      </c>
      <c r="CY20" s="626">
        <f t="shared" si="46"/>
        <v>0</v>
      </c>
      <c r="CZ20" s="626">
        <f t="shared" si="46"/>
        <v>0</v>
      </c>
      <c r="DA20" s="627">
        <f t="shared" si="46"/>
        <v>0</v>
      </c>
      <c r="DB20" s="628">
        <f t="shared" si="46"/>
        <v>0</v>
      </c>
      <c r="DC20" s="628"/>
      <c r="DD20" s="629"/>
      <c r="DE20" s="630">
        <f>SUM(DE5:DE19)</f>
        <v>0</v>
      </c>
      <c r="DF20" s="458"/>
      <c r="DG20" s="630">
        <f>SUM(DG5:DG19)</f>
        <v>0</v>
      </c>
      <c r="DH20" s="172"/>
    </row>
    <row r="21" spans="1:112" ht="15" thickBot="1">
      <c r="A21" s="15">
        <v>17</v>
      </c>
      <c r="B21" s="56" t="str">
        <f t="shared" si="2"/>
        <v>17 - Milch- bzw. Mutterkühe (3000 kg Milch)  - Gülle</v>
      </c>
      <c r="C21" s="57" t="s">
        <v>214</v>
      </c>
      <c r="D21" s="58">
        <v>59.1</v>
      </c>
      <c r="E21" s="59"/>
      <c r="F21" s="59"/>
      <c r="G21" s="59"/>
      <c r="H21" s="60"/>
      <c r="I21" s="61">
        <v>11.25</v>
      </c>
      <c r="J21" s="3"/>
      <c r="K21" s="62"/>
      <c r="L21" s="61">
        <v>1</v>
      </c>
      <c r="M21" s="62">
        <v>1</v>
      </c>
      <c r="N21" s="61">
        <v>19</v>
      </c>
      <c r="O21" s="3"/>
      <c r="P21" s="3"/>
      <c r="Q21" s="38"/>
      <c r="R21" s="63"/>
      <c r="S21" s="49">
        <v>119.1</v>
      </c>
      <c r="T21" s="38"/>
      <c r="U21" s="38"/>
      <c r="V21" s="38"/>
      <c r="W21" s="63"/>
      <c r="X21" s="429"/>
      <c r="Y21" s="430"/>
      <c r="Z21" s="430"/>
      <c r="AA21" s="431"/>
      <c r="AB21" s="430"/>
      <c r="AC21" s="430"/>
      <c r="AD21" s="430"/>
      <c r="AE21" s="431"/>
      <c r="AF21" s="61">
        <v>51.4</v>
      </c>
      <c r="AG21" s="3"/>
      <c r="AH21" s="62"/>
      <c r="AI21" s="64" t="s">
        <v>214</v>
      </c>
      <c r="AJ21" s="65">
        <v>68</v>
      </c>
      <c r="AK21" s="66">
        <v>68</v>
      </c>
      <c r="AL21" s="54">
        <f t="shared" si="3"/>
        <v>2.5</v>
      </c>
      <c r="AM21" s="537" t="s">
        <v>215</v>
      </c>
      <c r="AN21" s="29" t="e">
        <f>IF(AND(Betrieb!#REF!="",Tiere!U15&lt;=175),"Wasserrechtsgesetz eingehalten!",IF(AND(Betrieb!#REF!="Nein",Tiere!U15&lt;=175),"Wasserrechtsgesetz eingehalten!",IF(AND(Betrieb!#REF!="ja",Tiere!U15&lt;=210),"Wasserrechtsgesetz eingehalten!",IF(AND(Betrieb!#REF!="",Tiere!F40&gt;175),"Bitte Fruchtfolge definieren!","Wasserrechtsgesetz nicht eingehalten!"))))</f>
        <v>#REF!</v>
      </c>
      <c r="AP21" s="172"/>
      <c r="AQ21" s="172"/>
      <c r="AR21" s="172"/>
      <c r="AS21" s="172"/>
      <c r="AT21" s="172"/>
      <c r="AU21" s="172"/>
      <c r="AV21" s="172"/>
      <c r="AW21" s="172"/>
      <c r="AX21" s="631">
        <f>SUM(AX5:AX19)</f>
        <v>0</v>
      </c>
      <c r="AY21" s="172"/>
      <c r="AZ21" s="172"/>
      <c r="BA21" s="172"/>
      <c r="BB21" s="172"/>
      <c r="BC21" s="172"/>
      <c r="BD21" s="172"/>
      <c r="BE21" s="172"/>
      <c r="BF21" s="172"/>
      <c r="BG21" s="172"/>
      <c r="BH21" s="172"/>
      <c r="BI21" s="172"/>
      <c r="BJ21" s="172"/>
      <c r="BK21" s="172"/>
      <c r="BL21" s="172"/>
      <c r="BM21" s="172"/>
      <c r="BN21" s="172"/>
      <c r="BO21" s="172"/>
      <c r="BP21" s="520"/>
      <c r="BQ21" s="521"/>
      <c r="BR21" s="520"/>
      <c r="BS21" s="619"/>
      <c r="BT21" s="553"/>
      <c r="BU21" s="632" t="s">
        <v>216</v>
      </c>
      <c r="BV21" s="633">
        <f>BV20*0.87</f>
        <v>0</v>
      </c>
      <c r="BW21" s="622">
        <f>BW20*0.87</f>
        <v>0</v>
      </c>
      <c r="BX21" s="622">
        <f>BX20*0.87</f>
        <v>0</v>
      </c>
      <c r="BY21" s="622">
        <f>BY20*0.87</f>
        <v>0</v>
      </c>
      <c r="BZ21" s="622">
        <f>BZ20*0.91</f>
        <v>0</v>
      </c>
      <c r="CA21" s="634">
        <f>SUM(BV21:BZ21)</f>
        <v>0</v>
      </c>
      <c r="CB21" s="633">
        <f>CB20*0.87</f>
        <v>0</v>
      </c>
      <c r="CC21" s="622">
        <f>CC20*0.87</f>
        <v>0</v>
      </c>
      <c r="CD21" s="622">
        <f>CD20*0.87</f>
        <v>0</v>
      </c>
      <c r="CE21" s="622">
        <f>CE20*0.87</f>
        <v>0</v>
      </c>
      <c r="CF21" s="622">
        <f>CF20*0.91</f>
        <v>0</v>
      </c>
      <c r="CG21" s="634">
        <f>SUM(CB21:CF21)</f>
        <v>0</v>
      </c>
      <c r="CH21" s="633"/>
      <c r="CI21" s="635" t="s">
        <v>217</v>
      </c>
      <c r="CJ21" s="633"/>
      <c r="CK21" s="622"/>
      <c r="CL21" s="622"/>
      <c r="CM21" s="622"/>
      <c r="CN21" s="635" t="s">
        <v>218</v>
      </c>
      <c r="CO21" s="633"/>
      <c r="CP21" s="622"/>
      <c r="CQ21" s="622"/>
      <c r="CR21" s="622"/>
      <c r="CS21" s="635" t="s">
        <v>219</v>
      </c>
      <c r="CT21" s="633"/>
      <c r="CU21" s="622"/>
      <c r="CV21" s="622"/>
      <c r="CW21" s="622"/>
      <c r="CX21" s="635" t="s">
        <v>220</v>
      </c>
      <c r="CY21" s="633"/>
      <c r="CZ21" s="622"/>
      <c r="DA21" s="622"/>
      <c r="DB21" s="172"/>
      <c r="DC21" s="172"/>
      <c r="DD21" s="636" t="s">
        <v>221</v>
      </c>
      <c r="DE21" s="637">
        <f>Betrieb!E18</f>
        <v>0</v>
      </c>
      <c r="DF21" s="172"/>
      <c r="DG21" s="637">
        <f>Betrieb!E18</f>
        <v>0</v>
      </c>
      <c r="DH21" s="172"/>
    </row>
    <row r="22" spans="1:112" ht="16.5" thickBot="1">
      <c r="A22" s="15">
        <v>18</v>
      </c>
      <c r="B22" s="56" t="str">
        <f t="shared" si="2"/>
        <v>18 - Milch- bzw. Mutterkühe (3000 kg Milch)  - Mist / Jauche</v>
      </c>
      <c r="C22" s="57" t="s">
        <v>222</v>
      </c>
      <c r="D22" s="58"/>
      <c r="E22" s="59"/>
      <c r="F22" s="59"/>
      <c r="G22" s="59">
        <v>16.2</v>
      </c>
      <c r="H22" s="60">
        <v>32.5</v>
      </c>
      <c r="I22" s="61"/>
      <c r="J22" s="3">
        <v>3.7</v>
      </c>
      <c r="K22" s="62">
        <v>7.2</v>
      </c>
      <c r="L22" s="61">
        <v>1</v>
      </c>
      <c r="M22" s="62">
        <v>1</v>
      </c>
      <c r="N22" s="61"/>
      <c r="O22" s="3"/>
      <c r="P22" s="3"/>
      <c r="Q22" s="38">
        <v>0.95</v>
      </c>
      <c r="R22" s="63">
        <v>18.05</v>
      </c>
      <c r="S22" s="49"/>
      <c r="T22" s="38"/>
      <c r="U22" s="38"/>
      <c r="V22" s="38">
        <v>39.302999999999997</v>
      </c>
      <c r="W22" s="63">
        <v>79.796999999999997</v>
      </c>
      <c r="X22" s="429"/>
      <c r="Y22" s="430"/>
      <c r="Z22" s="430"/>
      <c r="AA22" s="431"/>
      <c r="AB22" s="430"/>
      <c r="AC22" s="430"/>
      <c r="AD22" s="430"/>
      <c r="AE22" s="431"/>
      <c r="AF22" s="61"/>
      <c r="AG22" s="3">
        <v>14.1</v>
      </c>
      <c r="AH22" s="62">
        <v>29.5</v>
      </c>
      <c r="AI22" s="64" t="s">
        <v>222</v>
      </c>
      <c r="AJ22" s="65">
        <v>68</v>
      </c>
      <c r="AK22" s="66">
        <v>68</v>
      </c>
      <c r="AL22" s="54">
        <f t="shared" si="3"/>
        <v>2.5</v>
      </c>
      <c r="AM22" s="535"/>
      <c r="AN22"/>
      <c r="AP22" s="638" t="s">
        <v>223</v>
      </c>
      <c r="AQ22" s="639"/>
      <c r="AR22" s="640"/>
      <c r="AS22" s="540"/>
      <c r="AT22" s="540"/>
      <c r="AU22" s="540"/>
      <c r="AV22" s="540"/>
      <c r="AW22" s="540"/>
      <c r="AX22" s="540"/>
      <c r="AY22" s="538" t="s">
        <v>224</v>
      </c>
      <c r="AZ22" s="539" t="s">
        <v>225</v>
      </c>
      <c r="BA22" s="539" t="s">
        <v>226</v>
      </c>
      <c r="BB22" s="539" t="s">
        <v>115</v>
      </c>
      <c r="BC22" s="540"/>
      <c r="BD22" s="540"/>
      <c r="BE22" s="540"/>
      <c r="BF22" s="540"/>
      <c r="BG22" s="540"/>
      <c r="BH22" s="540"/>
      <c r="BI22" s="540"/>
      <c r="BJ22" s="540"/>
      <c r="BK22" s="540"/>
      <c r="BL22" s="540"/>
      <c r="BM22" s="540"/>
      <c r="BN22" s="540"/>
      <c r="BO22" s="509"/>
      <c r="BP22" s="172"/>
      <c r="BQ22" s="498"/>
      <c r="BR22" s="498"/>
      <c r="BS22" s="498"/>
      <c r="BT22" s="641"/>
      <c r="BU22" s="641" t="s">
        <v>227</v>
      </c>
      <c r="BV22" s="642">
        <f>BV21*0.7</f>
        <v>0</v>
      </c>
      <c r="BW22" s="642">
        <f>BW21*0.8</f>
        <v>0</v>
      </c>
      <c r="BX22" s="642">
        <f>BX21*0.85</f>
        <v>0</v>
      </c>
      <c r="BY22" s="643">
        <f>BY21</f>
        <v>0</v>
      </c>
      <c r="BZ22" s="644">
        <f>BZ21*0.5</f>
        <v>0</v>
      </c>
      <c r="CA22" s="634">
        <f>SUM(BV22:BZ22)</f>
        <v>0</v>
      </c>
      <c r="CB22" s="642">
        <f>CB21*0.7</f>
        <v>0</v>
      </c>
      <c r="CC22" s="642">
        <f>CC21*0.8</f>
        <v>0</v>
      </c>
      <c r="CD22" s="642">
        <f>CD21*0.85</f>
        <v>0</v>
      </c>
      <c r="CE22" s="643">
        <f>CE21</f>
        <v>0</v>
      </c>
      <c r="CF22" s="644">
        <f>CF21*0.5</f>
        <v>0</v>
      </c>
      <c r="CG22" s="645">
        <f>SUM(CB22:CF22)</f>
        <v>0</v>
      </c>
      <c r="CH22" s="646" t="s">
        <v>228</v>
      </c>
      <c r="CI22" s="647">
        <f>SUM(CH20:CL20)</f>
        <v>0</v>
      </c>
      <c r="CJ22" s="648" t="s">
        <v>228</v>
      </c>
      <c r="CK22" s="648" t="s">
        <v>228</v>
      </c>
      <c r="CL22" s="648" t="s">
        <v>228</v>
      </c>
      <c r="CM22" s="646" t="s">
        <v>228</v>
      </c>
      <c r="CN22" s="647">
        <f>SUM(CM20:CQ20)</f>
        <v>0</v>
      </c>
      <c r="CO22" s="648" t="s">
        <v>228</v>
      </c>
      <c r="CP22" s="648" t="s">
        <v>228</v>
      </c>
      <c r="CQ22" s="649" t="s">
        <v>228</v>
      </c>
      <c r="CR22" s="650" t="s">
        <v>228</v>
      </c>
      <c r="CS22" s="651">
        <f>SUM(CR20:CV20)</f>
        <v>0</v>
      </c>
      <c r="CT22" s="649" t="s">
        <v>228</v>
      </c>
      <c r="CU22" s="649" t="s">
        <v>228</v>
      </c>
      <c r="CV22" s="649" t="s">
        <v>228</v>
      </c>
      <c r="CW22" s="650" t="s">
        <v>228</v>
      </c>
      <c r="CX22" s="651">
        <f>SUM(CW20:DA20)</f>
        <v>0</v>
      </c>
      <c r="CY22" s="649" t="s">
        <v>228</v>
      </c>
      <c r="CZ22" s="649" t="s">
        <v>228</v>
      </c>
      <c r="DA22" s="649" t="s">
        <v>228</v>
      </c>
      <c r="DB22" s="168"/>
      <c r="DC22" s="593"/>
      <c r="DD22" s="172" t="str">
        <f>IF(OR(DE23=1,DG23=1),"Bei BIO Tierzahl überprüfen!","")</f>
        <v/>
      </c>
      <c r="DE22" s="172"/>
      <c r="DF22" s="172"/>
      <c r="DG22" s="172"/>
      <c r="DH22" s="172"/>
    </row>
    <row r="23" spans="1:112">
      <c r="A23" s="15">
        <v>19</v>
      </c>
      <c r="B23" s="56" t="str">
        <f t="shared" si="2"/>
        <v>19 - Milch- bzw. Mutterkühe (3000 kg Milch)  - Tiefstallmist</v>
      </c>
      <c r="C23" s="57" t="s">
        <v>229</v>
      </c>
      <c r="D23" s="58"/>
      <c r="E23" s="59"/>
      <c r="F23" s="59"/>
      <c r="G23" s="59"/>
      <c r="H23" s="60">
        <v>48.7</v>
      </c>
      <c r="I23" s="61"/>
      <c r="J23" s="3"/>
      <c r="K23" s="62">
        <v>11.6</v>
      </c>
      <c r="L23" s="61">
        <v>1</v>
      </c>
      <c r="M23" s="62">
        <v>1</v>
      </c>
      <c r="N23" s="61"/>
      <c r="O23" s="3"/>
      <c r="P23" s="3"/>
      <c r="Q23" s="38"/>
      <c r="R23" s="63">
        <v>19</v>
      </c>
      <c r="S23" s="49"/>
      <c r="T23" s="38"/>
      <c r="U23" s="38"/>
      <c r="V23" s="38"/>
      <c r="W23" s="63">
        <v>119.1</v>
      </c>
      <c r="X23" s="429"/>
      <c r="Y23" s="430"/>
      <c r="Z23" s="430"/>
      <c r="AA23" s="431"/>
      <c r="AB23" s="430"/>
      <c r="AC23" s="430"/>
      <c r="AD23" s="430"/>
      <c r="AE23" s="431"/>
      <c r="AF23" s="61"/>
      <c r="AG23" s="3"/>
      <c r="AH23" s="62">
        <v>44.3</v>
      </c>
      <c r="AI23" s="64" t="s">
        <v>229</v>
      </c>
      <c r="AJ23" s="65">
        <v>68</v>
      </c>
      <c r="AK23" s="66">
        <v>68</v>
      </c>
      <c r="AL23" s="54">
        <f t="shared" si="3"/>
        <v>2.5</v>
      </c>
      <c r="AM23" s="535"/>
      <c r="AN23" s="82" t="s">
        <v>230</v>
      </c>
      <c r="AP23" s="652" t="s">
        <v>116</v>
      </c>
      <c r="AQ23" s="653"/>
      <c r="AR23" s="542"/>
      <c r="AS23" s="541">
        <f>AY23*BB23</f>
        <v>0</v>
      </c>
      <c r="AT23" s="84"/>
      <c r="AU23" s="84"/>
      <c r="AV23" s="84"/>
      <c r="AW23" s="84"/>
      <c r="AX23" s="465"/>
      <c r="AY23" s="541">
        <f>Tiere!S5</f>
        <v>0</v>
      </c>
      <c r="AZ23" s="541">
        <f>Tiere!T5</f>
        <v>0</v>
      </c>
      <c r="BA23" s="541">
        <f>Tiere!U5</f>
        <v>0</v>
      </c>
      <c r="BB23" s="541">
        <f>Tiere!V5</f>
        <v>0</v>
      </c>
      <c r="BC23" s="465"/>
      <c r="BD23" s="541">
        <f>AZ23*$BB23</f>
        <v>0</v>
      </c>
      <c r="BE23" s="465"/>
      <c r="BF23" s="465"/>
      <c r="BG23" s="465"/>
      <c r="BH23" s="465"/>
      <c r="BI23" s="465"/>
      <c r="BJ23" s="541">
        <f>BA23*$BB23</f>
        <v>0</v>
      </c>
      <c r="BK23" s="465"/>
      <c r="BL23" s="465"/>
      <c r="BM23" s="465"/>
      <c r="BN23" s="465"/>
      <c r="BO23" s="542"/>
      <c r="BP23" s="172"/>
      <c r="BQ23" s="498"/>
      <c r="BR23" s="498"/>
      <c r="BS23" s="498"/>
      <c r="BT23" s="172"/>
      <c r="BU23" s="172"/>
      <c r="BV23" s="498"/>
      <c r="BW23" s="498"/>
      <c r="BX23" s="498"/>
      <c r="BY23" s="498"/>
      <c r="BZ23" s="498"/>
      <c r="CA23" s="498"/>
      <c r="CB23" s="172"/>
      <c r="CC23" s="172"/>
      <c r="CD23" s="172"/>
      <c r="CE23" s="172"/>
      <c r="CF23" s="604" t="s">
        <v>231</v>
      </c>
      <c r="CG23" s="608">
        <f>CA22+CG22</f>
        <v>0</v>
      </c>
      <c r="CH23" s="172"/>
      <c r="CI23" s="172"/>
      <c r="CJ23" s="172"/>
      <c r="CK23" s="172"/>
      <c r="CL23" s="172"/>
      <c r="CM23" s="172"/>
      <c r="CN23" s="172"/>
      <c r="CO23" s="172"/>
      <c r="CP23" s="172"/>
      <c r="CQ23" s="168"/>
      <c r="CR23" s="593"/>
      <c r="CS23" s="593"/>
      <c r="CT23" s="593"/>
      <c r="CU23" s="593"/>
      <c r="CV23" s="593"/>
      <c r="CW23" s="593"/>
      <c r="CX23" s="593"/>
      <c r="CY23" s="593"/>
      <c r="CZ23" s="593"/>
      <c r="DA23" s="593"/>
      <c r="DB23" s="593"/>
      <c r="DC23" s="593"/>
      <c r="DD23" s="654" t="str">
        <f>IF(DE23=1,"• Die Bio-Tierbestandsobergrenze ist möglicherweise überschritten!                          Bitte Rücksprache halten mit ihrer Kontrollstelle!","")</f>
        <v/>
      </c>
      <c r="DE23" s="489">
        <f>IF(AND(AO15=1,DE20&gt;DE21),1,0)</f>
        <v>0</v>
      </c>
      <c r="DF23" s="489"/>
      <c r="DG23" s="489">
        <f>IF(AND(AO15=1,DG20&gt;DG21),1,0)</f>
        <v>0</v>
      </c>
      <c r="DH23" s="172"/>
    </row>
    <row r="24" spans="1:112" ht="12.75" customHeight="1">
      <c r="A24" s="15">
        <v>20</v>
      </c>
      <c r="B24" s="56" t="str">
        <f t="shared" si="2"/>
        <v>20 - Milch- bzw. Ammenkühe (4000 kg Milch)  - Gülle</v>
      </c>
      <c r="C24" s="57" t="s">
        <v>232</v>
      </c>
      <c r="D24" s="58">
        <v>66.7</v>
      </c>
      <c r="E24" s="59"/>
      <c r="F24" s="59"/>
      <c r="G24" s="59"/>
      <c r="H24" s="60"/>
      <c r="I24" s="61">
        <v>11.25</v>
      </c>
      <c r="J24" s="3"/>
      <c r="K24" s="62"/>
      <c r="L24" s="61">
        <v>1</v>
      </c>
      <c r="M24" s="62">
        <v>1</v>
      </c>
      <c r="N24" s="61">
        <v>23.6</v>
      </c>
      <c r="O24" s="3"/>
      <c r="P24" s="3"/>
      <c r="Q24" s="38"/>
      <c r="R24" s="63"/>
      <c r="S24" s="49">
        <v>134</v>
      </c>
      <c r="T24" s="38"/>
      <c r="U24" s="38"/>
      <c r="V24" s="38"/>
      <c r="W24" s="63"/>
      <c r="X24" s="429"/>
      <c r="Y24" s="430"/>
      <c r="Z24" s="430"/>
      <c r="AA24" s="431"/>
      <c r="AB24" s="430"/>
      <c r="AC24" s="430"/>
      <c r="AD24" s="430"/>
      <c r="AE24" s="431"/>
      <c r="AF24" s="61">
        <v>58</v>
      </c>
      <c r="AG24" s="3"/>
      <c r="AH24" s="62"/>
      <c r="AI24" s="64" t="s">
        <v>232</v>
      </c>
      <c r="AJ24" s="65">
        <v>85</v>
      </c>
      <c r="AK24" s="66">
        <f t="shared" ref="AK24:AK44" si="47">85*L24</f>
        <v>85</v>
      </c>
      <c r="AL24" s="54">
        <f t="shared" si="3"/>
        <v>2</v>
      </c>
      <c r="AM24" s="535"/>
      <c r="AN24" s="29" t="s">
        <v>7</v>
      </c>
      <c r="AP24" s="488" t="s">
        <v>118</v>
      </c>
      <c r="AQ24" s="496"/>
      <c r="AR24" s="509"/>
      <c r="AS24" s="84"/>
      <c r="AT24" s="462">
        <f>AY24*BB24</f>
        <v>0</v>
      </c>
      <c r="AU24" s="84"/>
      <c r="AV24" s="84"/>
      <c r="AW24" s="84"/>
      <c r="AX24" s="465"/>
      <c r="AY24" s="489">
        <f>Tiere!S6</f>
        <v>0</v>
      </c>
      <c r="AZ24" s="489">
        <f>Tiere!T6</f>
        <v>0</v>
      </c>
      <c r="BA24" s="489">
        <f>Tiere!U6</f>
        <v>0</v>
      </c>
      <c r="BB24" s="489">
        <f>Tiere!V6</f>
        <v>0</v>
      </c>
      <c r="BC24" s="465"/>
      <c r="BD24" s="465"/>
      <c r="BE24" s="462">
        <f>AZ24*$BB24</f>
        <v>0</v>
      </c>
      <c r="BF24" s="465"/>
      <c r="BG24" s="465"/>
      <c r="BH24" s="465"/>
      <c r="BI24" s="465"/>
      <c r="BJ24" s="465"/>
      <c r="BK24" s="462">
        <f>BA24*$BB24</f>
        <v>0</v>
      </c>
      <c r="BL24" s="465"/>
      <c r="BM24" s="465"/>
      <c r="BN24" s="465"/>
      <c r="BO24" s="542"/>
      <c r="BP24" s="172"/>
      <c r="BQ24" s="498"/>
      <c r="BR24" s="498"/>
      <c r="BS24" s="498"/>
      <c r="BT24" s="172"/>
      <c r="BU24" s="172"/>
      <c r="BV24" s="498"/>
      <c r="BW24" s="498"/>
      <c r="BX24" s="498"/>
      <c r="BY24" s="498"/>
      <c r="BZ24" s="498"/>
      <c r="CA24" s="498"/>
      <c r="CB24" s="172"/>
      <c r="CC24" s="172"/>
      <c r="CD24" s="172"/>
      <c r="CE24" s="172"/>
      <c r="CF24" s="172"/>
      <c r="CG24" s="172"/>
      <c r="CH24" s="172"/>
      <c r="CI24" s="172"/>
      <c r="CJ24" s="172"/>
      <c r="CK24" s="172"/>
      <c r="CL24" s="172"/>
      <c r="CM24" s="172"/>
      <c r="CN24" s="172"/>
      <c r="CO24" s="172"/>
      <c r="CP24" s="172"/>
      <c r="CQ24" s="168"/>
      <c r="CR24" s="593"/>
      <c r="CS24" s="593"/>
      <c r="CT24" s="593"/>
      <c r="CU24" s="593"/>
      <c r="CV24" s="593"/>
      <c r="CW24" s="593"/>
      <c r="CX24" s="593"/>
      <c r="CY24" s="593"/>
      <c r="CZ24" s="593"/>
      <c r="DA24" s="593"/>
      <c r="DB24" s="593"/>
      <c r="DC24" s="655"/>
      <c r="DD24" s="656" t="s">
        <v>233</v>
      </c>
      <c r="DE24" s="657">
        <f>Tabelle1!DE20</f>
        <v>0</v>
      </c>
      <c r="DF24" s="658" t="s">
        <v>234</v>
      </c>
      <c r="DG24" s="657">
        <f>Tabelle1!DG20</f>
        <v>0</v>
      </c>
      <c r="DH24" s="172"/>
    </row>
    <row r="25" spans="1:112">
      <c r="A25" s="15">
        <v>21</v>
      </c>
      <c r="B25" s="56" t="str">
        <f t="shared" si="2"/>
        <v>21 - Milch- bzw. Ammenkühe (4000 kg Milch)  - Mist / Jauche</v>
      </c>
      <c r="C25" s="57" t="s">
        <v>235</v>
      </c>
      <c r="D25" s="58"/>
      <c r="E25" s="59"/>
      <c r="F25" s="59"/>
      <c r="G25" s="59">
        <v>18.399999999999999</v>
      </c>
      <c r="H25" s="60">
        <v>36.6</v>
      </c>
      <c r="I25" s="61"/>
      <c r="J25" s="3">
        <v>3.7</v>
      </c>
      <c r="K25" s="62">
        <v>7.2</v>
      </c>
      <c r="L25" s="61">
        <v>1</v>
      </c>
      <c r="M25" s="62">
        <v>1</v>
      </c>
      <c r="N25" s="61"/>
      <c r="O25" s="3"/>
      <c r="P25" s="3"/>
      <c r="Q25" s="38">
        <v>1.18</v>
      </c>
      <c r="R25" s="63">
        <v>22.42</v>
      </c>
      <c r="S25" s="49"/>
      <c r="T25" s="38"/>
      <c r="U25" s="38"/>
      <c r="V25" s="38">
        <v>44.22</v>
      </c>
      <c r="W25" s="63">
        <v>89.78</v>
      </c>
      <c r="X25" s="429"/>
      <c r="Y25" s="430"/>
      <c r="Z25" s="430"/>
      <c r="AA25" s="431"/>
      <c r="AB25" s="430"/>
      <c r="AC25" s="430"/>
      <c r="AD25" s="430"/>
      <c r="AE25" s="431"/>
      <c r="AF25" s="61"/>
      <c r="AG25" s="3">
        <v>16</v>
      </c>
      <c r="AH25" s="62">
        <v>33.299999999999997</v>
      </c>
      <c r="AI25" s="64" t="s">
        <v>235</v>
      </c>
      <c r="AJ25" s="65">
        <v>85</v>
      </c>
      <c r="AK25" s="66">
        <f t="shared" si="47"/>
        <v>85</v>
      </c>
      <c r="AL25" s="54">
        <f t="shared" si="3"/>
        <v>2</v>
      </c>
      <c r="AM25" s="535"/>
      <c r="AN25" s="29" t="s">
        <v>6</v>
      </c>
      <c r="AP25" s="488" t="s">
        <v>119</v>
      </c>
      <c r="AQ25" s="496"/>
      <c r="AR25" s="509"/>
      <c r="AS25" s="84"/>
      <c r="AT25" s="84"/>
      <c r="AU25" s="462">
        <f>AY25*BB25</f>
        <v>0</v>
      </c>
      <c r="AV25" s="84"/>
      <c r="AW25" s="84"/>
      <c r="AX25" s="465"/>
      <c r="AY25" s="489">
        <f>Tiere!S7</f>
        <v>0</v>
      </c>
      <c r="AZ25" s="489">
        <f>Tiere!T7</f>
        <v>0</v>
      </c>
      <c r="BA25" s="489">
        <f>Tiere!U7</f>
        <v>0</v>
      </c>
      <c r="BB25" s="489">
        <f>Tiere!V7</f>
        <v>0</v>
      </c>
      <c r="BC25" s="465"/>
      <c r="BD25" s="465"/>
      <c r="BE25" s="465"/>
      <c r="BF25" s="462">
        <f>AZ25*$BB25</f>
        <v>0</v>
      </c>
      <c r="BG25" s="465"/>
      <c r="BH25" s="465"/>
      <c r="BI25" s="465"/>
      <c r="BJ25" s="465"/>
      <c r="BK25" s="465"/>
      <c r="BL25" s="462">
        <f>BA25*$BB25</f>
        <v>0</v>
      </c>
      <c r="BM25" s="465"/>
      <c r="BN25" s="465"/>
      <c r="BO25" s="542"/>
      <c r="BP25" s="172"/>
      <c r="BQ25" s="498"/>
      <c r="BR25" s="498"/>
      <c r="BS25" s="498"/>
      <c r="BT25" s="172"/>
      <c r="BU25" s="172"/>
      <c r="BV25" s="498"/>
      <c r="BW25" s="498"/>
      <c r="BX25" s="498"/>
      <c r="BY25" s="498"/>
      <c r="BZ25" s="498"/>
      <c r="CA25" s="498"/>
      <c r="CB25" s="172"/>
      <c r="CC25" s="172"/>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172"/>
    </row>
    <row r="26" spans="1:112">
      <c r="A26" s="15">
        <v>22</v>
      </c>
      <c r="B26" s="56" t="str">
        <f t="shared" si="2"/>
        <v>22 - Milch- bzw. Ammenkühe (4000 kg Milch)  - Tiefstallmist</v>
      </c>
      <c r="C26" s="57" t="s">
        <v>236</v>
      </c>
      <c r="D26" s="58"/>
      <c r="E26" s="59"/>
      <c r="F26" s="59"/>
      <c r="G26" s="59"/>
      <c r="H26" s="60">
        <v>55</v>
      </c>
      <c r="I26" s="61"/>
      <c r="J26" s="3"/>
      <c r="K26" s="62">
        <v>11.6</v>
      </c>
      <c r="L26" s="61">
        <v>1</v>
      </c>
      <c r="M26" s="62">
        <v>1</v>
      </c>
      <c r="N26" s="61"/>
      <c r="O26" s="3"/>
      <c r="P26" s="3"/>
      <c r="Q26" s="38"/>
      <c r="R26" s="63">
        <v>23.6</v>
      </c>
      <c r="S26" s="49"/>
      <c r="T26" s="38"/>
      <c r="U26" s="38"/>
      <c r="V26" s="38"/>
      <c r="W26" s="63">
        <v>134</v>
      </c>
      <c r="X26" s="429"/>
      <c r="Y26" s="430"/>
      <c r="Z26" s="430"/>
      <c r="AA26" s="431"/>
      <c r="AB26" s="430"/>
      <c r="AC26" s="430"/>
      <c r="AD26" s="430"/>
      <c r="AE26" s="431"/>
      <c r="AF26" s="61"/>
      <c r="AG26" s="3"/>
      <c r="AH26" s="62">
        <v>50.1</v>
      </c>
      <c r="AI26" s="64" t="s">
        <v>236</v>
      </c>
      <c r="AJ26" s="65">
        <v>85</v>
      </c>
      <c r="AK26" s="66">
        <f t="shared" si="47"/>
        <v>85</v>
      </c>
      <c r="AL26" s="54">
        <f t="shared" si="3"/>
        <v>2</v>
      </c>
      <c r="AM26" s="535"/>
      <c r="AN26"/>
      <c r="AP26" s="488" t="s">
        <v>90</v>
      </c>
      <c r="AQ26" s="496"/>
      <c r="AR26" s="509"/>
      <c r="AS26" s="84"/>
      <c r="AT26" s="84"/>
      <c r="AU26" s="84"/>
      <c r="AV26" s="462">
        <f>AY26*BB26</f>
        <v>0</v>
      </c>
      <c r="AW26" s="84"/>
      <c r="AX26" s="465"/>
      <c r="AY26" s="489">
        <f>Tiere!S8</f>
        <v>0</v>
      </c>
      <c r="AZ26" s="489">
        <f>Tiere!T8</f>
        <v>0</v>
      </c>
      <c r="BA26" s="489">
        <f>Tiere!U8</f>
        <v>0</v>
      </c>
      <c r="BB26" s="489">
        <f>Tiere!V8</f>
        <v>0</v>
      </c>
      <c r="BC26" s="465"/>
      <c r="BD26" s="465"/>
      <c r="BE26" s="465"/>
      <c r="BF26" s="465"/>
      <c r="BG26" s="462">
        <f>AZ26*$BB26</f>
        <v>0</v>
      </c>
      <c r="BH26" s="465"/>
      <c r="BI26" s="465"/>
      <c r="BJ26" s="465"/>
      <c r="BK26" s="465"/>
      <c r="BL26" s="465"/>
      <c r="BM26" s="462">
        <f>BA26*$BB26</f>
        <v>0</v>
      </c>
      <c r="BN26" s="465"/>
      <c r="BO26" s="542"/>
      <c r="BP26" s="172"/>
      <c r="BQ26" s="498"/>
      <c r="BR26" s="498"/>
      <c r="BS26" s="498"/>
      <c r="BT26" s="172"/>
      <c r="BU26" s="172"/>
      <c r="BV26" s="498"/>
      <c r="BW26" s="498"/>
      <c r="BX26" s="498"/>
      <c r="BY26" s="498"/>
      <c r="BZ26" s="498"/>
      <c r="CA26" s="498"/>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2"/>
    </row>
    <row r="27" spans="1:112" ht="13.5" thickBot="1">
      <c r="A27" s="15">
        <v>23</v>
      </c>
      <c r="B27" s="56" t="str">
        <f t="shared" si="2"/>
        <v>23 - Milchkühe (5000 kg Milch) - Gülle</v>
      </c>
      <c r="C27" s="57" t="s">
        <v>237</v>
      </c>
      <c r="D27" s="58">
        <v>74.400000000000006</v>
      </c>
      <c r="E27" s="59"/>
      <c r="F27" s="59"/>
      <c r="G27" s="59"/>
      <c r="H27" s="60"/>
      <c r="I27" s="61">
        <v>11.5</v>
      </c>
      <c r="J27" s="3"/>
      <c r="K27" s="62"/>
      <c r="L27" s="61">
        <v>1</v>
      </c>
      <c r="M27" s="62">
        <v>1</v>
      </c>
      <c r="N27" s="61">
        <v>28.2</v>
      </c>
      <c r="O27" s="3"/>
      <c r="P27" s="3"/>
      <c r="Q27" s="38"/>
      <c r="R27" s="63"/>
      <c r="S27" s="49">
        <v>148.9</v>
      </c>
      <c r="T27" s="38"/>
      <c r="U27" s="38"/>
      <c r="V27" s="38"/>
      <c r="W27" s="63"/>
      <c r="X27" s="429"/>
      <c r="Y27" s="430"/>
      <c r="Z27" s="430"/>
      <c r="AA27" s="431"/>
      <c r="AB27" s="430"/>
      <c r="AC27" s="430"/>
      <c r="AD27" s="430"/>
      <c r="AE27" s="431"/>
      <c r="AF27" s="61">
        <v>64.7</v>
      </c>
      <c r="AG27" s="3"/>
      <c r="AH27" s="62"/>
      <c r="AI27" s="64" t="s">
        <v>237</v>
      </c>
      <c r="AJ27" s="65">
        <v>85</v>
      </c>
      <c r="AK27" s="66">
        <f t="shared" si="47"/>
        <v>85</v>
      </c>
      <c r="AL27" s="54">
        <f t="shared" si="3"/>
        <v>2</v>
      </c>
      <c r="AM27" s="535"/>
      <c r="AN27" s="87"/>
      <c r="AO27" s="88"/>
      <c r="AP27" s="566" t="s">
        <v>91</v>
      </c>
      <c r="AQ27" s="511"/>
      <c r="AR27" s="659"/>
      <c r="AS27" s="84"/>
      <c r="AT27" s="84"/>
      <c r="AU27" s="84"/>
      <c r="AV27" s="84"/>
      <c r="AW27" s="462">
        <f>AY27*BB27</f>
        <v>0</v>
      </c>
      <c r="AX27" s="465"/>
      <c r="AY27" s="489">
        <f>Tiere!S9</f>
        <v>0</v>
      </c>
      <c r="AZ27" s="489">
        <f>Tiere!T9</f>
        <v>0</v>
      </c>
      <c r="BA27" s="489">
        <f>Tiere!U9</f>
        <v>0</v>
      </c>
      <c r="BB27" s="489">
        <f>Tiere!V9</f>
        <v>0</v>
      </c>
      <c r="BC27" s="465"/>
      <c r="BD27" s="465"/>
      <c r="BE27" s="465"/>
      <c r="BF27" s="465"/>
      <c r="BG27" s="465"/>
      <c r="BH27" s="462">
        <f>AZ27*$BB27</f>
        <v>0</v>
      </c>
      <c r="BI27" s="465" t="s">
        <v>113</v>
      </c>
      <c r="BJ27" s="465"/>
      <c r="BK27" s="465"/>
      <c r="BL27" s="465"/>
      <c r="BM27" s="465"/>
      <c r="BN27" s="462">
        <f>BA27*$BB27</f>
        <v>0</v>
      </c>
      <c r="BO27" s="542" t="s">
        <v>114</v>
      </c>
      <c r="BP27" s="172"/>
      <c r="BQ27" s="498"/>
      <c r="BR27" s="498"/>
      <c r="BS27" s="498"/>
      <c r="BT27" s="172"/>
      <c r="BU27" s="172"/>
      <c r="BV27" s="498"/>
      <c r="BW27" s="498"/>
      <c r="BX27" s="498"/>
      <c r="BY27" s="498"/>
      <c r="BZ27" s="498"/>
      <c r="CA27" s="498"/>
      <c r="CB27" s="172"/>
      <c r="CC27" s="172"/>
      <c r="CD27" s="172"/>
      <c r="CE27" s="172"/>
      <c r="CF27" s="172"/>
      <c r="CG27" s="172"/>
      <c r="CH27" s="172"/>
      <c r="CI27" s="172"/>
      <c r="CJ27" s="172"/>
      <c r="CK27" s="172"/>
      <c r="CL27" s="172"/>
      <c r="CM27" s="172"/>
      <c r="CN27" s="172"/>
      <c r="CO27" s="172"/>
      <c r="CP27" s="172"/>
      <c r="CQ27" s="172"/>
      <c r="CR27" s="172"/>
      <c r="CS27" s="172"/>
      <c r="CT27" s="172"/>
      <c r="CU27" s="172"/>
      <c r="CV27" s="172"/>
      <c r="CW27" s="172"/>
      <c r="CX27" s="172"/>
      <c r="CY27" s="172"/>
      <c r="CZ27" s="172"/>
      <c r="DA27" s="172"/>
      <c r="DB27" s="172"/>
      <c r="DC27" s="172"/>
      <c r="DD27" s="172"/>
      <c r="DE27" s="172"/>
      <c r="DF27" s="172"/>
      <c r="DG27" s="172"/>
      <c r="DH27" s="172"/>
    </row>
    <row r="28" spans="1:112" ht="13.5" thickBot="1">
      <c r="A28" s="15">
        <v>24</v>
      </c>
      <c r="B28" s="56" t="str">
        <f t="shared" si="2"/>
        <v>24 - Milchkühe (5000 kg Milch) - Mist/Jauche</v>
      </c>
      <c r="C28" s="57" t="s">
        <v>238</v>
      </c>
      <c r="D28" s="58"/>
      <c r="E28" s="59"/>
      <c r="F28" s="59"/>
      <c r="G28" s="59">
        <v>20.399999999999999</v>
      </c>
      <c r="H28" s="60">
        <v>40.9</v>
      </c>
      <c r="I28" s="61"/>
      <c r="J28" s="3">
        <v>3.8</v>
      </c>
      <c r="K28" s="62">
        <v>7.4</v>
      </c>
      <c r="L28" s="61">
        <v>1</v>
      </c>
      <c r="M28" s="62">
        <v>1</v>
      </c>
      <c r="N28" s="61"/>
      <c r="O28" s="3"/>
      <c r="P28" s="3"/>
      <c r="Q28" s="38">
        <v>1.41</v>
      </c>
      <c r="R28" s="63">
        <v>26.79</v>
      </c>
      <c r="S28" s="49"/>
      <c r="T28" s="38"/>
      <c r="U28" s="38"/>
      <c r="V28" s="38">
        <v>49.137</v>
      </c>
      <c r="W28" s="63">
        <v>99.763000000000005</v>
      </c>
      <c r="X28" s="429"/>
      <c r="Y28" s="430"/>
      <c r="Z28" s="430"/>
      <c r="AA28" s="431"/>
      <c r="AB28" s="430"/>
      <c r="AC28" s="430"/>
      <c r="AD28" s="430"/>
      <c r="AE28" s="431"/>
      <c r="AF28" s="61"/>
      <c r="AG28" s="3">
        <v>17.7</v>
      </c>
      <c r="AH28" s="62">
        <v>37.1</v>
      </c>
      <c r="AI28" s="64" t="s">
        <v>238</v>
      </c>
      <c r="AJ28" s="65">
        <v>85</v>
      </c>
      <c r="AK28" s="66">
        <f t="shared" si="47"/>
        <v>85</v>
      </c>
      <c r="AL28" s="54">
        <f t="shared" si="3"/>
        <v>2</v>
      </c>
      <c r="AM28" s="535"/>
      <c r="AN28" s="89"/>
      <c r="AO28" s="88"/>
      <c r="AP28" s="543" t="s">
        <v>239</v>
      </c>
      <c r="AQ28" s="489"/>
      <c r="AR28" s="489"/>
      <c r="AS28" s="495">
        <f>AS23</f>
        <v>0</v>
      </c>
      <c r="AT28" s="495">
        <f>AT24</f>
        <v>0</v>
      </c>
      <c r="AU28" s="495">
        <f>AU25</f>
        <v>0</v>
      </c>
      <c r="AV28" s="495">
        <f>AV26</f>
        <v>0</v>
      </c>
      <c r="AW28" s="660">
        <f>AW27</f>
        <v>0</v>
      </c>
      <c r="AX28" s="661">
        <f>SUM(AS28:AW28)</f>
        <v>0</v>
      </c>
      <c r="AY28" s="543"/>
      <c r="AZ28" s="489"/>
      <c r="BA28" s="544"/>
      <c r="BB28" s="545"/>
      <c r="BC28" s="546"/>
      <c r="BD28" s="495">
        <f>BD20+BD23</f>
        <v>0</v>
      </c>
      <c r="BE28" s="495">
        <f>BE20+BE24</f>
        <v>0</v>
      </c>
      <c r="BF28" s="495">
        <f>BF20+BF25</f>
        <v>0</v>
      </c>
      <c r="BG28" s="495">
        <f>BG20+BG26</f>
        <v>0</v>
      </c>
      <c r="BH28" s="499">
        <f>BH20+BH27</f>
        <v>0</v>
      </c>
      <c r="BI28" s="547">
        <f>SUM(BD28:BH28)</f>
        <v>0</v>
      </c>
      <c r="BJ28" s="548">
        <f>BJ20+BJ23</f>
        <v>0</v>
      </c>
      <c r="BK28" s="495">
        <f>BK20+BK24</f>
        <v>0</v>
      </c>
      <c r="BL28" s="495">
        <f>BL20+BL25</f>
        <v>0</v>
      </c>
      <c r="BM28" s="495">
        <f>BM20+BM26</f>
        <v>0</v>
      </c>
      <c r="BN28" s="495">
        <f>BN20+BN27</f>
        <v>0</v>
      </c>
      <c r="BO28" s="547">
        <f>SUM(BJ28:BN28)</f>
        <v>0</v>
      </c>
      <c r="BP28" s="534" t="s">
        <v>240</v>
      </c>
      <c r="BQ28" s="498"/>
      <c r="BR28" s="498"/>
      <c r="BS28" s="498"/>
      <c r="BT28" s="662"/>
      <c r="BU28" s="662"/>
      <c r="BV28" s="498"/>
      <c r="BW28" s="498"/>
      <c r="BX28" s="498"/>
      <c r="BY28" s="498"/>
      <c r="BZ28" s="498"/>
      <c r="CA28" s="498"/>
      <c r="CB28" s="172"/>
      <c r="CC28" s="172"/>
      <c r="CD28" s="172"/>
      <c r="CE28" s="172"/>
      <c r="CF28" s="172"/>
      <c r="CG28" s="172"/>
      <c r="CH28" s="172"/>
      <c r="CI28" s="172"/>
      <c r="CJ28" s="172"/>
      <c r="CK28" s="172"/>
      <c r="CL28" s="172"/>
      <c r="CM28" s="172"/>
      <c r="CN28" s="172"/>
      <c r="CO28" s="172"/>
      <c r="CP28" s="172"/>
      <c r="CQ28" s="172"/>
      <c r="CR28" s="172"/>
      <c r="CS28" s="172"/>
      <c r="CT28" s="172"/>
      <c r="CU28" s="172"/>
      <c r="CV28" s="172"/>
      <c r="CW28" s="172"/>
      <c r="CX28" s="172"/>
      <c r="CY28" s="172"/>
      <c r="CZ28" s="172"/>
      <c r="DA28" s="172"/>
      <c r="DB28" s="172"/>
      <c r="DC28" s="172"/>
      <c r="DD28" s="172"/>
      <c r="DE28" s="172"/>
      <c r="DF28" s="172"/>
      <c r="DG28" s="172"/>
      <c r="DH28" s="172"/>
    </row>
    <row r="29" spans="1:112" ht="13.5" thickBot="1">
      <c r="A29" s="15">
        <v>25</v>
      </c>
      <c r="B29" s="56" t="str">
        <f t="shared" si="2"/>
        <v>25 - Milchkühe (5000 kg Milch) - Tiefstallmist</v>
      </c>
      <c r="C29" s="57" t="s">
        <v>241</v>
      </c>
      <c r="D29" s="58"/>
      <c r="E29" s="59"/>
      <c r="F29" s="59"/>
      <c r="G29" s="59"/>
      <c r="H29" s="60">
        <v>61.3</v>
      </c>
      <c r="I29" s="61"/>
      <c r="J29" s="3"/>
      <c r="K29" s="62">
        <v>11.9</v>
      </c>
      <c r="L29" s="61">
        <v>1</v>
      </c>
      <c r="M29" s="62">
        <v>1</v>
      </c>
      <c r="N29" s="61"/>
      <c r="O29" s="3"/>
      <c r="P29" s="3"/>
      <c r="Q29" s="38"/>
      <c r="R29" s="63">
        <v>28.2</v>
      </c>
      <c r="S29" s="49"/>
      <c r="T29" s="38"/>
      <c r="U29" s="38"/>
      <c r="V29" s="38"/>
      <c r="W29" s="63">
        <v>148.9</v>
      </c>
      <c r="X29" s="429"/>
      <c r="Y29" s="430"/>
      <c r="Z29" s="430"/>
      <c r="AA29" s="431"/>
      <c r="AB29" s="430"/>
      <c r="AC29" s="430"/>
      <c r="AD29" s="430"/>
      <c r="AE29" s="431"/>
      <c r="AF29" s="61"/>
      <c r="AG29" s="3"/>
      <c r="AH29" s="62">
        <v>55.8</v>
      </c>
      <c r="AI29" s="64" t="s">
        <v>241</v>
      </c>
      <c r="AJ29" s="65">
        <v>85</v>
      </c>
      <c r="AK29" s="66">
        <f t="shared" si="47"/>
        <v>85</v>
      </c>
      <c r="AL29" s="54">
        <f t="shared" si="3"/>
        <v>2</v>
      </c>
      <c r="AM29" s="535"/>
      <c r="AN29" s="89"/>
      <c r="AO29" s="88"/>
      <c r="AP29" s="543" t="s">
        <v>242</v>
      </c>
      <c r="AQ29" s="172" t="s">
        <v>243</v>
      </c>
      <c r="AR29" s="172"/>
      <c r="AS29" s="172"/>
      <c r="AT29" s="172"/>
      <c r="AU29" s="172"/>
      <c r="AV29" s="172"/>
      <c r="AW29" s="172"/>
      <c r="AX29" s="661">
        <f>BI49</f>
        <v>0</v>
      </c>
      <c r="AY29" s="172"/>
      <c r="AZ29" s="172"/>
      <c r="BA29" s="172"/>
      <c r="BB29" s="172"/>
      <c r="BC29" s="172"/>
      <c r="BD29" s="549">
        <f>CH20+CR20</f>
        <v>0</v>
      </c>
      <c r="BE29" s="549">
        <f>CI20+CS20</f>
        <v>0</v>
      </c>
      <c r="BF29" s="549">
        <f>CJ20+CT20</f>
        <v>0</v>
      </c>
      <c r="BG29" s="549">
        <f>CK20+CU20</f>
        <v>0</v>
      </c>
      <c r="BH29" s="549">
        <f>CL20+CV20</f>
        <v>0</v>
      </c>
      <c r="BI29" s="550">
        <f>SUM(BD29:BH29)</f>
        <v>0</v>
      </c>
      <c r="BJ29" s="549">
        <f>CM20+CW20</f>
        <v>0</v>
      </c>
      <c r="BK29" s="549">
        <f>CN20+CX20</f>
        <v>0</v>
      </c>
      <c r="BL29" s="549">
        <f>CO20+CY20</f>
        <v>0</v>
      </c>
      <c r="BM29" s="549">
        <f>CP20+CZ20</f>
        <v>0</v>
      </c>
      <c r="BN29" s="549">
        <f>CQ20+DA20</f>
        <v>0</v>
      </c>
      <c r="BO29" s="550">
        <f>SUM(BJ29:BN29)</f>
        <v>0</v>
      </c>
      <c r="BP29" s="534" t="s">
        <v>244</v>
      </c>
      <c r="BQ29" s="498"/>
      <c r="BR29" s="498"/>
      <c r="BS29" s="498"/>
      <c r="BT29" s="662"/>
      <c r="BU29" s="662"/>
      <c r="BV29" s="498"/>
      <c r="BW29" s="498"/>
      <c r="BX29" s="498"/>
      <c r="BY29" s="498"/>
      <c r="BZ29" s="498"/>
      <c r="CA29" s="498"/>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2"/>
      <c r="CZ29" s="172"/>
      <c r="DA29" s="172"/>
      <c r="DB29" s="172"/>
      <c r="DC29" s="172"/>
      <c r="DD29" s="172"/>
      <c r="DE29" s="172"/>
      <c r="DF29" s="172"/>
      <c r="DG29" s="172"/>
      <c r="DH29" s="172"/>
    </row>
    <row r="30" spans="1:112" ht="15" thickBot="1">
      <c r="A30" s="15">
        <v>26</v>
      </c>
      <c r="B30" s="56" t="str">
        <f t="shared" si="2"/>
        <v>26 - Milchkühe (6000 kg Milch) - Gülle</v>
      </c>
      <c r="C30" s="57" t="s">
        <v>245</v>
      </c>
      <c r="D30" s="58">
        <v>82</v>
      </c>
      <c r="E30" s="59"/>
      <c r="F30" s="59"/>
      <c r="G30" s="59"/>
      <c r="H30" s="60"/>
      <c r="I30" s="61">
        <v>11.8</v>
      </c>
      <c r="J30" s="3"/>
      <c r="K30" s="62"/>
      <c r="L30" s="61">
        <v>1</v>
      </c>
      <c r="M30" s="62">
        <v>1</v>
      </c>
      <c r="N30" s="61">
        <v>32.799999999999997</v>
      </c>
      <c r="O30" s="3"/>
      <c r="P30" s="3"/>
      <c r="Q30" s="38"/>
      <c r="R30" s="63"/>
      <c r="S30" s="49">
        <v>163.80000000000001</v>
      </c>
      <c r="T30" s="38"/>
      <c r="U30" s="38"/>
      <c r="V30" s="38"/>
      <c r="W30" s="63"/>
      <c r="X30" s="429"/>
      <c r="Y30" s="430"/>
      <c r="Z30" s="430"/>
      <c r="AA30" s="431"/>
      <c r="AB30" s="430"/>
      <c r="AC30" s="430"/>
      <c r="AD30" s="430"/>
      <c r="AE30" s="431"/>
      <c r="AF30" s="61">
        <v>71.3</v>
      </c>
      <c r="AG30" s="3"/>
      <c r="AH30" s="62"/>
      <c r="AI30" s="64" t="s">
        <v>245</v>
      </c>
      <c r="AJ30" s="65">
        <v>85</v>
      </c>
      <c r="AK30" s="66">
        <f t="shared" si="47"/>
        <v>85</v>
      </c>
      <c r="AL30" s="54">
        <f t="shared" si="3"/>
        <v>2</v>
      </c>
      <c r="AM30" s="535"/>
      <c r="AN30" s="89"/>
      <c r="AO30" s="88"/>
      <c r="AP30" s="663" t="s">
        <v>246</v>
      </c>
      <c r="AQ30" s="172" t="s">
        <v>247</v>
      </c>
      <c r="AR30" s="172"/>
      <c r="AS30" s="172"/>
      <c r="AT30" s="172"/>
      <c r="AU30" s="172"/>
      <c r="AV30" s="172"/>
      <c r="AW30" s="172"/>
      <c r="AX30" s="661">
        <f>CG20</f>
        <v>0</v>
      </c>
      <c r="AY30" s="172"/>
      <c r="AZ30" s="172"/>
      <c r="BA30" s="172"/>
      <c r="BB30" s="172"/>
      <c r="BC30" s="172"/>
      <c r="BD30" s="551">
        <f>BD28-BD29</f>
        <v>0</v>
      </c>
      <c r="BE30" s="552">
        <f>BE28-BE29</f>
        <v>0</v>
      </c>
      <c r="BF30" s="552">
        <f>BF28-BF29</f>
        <v>0</v>
      </c>
      <c r="BG30" s="552">
        <f>BG28-BG29</f>
        <v>0</v>
      </c>
      <c r="BH30" s="552">
        <f>BH28-BH29</f>
        <v>0</v>
      </c>
      <c r="BI30" s="547">
        <f>SUM(BD30:BH30)</f>
        <v>0</v>
      </c>
      <c r="BJ30" s="552">
        <f>BJ28-BJ29</f>
        <v>0</v>
      </c>
      <c r="BK30" s="552">
        <f>BK28-BK29</f>
        <v>0</v>
      </c>
      <c r="BL30" s="552">
        <f>BL28-BL29</f>
        <v>0</v>
      </c>
      <c r="BM30" s="552">
        <f>BM28-BM29</f>
        <v>0</v>
      </c>
      <c r="BN30" s="552">
        <f>BN28-BN29</f>
        <v>0</v>
      </c>
      <c r="BO30" s="547">
        <f>SUM(BJ30:BN30)</f>
        <v>0</v>
      </c>
      <c r="BP30" s="534" t="s">
        <v>248</v>
      </c>
      <c r="BQ30" s="498"/>
      <c r="BR30" s="498"/>
      <c r="BS30" s="498"/>
      <c r="BT30" s="664"/>
      <c r="BU30" s="664"/>
      <c r="BV30" s="498"/>
      <c r="BW30" s="498"/>
      <c r="BX30" s="498"/>
      <c r="BY30" s="498"/>
      <c r="BZ30" s="498"/>
      <c r="CA30" s="498"/>
      <c r="CB30" s="172"/>
      <c r="CC30" s="172"/>
      <c r="CD30" s="172"/>
      <c r="CE30" s="172"/>
      <c r="CF30" s="172"/>
      <c r="CG30" s="172"/>
      <c r="CH30" s="172"/>
      <c r="CI30" s="172"/>
      <c r="CJ30" s="172"/>
      <c r="CK30" s="172"/>
      <c r="CL30" s="172"/>
      <c r="CM30" s="172"/>
      <c r="CN30" s="172"/>
      <c r="CO30" s="172"/>
      <c r="CP30" s="172"/>
      <c r="CQ30" s="172"/>
      <c r="CR30" s="172"/>
      <c r="CS30" s="172"/>
      <c r="CT30" s="172"/>
      <c r="CU30" s="172"/>
      <c r="CV30" s="172"/>
      <c r="CW30" s="172"/>
      <c r="CX30" s="172"/>
      <c r="CY30" s="172"/>
      <c r="CZ30" s="172"/>
      <c r="DA30" s="172"/>
      <c r="DB30" s="172"/>
      <c r="DC30" s="172"/>
      <c r="DD30" s="172"/>
      <c r="DE30" s="172"/>
      <c r="DF30" s="172"/>
      <c r="DG30" s="172"/>
      <c r="DH30" s="172"/>
    </row>
    <row r="31" spans="1:112" ht="15.75" thickBot="1">
      <c r="A31" s="15">
        <v>27</v>
      </c>
      <c r="B31" s="56" t="str">
        <f t="shared" si="2"/>
        <v>27 - Milchkühe (6000 kg Milch) - Mist/Jauche</v>
      </c>
      <c r="C31" s="57" t="s">
        <v>249</v>
      </c>
      <c r="D31" s="58"/>
      <c r="E31" s="59"/>
      <c r="F31" s="59"/>
      <c r="G31" s="59">
        <v>22.5</v>
      </c>
      <c r="H31" s="60">
        <v>45.1</v>
      </c>
      <c r="I31" s="61"/>
      <c r="J31" s="3">
        <v>3.9</v>
      </c>
      <c r="K31" s="62">
        <v>7.6</v>
      </c>
      <c r="L31" s="61">
        <v>1</v>
      </c>
      <c r="M31" s="62">
        <v>1</v>
      </c>
      <c r="N31" s="61"/>
      <c r="O31" s="3"/>
      <c r="P31" s="3"/>
      <c r="Q31" s="38">
        <v>1.64</v>
      </c>
      <c r="R31" s="63">
        <v>31.16</v>
      </c>
      <c r="S31" s="49"/>
      <c r="T31" s="38"/>
      <c r="U31" s="38"/>
      <c r="V31" s="38">
        <v>54.054000000000002</v>
      </c>
      <c r="W31" s="63">
        <v>109.746</v>
      </c>
      <c r="X31" s="429"/>
      <c r="Y31" s="430"/>
      <c r="Z31" s="430"/>
      <c r="AA31" s="431"/>
      <c r="AB31" s="430"/>
      <c r="AC31" s="430"/>
      <c r="AD31" s="430"/>
      <c r="AE31" s="431"/>
      <c r="AF31" s="61"/>
      <c r="AG31" s="3">
        <v>19.600000000000001</v>
      </c>
      <c r="AH31" s="62">
        <v>41</v>
      </c>
      <c r="AI31" s="64" t="s">
        <v>249</v>
      </c>
      <c r="AJ31" s="65">
        <v>85</v>
      </c>
      <c r="AK31" s="66">
        <f t="shared" si="47"/>
        <v>85</v>
      </c>
      <c r="AL31" s="54">
        <f t="shared" si="3"/>
        <v>2</v>
      </c>
      <c r="AM31" s="535"/>
      <c r="AN31" s="89"/>
      <c r="AO31" s="93"/>
      <c r="AP31" s="665" t="s">
        <v>250</v>
      </c>
      <c r="AQ31" s="172" t="s">
        <v>251</v>
      </c>
      <c r="AR31" s="172"/>
      <c r="AS31" s="172"/>
      <c r="AT31" s="172"/>
      <c r="AU31" s="172"/>
      <c r="AV31" s="172"/>
      <c r="AW31" s="172"/>
      <c r="AX31" s="661">
        <f>AX51+AX52+AX53</f>
        <v>0</v>
      </c>
      <c r="AY31" s="172"/>
      <c r="AZ31" s="172"/>
      <c r="BA31" s="172"/>
      <c r="BB31" s="172"/>
      <c r="BC31" s="172"/>
      <c r="BD31" s="553"/>
      <c r="BE31" s="554"/>
      <c r="BF31" s="554"/>
      <c r="BG31" s="554"/>
      <c r="BH31" s="555" t="s">
        <v>252</v>
      </c>
      <c r="BI31" s="547">
        <f>BI30-BJ49</f>
        <v>0</v>
      </c>
      <c r="BJ31" s="556"/>
      <c r="BK31" s="557"/>
      <c r="BL31" s="557"/>
      <c r="BM31" s="554"/>
      <c r="BN31" s="555" t="s">
        <v>253</v>
      </c>
      <c r="BO31" s="547">
        <f>BO30-BK49</f>
        <v>0</v>
      </c>
      <c r="BP31" s="534" t="s">
        <v>254</v>
      </c>
      <c r="BQ31" s="498"/>
      <c r="BR31" s="498"/>
      <c r="BS31" s="498"/>
      <c r="BT31" s="498"/>
      <c r="BU31" s="498"/>
      <c r="BV31" s="498"/>
      <c r="BW31" s="498"/>
      <c r="BX31" s="498"/>
      <c r="BY31" s="498"/>
      <c r="BZ31" s="498"/>
      <c r="CA31" s="498"/>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row>
    <row r="32" spans="1:112" ht="15.75" thickBot="1">
      <c r="A32" s="15">
        <v>28</v>
      </c>
      <c r="B32" s="56" t="str">
        <f t="shared" si="2"/>
        <v>28 - Milchkühe (6000 kg Milch) - Tiefstallmist</v>
      </c>
      <c r="C32" s="57" t="s">
        <v>255</v>
      </c>
      <c r="D32" s="58"/>
      <c r="E32" s="59"/>
      <c r="F32" s="59"/>
      <c r="G32" s="59"/>
      <c r="H32" s="60">
        <v>67.599999999999994</v>
      </c>
      <c r="I32" s="61"/>
      <c r="J32" s="3"/>
      <c r="K32" s="62">
        <v>12.1</v>
      </c>
      <c r="L32" s="61">
        <v>1</v>
      </c>
      <c r="M32" s="62">
        <v>1</v>
      </c>
      <c r="N32" s="61"/>
      <c r="O32" s="3"/>
      <c r="P32" s="3"/>
      <c r="Q32" s="38"/>
      <c r="R32" s="63">
        <v>32.799999999999997</v>
      </c>
      <c r="S32" s="49"/>
      <c r="T32" s="38"/>
      <c r="U32" s="38"/>
      <c r="V32" s="38"/>
      <c r="W32" s="63">
        <v>163.80000000000001</v>
      </c>
      <c r="X32" s="429"/>
      <c r="Y32" s="430"/>
      <c r="Z32" s="430"/>
      <c r="AA32" s="431"/>
      <c r="AB32" s="430"/>
      <c r="AC32" s="430"/>
      <c r="AD32" s="430"/>
      <c r="AE32" s="431"/>
      <c r="AF32" s="61"/>
      <c r="AG32" s="3"/>
      <c r="AH32" s="62">
        <v>61.5</v>
      </c>
      <c r="AI32" s="64" t="s">
        <v>255</v>
      </c>
      <c r="AJ32" s="65">
        <v>85</v>
      </c>
      <c r="AK32" s="66">
        <f t="shared" si="47"/>
        <v>85</v>
      </c>
      <c r="AL32" s="54">
        <f t="shared" si="3"/>
        <v>2</v>
      </c>
      <c r="AM32" s="535"/>
      <c r="AN32"/>
      <c r="AP32" s="666" t="s">
        <v>256</v>
      </c>
      <c r="AQ32" s="667"/>
      <c r="AR32" s="667"/>
      <c r="AS32" s="667"/>
      <c r="AT32" s="667"/>
      <c r="AU32" s="667"/>
      <c r="AV32" s="667"/>
      <c r="AW32" s="668"/>
      <c r="AX32" s="669">
        <f>AX28-AX29-AX30</f>
        <v>0</v>
      </c>
      <c r="AY32" s="172"/>
      <c r="AZ32" s="172"/>
      <c r="BA32" s="172"/>
      <c r="BB32" s="172"/>
      <c r="BC32" s="172"/>
      <c r="BD32" s="553"/>
      <c r="BE32" s="554"/>
      <c r="BF32" s="554"/>
      <c r="BG32" s="554"/>
      <c r="BH32" s="555" t="s">
        <v>257</v>
      </c>
      <c r="BI32" s="558">
        <f>BI31+CI22</f>
        <v>0</v>
      </c>
      <c r="BJ32" s="559" t="s">
        <v>258</v>
      </c>
      <c r="BK32" s="540"/>
      <c r="BL32" s="509"/>
      <c r="BM32" s="172"/>
      <c r="BN32" s="172"/>
      <c r="BO32" s="558">
        <f>BO31+CN22</f>
        <v>0</v>
      </c>
      <c r="BP32" s="498"/>
      <c r="BQ32" s="498"/>
      <c r="BR32" s="498"/>
      <c r="BS32" s="498"/>
      <c r="BT32" s="498"/>
      <c r="BU32" s="498"/>
      <c r="BV32" s="498"/>
      <c r="BW32" s="498"/>
      <c r="BX32" s="498"/>
      <c r="BY32" s="498"/>
      <c r="BZ32" s="498"/>
      <c r="CA32" s="498"/>
      <c r="CB32" s="172"/>
      <c r="CC32" s="172"/>
      <c r="CD32" s="172"/>
      <c r="CE32" s="172"/>
      <c r="CF32" s="172"/>
      <c r="CG32" s="172"/>
      <c r="CH32" s="172"/>
      <c r="CI32" s="172"/>
      <c r="CJ32" s="172"/>
      <c r="CK32" s="172"/>
      <c r="CL32" s="172"/>
      <c r="CM32" s="172"/>
      <c r="CN32" s="172"/>
      <c r="CO32" s="172"/>
      <c r="CP32" s="172"/>
      <c r="CQ32" s="172"/>
      <c r="CR32" s="172"/>
      <c r="CS32" s="172"/>
      <c r="CT32" s="172"/>
      <c r="CU32" s="172"/>
      <c r="CV32" s="172"/>
      <c r="CW32" s="172"/>
      <c r="CX32" s="172"/>
      <c r="CY32" s="172"/>
      <c r="CZ32" s="172"/>
      <c r="DA32" s="172"/>
      <c r="DB32" s="172"/>
      <c r="DC32" s="172"/>
      <c r="DD32" s="172"/>
      <c r="DE32" s="172"/>
      <c r="DF32" s="172"/>
      <c r="DG32" s="172"/>
      <c r="DH32" s="172"/>
    </row>
    <row r="33" spans="1:112" ht="15.75" thickBot="1">
      <c r="A33" s="15">
        <v>29</v>
      </c>
      <c r="B33" s="56" t="str">
        <f t="shared" si="2"/>
        <v>29 - Milchkühe (7000 kg Milch) - Gülle</v>
      </c>
      <c r="C33" s="57" t="s">
        <v>259</v>
      </c>
      <c r="D33" s="58">
        <v>89.7</v>
      </c>
      <c r="E33" s="59"/>
      <c r="F33" s="59"/>
      <c r="G33" s="59"/>
      <c r="H33" s="60"/>
      <c r="I33" s="61">
        <v>11.65</v>
      </c>
      <c r="J33" s="3"/>
      <c r="K33" s="62"/>
      <c r="L33" s="61">
        <v>1</v>
      </c>
      <c r="M33" s="62">
        <v>1</v>
      </c>
      <c r="N33" s="61">
        <v>37.4</v>
      </c>
      <c r="O33" s="3"/>
      <c r="P33" s="3"/>
      <c r="Q33" s="38"/>
      <c r="R33" s="63"/>
      <c r="S33" s="49">
        <v>178.7</v>
      </c>
      <c r="T33" s="38"/>
      <c r="U33" s="38"/>
      <c r="V33" s="38"/>
      <c r="W33" s="63"/>
      <c r="X33" s="429"/>
      <c r="Y33" s="430"/>
      <c r="Z33" s="430"/>
      <c r="AA33" s="431"/>
      <c r="AB33" s="430"/>
      <c r="AC33" s="430"/>
      <c r="AD33" s="430"/>
      <c r="AE33" s="431"/>
      <c r="AF33" s="61">
        <v>78</v>
      </c>
      <c r="AG33" s="3"/>
      <c r="AH33" s="62"/>
      <c r="AI33" s="64" t="s">
        <v>259</v>
      </c>
      <c r="AJ33" s="65">
        <v>85</v>
      </c>
      <c r="AK33" s="66">
        <f t="shared" si="47"/>
        <v>85</v>
      </c>
      <c r="AL33" s="54">
        <f t="shared" si="3"/>
        <v>2</v>
      </c>
      <c r="AM33" s="535"/>
      <c r="AN33"/>
      <c r="AP33" s="670" t="s">
        <v>260</v>
      </c>
      <c r="AQ33" s="671"/>
      <c r="AR33" s="671"/>
      <c r="AS33" s="671"/>
      <c r="AT33" s="671"/>
      <c r="AU33" s="671"/>
      <c r="AV33" s="671"/>
      <c r="AW33" s="671"/>
      <c r="AX33" s="594">
        <f>AX20+AX31+AX32</f>
        <v>0</v>
      </c>
      <c r="AY33" s="560" t="s">
        <v>261</v>
      </c>
      <c r="AZ33" s="543"/>
      <c r="BA33" s="172"/>
      <c r="BB33" s="172"/>
      <c r="BC33" s="172"/>
      <c r="BD33" s="172"/>
      <c r="BE33" s="172"/>
      <c r="BF33" s="172"/>
      <c r="BG33" s="172"/>
      <c r="BH33" s="172"/>
      <c r="BI33" s="561">
        <f>Mineral_Dü!H29+S177+BI32</f>
        <v>0</v>
      </c>
      <c r="BJ33" s="562" t="s">
        <v>262</v>
      </c>
      <c r="BK33" s="540"/>
      <c r="BL33" s="509"/>
      <c r="BM33" s="172"/>
      <c r="BN33" s="172"/>
      <c r="BO33" s="561">
        <f>Mineral_Dü!I29+T177+BO32</f>
        <v>0</v>
      </c>
      <c r="BP33" s="498"/>
      <c r="BQ33" s="498"/>
      <c r="BR33" s="498"/>
      <c r="BS33" s="498"/>
      <c r="BT33" s="498"/>
      <c r="BU33" s="498"/>
      <c r="BV33" s="498"/>
      <c r="BW33" s="498"/>
      <c r="BX33" s="498"/>
      <c r="BY33" s="498"/>
      <c r="BZ33" s="498"/>
      <c r="CA33" s="498"/>
      <c r="CB33" s="172"/>
      <c r="CC33" s="172"/>
      <c r="CD33" s="172"/>
      <c r="CE33" s="172"/>
      <c r="CF33" s="172"/>
      <c r="CG33" s="172"/>
      <c r="CH33" s="172"/>
      <c r="CI33" s="172"/>
      <c r="CJ33" s="172"/>
      <c r="CK33" s="172"/>
      <c r="CL33" s="172"/>
      <c r="CM33" s="172"/>
      <c r="CN33" s="172"/>
      <c r="CO33" s="172"/>
      <c r="CP33" s="172"/>
      <c r="CQ33" s="172"/>
      <c r="CR33" s="172"/>
      <c r="CS33" s="172"/>
      <c r="CT33" s="172"/>
      <c r="CU33" s="172"/>
      <c r="CV33" s="172"/>
      <c r="CW33" s="172"/>
      <c r="CX33" s="172"/>
      <c r="CY33" s="172"/>
      <c r="CZ33" s="172"/>
      <c r="DA33" s="172"/>
      <c r="DB33" s="172"/>
      <c r="DC33" s="172"/>
      <c r="DD33" s="172"/>
      <c r="DE33" s="172"/>
      <c r="DF33" s="172"/>
      <c r="DG33" s="172"/>
      <c r="DH33" s="172"/>
    </row>
    <row r="34" spans="1:112">
      <c r="A34" s="15">
        <v>30</v>
      </c>
      <c r="B34" s="56" t="str">
        <f t="shared" si="2"/>
        <v>30 - Milchkühe (7000 kg Milch) - Mist/Jauche</v>
      </c>
      <c r="C34" s="57" t="s">
        <v>263</v>
      </c>
      <c r="D34" s="58"/>
      <c r="E34" s="59"/>
      <c r="F34" s="59"/>
      <c r="G34" s="59">
        <v>24.6</v>
      </c>
      <c r="H34" s="60">
        <v>49.3</v>
      </c>
      <c r="I34" s="61"/>
      <c r="J34" s="3">
        <v>3.85</v>
      </c>
      <c r="K34" s="62">
        <v>7.5</v>
      </c>
      <c r="L34" s="61">
        <v>1</v>
      </c>
      <c r="M34" s="62">
        <v>1</v>
      </c>
      <c r="N34" s="61"/>
      <c r="O34" s="3"/>
      <c r="P34" s="3"/>
      <c r="Q34" s="38">
        <v>1.87</v>
      </c>
      <c r="R34" s="63">
        <v>35.53</v>
      </c>
      <c r="S34" s="49"/>
      <c r="T34" s="38"/>
      <c r="U34" s="38"/>
      <c r="V34" s="38">
        <v>58.970999999999997</v>
      </c>
      <c r="W34" s="63">
        <v>119.729</v>
      </c>
      <c r="X34" s="429"/>
      <c r="Y34" s="430"/>
      <c r="Z34" s="430"/>
      <c r="AA34" s="431"/>
      <c r="AB34" s="430"/>
      <c r="AC34" s="430"/>
      <c r="AD34" s="430"/>
      <c r="AE34" s="431"/>
      <c r="AF34" s="61"/>
      <c r="AG34" s="3">
        <v>21.4</v>
      </c>
      <c r="AH34" s="62">
        <v>44.8</v>
      </c>
      <c r="AI34" s="64" t="s">
        <v>263</v>
      </c>
      <c r="AJ34" s="65">
        <v>85</v>
      </c>
      <c r="AK34" s="66">
        <f t="shared" si="47"/>
        <v>85</v>
      </c>
      <c r="AL34" s="54">
        <f t="shared" si="3"/>
        <v>2</v>
      </c>
      <c r="AM34" s="535"/>
      <c r="AN34"/>
      <c r="AP34" s="172"/>
      <c r="AQ34" s="172"/>
      <c r="AR34" s="172"/>
      <c r="AS34" s="172"/>
      <c r="AT34" s="172"/>
      <c r="AU34" s="172"/>
      <c r="AV34" s="172"/>
      <c r="AW34" s="172"/>
      <c r="AX34" s="172"/>
      <c r="AY34" s="172"/>
      <c r="AZ34" s="172"/>
      <c r="BA34" s="563"/>
      <c r="BB34" s="172"/>
      <c r="BC34" s="172"/>
      <c r="BD34" s="172"/>
      <c r="BE34" s="172"/>
      <c r="BF34" s="172"/>
      <c r="BG34" s="172"/>
      <c r="BH34" s="172"/>
      <c r="BI34" s="172"/>
      <c r="BJ34" s="172"/>
      <c r="BK34" s="172"/>
      <c r="BL34" s="172"/>
      <c r="BM34" s="172"/>
      <c r="BN34" s="172"/>
      <c r="BO34" s="172"/>
      <c r="BP34" s="498"/>
      <c r="BQ34" s="498"/>
      <c r="BR34" s="498"/>
      <c r="BS34" s="498"/>
      <c r="BT34" s="498"/>
      <c r="BU34" s="498"/>
      <c r="BV34" s="498"/>
      <c r="BW34" s="498"/>
      <c r="BX34" s="498"/>
      <c r="BY34" s="498"/>
      <c r="BZ34" s="498"/>
      <c r="CA34" s="498"/>
      <c r="CB34" s="172"/>
      <c r="CC34" s="172"/>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B34" s="172"/>
      <c r="DC34" s="172"/>
      <c r="DD34" s="172"/>
      <c r="DE34" s="172"/>
      <c r="DF34" s="172"/>
      <c r="DG34" s="172"/>
      <c r="DH34" s="172"/>
    </row>
    <row r="35" spans="1:112" ht="13.5" customHeight="1" thickBot="1">
      <c r="A35" s="15">
        <v>31</v>
      </c>
      <c r="B35" s="56" t="str">
        <f t="shared" si="2"/>
        <v>31 - Milchkühe (7000 kg Milch) - Tiefstallmist</v>
      </c>
      <c r="C35" s="57" t="s">
        <v>264</v>
      </c>
      <c r="D35" s="58"/>
      <c r="E35" s="59"/>
      <c r="F35" s="59"/>
      <c r="G35" s="59"/>
      <c r="H35" s="60">
        <v>73.900000000000006</v>
      </c>
      <c r="I35" s="61"/>
      <c r="J35" s="3"/>
      <c r="K35" s="62">
        <v>12</v>
      </c>
      <c r="L35" s="61">
        <v>1</v>
      </c>
      <c r="M35" s="62">
        <v>1</v>
      </c>
      <c r="N35" s="61"/>
      <c r="O35" s="3"/>
      <c r="P35" s="3"/>
      <c r="Q35" s="38"/>
      <c r="R35" s="63">
        <v>37.4</v>
      </c>
      <c r="S35" s="49"/>
      <c r="T35" s="38"/>
      <c r="U35" s="38"/>
      <c r="V35" s="38"/>
      <c r="W35" s="63">
        <v>178.7</v>
      </c>
      <c r="X35" s="429"/>
      <c r="Y35" s="430"/>
      <c r="Z35" s="430"/>
      <c r="AA35" s="431"/>
      <c r="AB35" s="430"/>
      <c r="AC35" s="430"/>
      <c r="AD35" s="430"/>
      <c r="AE35" s="431"/>
      <c r="AF35" s="61"/>
      <c r="AG35" s="3"/>
      <c r="AH35" s="62">
        <v>67.2</v>
      </c>
      <c r="AI35" s="64" t="s">
        <v>264</v>
      </c>
      <c r="AJ35" s="65">
        <v>85</v>
      </c>
      <c r="AK35" s="66">
        <f t="shared" si="47"/>
        <v>85</v>
      </c>
      <c r="AL35" s="54">
        <f t="shared" si="3"/>
        <v>2</v>
      </c>
      <c r="AM35" s="535"/>
      <c r="AN35"/>
      <c r="AP35" s="672" t="s">
        <v>265</v>
      </c>
      <c r="AQ35" s="541"/>
      <c r="AR35" s="541"/>
      <c r="AS35" s="673">
        <f>BV20+CB20</f>
        <v>0</v>
      </c>
      <c r="AT35" s="673">
        <f>BW20+CC20</f>
        <v>0</v>
      </c>
      <c r="AU35" s="673">
        <f>BX20+CD20</f>
        <v>0</v>
      </c>
      <c r="AV35" s="673">
        <f>BY20+CE20</f>
        <v>0</v>
      </c>
      <c r="AW35" s="673">
        <f>BZ20+CF20</f>
        <v>0</v>
      </c>
      <c r="AX35" s="674">
        <f>SUM(AS35:AW35)</f>
        <v>0</v>
      </c>
      <c r="AY35" s="2421" t="s">
        <v>266</v>
      </c>
      <c r="AZ35" s="2421"/>
      <c r="BA35" s="2421"/>
      <c r="BB35" s="172"/>
      <c r="BC35" s="172"/>
      <c r="BD35" s="172"/>
      <c r="BE35" s="172"/>
      <c r="BF35" s="172"/>
      <c r="BG35" s="172"/>
      <c r="BH35" s="172"/>
      <c r="BI35" s="172"/>
      <c r="BJ35" s="172"/>
      <c r="BK35" s="172"/>
      <c r="BL35" s="172"/>
      <c r="BM35" s="172"/>
      <c r="BN35" s="172"/>
      <c r="BO35" s="172"/>
      <c r="BP35" s="498"/>
      <c r="BQ35" s="498"/>
      <c r="BR35" s="498"/>
      <c r="BS35" s="498"/>
      <c r="BT35" s="498"/>
      <c r="BU35" s="498"/>
      <c r="BV35" s="498"/>
      <c r="BW35" s="498"/>
      <c r="BX35" s="498"/>
      <c r="BY35" s="498"/>
      <c r="BZ35" s="498"/>
      <c r="CA35" s="498"/>
      <c r="CB35" s="172"/>
      <c r="CC35" s="172"/>
      <c r="CD35" s="172"/>
      <c r="CE35" s="172"/>
      <c r="CF35" s="172"/>
      <c r="CG35" s="172"/>
      <c r="CH35" s="172"/>
      <c r="CI35" s="172"/>
      <c r="CJ35" s="172"/>
      <c r="CK35" s="172"/>
      <c r="CL35" s="172"/>
      <c r="CM35" s="172"/>
      <c r="CN35" s="172"/>
      <c r="CO35" s="172"/>
      <c r="CP35" s="172"/>
      <c r="CQ35" s="172"/>
      <c r="CR35" s="172"/>
      <c r="CS35" s="172"/>
      <c r="CT35" s="172"/>
      <c r="CU35" s="172"/>
      <c r="CV35" s="172"/>
      <c r="CW35" s="172"/>
      <c r="CX35" s="172"/>
      <c r="CY35" s="172"/>
      <c r="CZ35" s="172"/>
      <c r="DA35" s="172"/>
      <c r="DB35" s="172"/>
      <c r="DC35" s="172"/>
      <c r="DD35" s="172"/>
      <c r="DE35" s="172"/>
      <c r="DF35" s="172"/>
      <c r="DG35" s="172"/>
      <c r="DH35" s="172"/>
    </row>
    <row r="36" spans="1:112" ht="15" thickBot="1">
      <c r="A36" s="15">
        <v>32</v>
      </c>
      <c r="B36" s="56" t="str">
        <f t="shared" si="2"/>
        <v>32 - Milchkühe (8000 kg Milch) - Gülle</v>
      </c>
      <c r="C36" s="57" t="s">
        <v>267</v>
      </c>
      <c r="D36" s="58">
        <v>97.3</v>
      </c>
      <c r="E36" s="59"/>
      <c r="F36" s="59"/>
      <c r="G36" s="59"/>
      <c r="H36" s="60"/>
      <c r="I36" s="61">
        <v>11.95</v>
      </c>
      <c r="J36" s="3"/>
      <c r="K36" s="62"/>
      <c r="L36" s="61">
        <v>1</v>
      </c>
      <c r="M36" s="62">
        <v>1</v>
      </c>
      <c r="N36" s="61">
        <v>41.9</v>
      </c>
      <c r="O36" s="3"/>
      <c r="P36" s="3"/>
      <c r="Q36" s="38"/>
      <c r="R36" s="63"/>
      <c r="S36" s="49">
        <v>193.6</v>
      </c>
      <c r="T36" s="38"/>
      <c r="U36" s="38"/>
      <c r="V36" s="38"/>
      <c r="W36" s="63"/>
      <c r="X36" s="429"/>
      <c r="Y36" s="430"/>
      <c r="Z36" s="430"/>
      <c r="AA36" s="431"/>
      <c r="AB36" s="430"/>
      <c r="AC36" s="430"/>
      <c r="AD36" s="430"/>
      <c r="AE36" s="431"/>
      <c r="AF36" s="61">
        <v>84.7</v>
      </c>
      <c r="AG36" s="3"/>
      <c r="AH36" s="62"/>
      <c r="AI36" s="64" t="s">
        <v>267</v>
      </c>
      <c r="AJ36" s="65">
        <v>85</v>
      </c>
      <c r="AK36" s="66">
        <f t="shared" si="47"/>
        <v>85</v>
      </c>
      <c r="AL36" s="54">
        <f t="shared" si="3"/>
        <v>2</v>
      </c>
      <c r="AM36" s="535"/>
      <c r="AN36"/>
      <c r="AP36" s="510" t="s">
        <v>268</v>
      </c>
      <c r="AQ36" s="510"/>
      <c r="AR36" s="511"/>
      <c r="AS36" s="551">
        <f>AS20+AS28-AS35</f>
        <v>0</v>
      </c>
      <c r="AT36" s="551">
        <f>AT20+AT28-AT35</f>
        <v>0</v>
      </c>
      <c r="AU36" s="551">
        <f>AU20+AU28-AU35</f>
        <v>0</v>
      </c>
      <c r="AV36" s="551">
        <f>AV20+AV28-AV35</f>
        <v>0</v>
      </c>
      <c r="AW36" s="551">
        <f>AW20+AW28-AW35</f>
        <v>0</v>
      </c>
      <c r="AX36" s="675">
        <f>SUM(AS36:AW36)</f>
        <v>0</v>
      </c>
      <c r="AY36" s="2421"/>
      <c r="AZ36" s="2421"/>
      <c r="BA36" s="2421"/>
      <c r="BB36" s="172"/>
      <c r="BC36" s="172"/>
      <c r="BD36" s="172"/>
      <c r="BE36" s="172"/>
      <c r="BF36" s="172"/>
      <c r="BG36" s="172"/>
      <c r="BH36" s="172"/>
      <c r="BI36" s="172"/>
      <c r="BJ36" s="172"/>
      <c r="BK36" s="172"/>
      <c r="BL36" s="172"/>
      <c r="BM36" s="172"/>
      <c r="BN36" s="172"/>
      <c r="BO36" s="172"/>
      <c r="BP36" s="498"/>
      <c r="BQ36" s="498"/>
      <c r="BR36" s="498"/>
      <c r="BS36" s="498"/>
      <c r="BT36" s="498"/>
      <c r="BU36" s="498"/>
      <c r="BV36" s="498"/>
      <c r="BW36" s="498"/>
      <c r="BX36" s="498"/>
      <c r="BY36" s="498"/>
      <c r="BZ36" s="498"/>
      <c r="CA36" s="498"/>
      <c r="CB36" s="172"/>
      <c r="CC36" s="172"/>
      <c r="CD36" s="172"/>
      <c r="CE36" s="172"/>
      <c r="CF36" s="172"/>
      <c r="CG36" s="172"/>
      <c r="CH36" s="172"/>
      <c r="CI36" s="172"/>
      <c r="CJ36" s="172"/>
      <c r="CK36" s="172"/>
      <c r="CL36" s="172"/>
      <c r="CM36" s="172"/>
      <c r="CN36" s="172"/>
      <c r="CO36" s="172"/>
      <c r="CP36" s="172"/>
      <c r="CQ36" s="172"/>
      <c r="CR36" s="172"/>
      <c r="CS36" s="172"/>
      <c r="CT36" s="172"/>
      <c r="CU36" s="172"/>
      <c r="CV36" s="172"/>
      <c r="CW36" s="172"/>
      <c r="CX36" s="172"/>
      <c r="CY36" s="172"/>
      <c r="CZ36" s="172"/>
      <c r="DA36" s="172"/>
      <c r="DB36" s="172"/>
      <c r="DC36" s="172"/>
      <c r="DD36" s="172"/>
      <c r="DE36" s="172"/>
      <c r="DF36" s="172"/>
      <c r="DG36" s="172"/>
      <c r="DH36" s="172"/>
    </row>
    <row r="37" spans="1:112" ht="15.75" thickBot="1">
      <c r="A37" s="15">
        <v>33</v>
      </c>
      <c r="B37" s="56" t="str">
        <f t="shared" si="2"/>
        <v>33 - Milchkühe (8000 kg Milch) - Mist/Jauche</v>
      </c>
      <c r="C37" s="57" t="s">
        <v>269</v>
      </c>
      <c r="D37" s="58"/>
      <c r="E37" s="59"/>
      <c r="F37" s="59"/>
      <c r="G37" s="59">
        <v>26.7</v>
      </c>
      <c r="H37" s="60">
        <v>53.5</v>
      </c>
      <c r="I37" s="61"/>
      <c r="J37" s="3">
        <v>3.95</v>
      </c>
      <c r="K37" s="62">
        <v>7.6</v>
      </c>
      <c r="L37" s="61">
        <v>1</v>
      </c>
      <c r="M37" s="62">
        <v>1</v>
      </c>
      <c r="N37" s="61"/>
      <c r="O37" s="3"/>
      <c r="P37" s="3"/>
      <c r="Q37" s="38">
        <v>2.0950000000000002</v>
      </c>
      <c r="R37" s="63">
        <v>39.805</v>
      </c>
      <c r="S37" s="49"/>
      <c r="T37" s="38"/>
      <c r="U37" s="38"/>
      <c r="V37" s="38">
        <v>63.887999999999998</v>
      </c>
      <c r="W37" s="63">
        <v>129.71199999999999</v>
      </c>
      <c r="X37" s="429"/>
      <c r="Y37" s="430"/>
      <c r="Z37" s="430"/>
      <c r="AA37" s="431"/>
      <c r="AB37" s="430"/>
      <c r="AC37" s="430"/>
      <c r="AD37" s="430"/>
      <c r="AE37" s="431"/>
      <c r="AF37" s="61"/>
      <c r="AG37" s="3">
        <v>23.2</v>
      </c>
      <c r="AH37" s="62">
        <v>48.6</v>
      </c>
      <c r="AI37" s="64" t="s">
        <v>269</v>
      </c>
      <c r="AJ37" s="65">
        <v>85</v>
      </c>
      <c r="AK37" s="66">
        <f t="shared" si="47"/>
        <v>85</v>
      </c>
      <c r="AL37" s="54">
        <f t="shared" si="3"/>
        <v>2</v>
      </c>
      <c r="AM37" s="535"/>
      <c r="AN37"/>
      <c r="AP37" s="676"/>
      <c r="AQ37" s="677"/>
      <c r="AR37" s="677"/>
      <c r="AS37" s="554"/>
      <c r="AT37" s="554"/>
      <c r="AU37" s="554"/>
      <c r="AV37" s="554"/>
      <c r="AW37" s="554"/>
      <c r="AX37" s="678"/>
      <c r="AY37" s="2421"/>
      <c r="AZ37" s="2421"/>
      <c r="BA37" s="2421"/>
      <c r="BB37" s="172"/>
      <c r="BC37" s="172"/>
      <c r="BD37" s="172"/>
      <c r="BE37" s="172"/>
      <c r="BF37" s="172"/>
      <c r="BG37" s="172"/>
      <c r="BH37" s="172"/>
      <c r="BI37" s="172"/>
      <c r="BJ37" s="172"/>
      <c r="BK37" s="172"/>
      <c r="BL37" s="172"/>
      <c r="BM37" s="172"/>
      <c r="BN37" s="172"/>
      <c r="BO37" s="172"/>
      <c r="BP37" s="498"/>
      <c r="BQ37" s="498"/>
      <c r="BR37" s="498"/>
      <c r="BS37" s="498"/>
      <c r="BT37" s="498"/>
      <c r="BU37" s="498"/>
      <c r="BV37" s="498"/>
      <c r="BW37" s="498"/>
      <c r="BX37" s="498"/>
      <c r="BY37" s="498"/>
      <c r="BZ37" s="498"/>
      <c r="CA37" s="498"/>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172"/>
    </row>
    <row r="38" spans="1:112">
      <c r="A38" s="15">
        <v>34</v>
      </c>
      <c r="B38" s="56" t="str">
        <f t="shared" si="2"/>
        <v>34 - Milchkühe (8000 kg Milch) - Tiefstallmist</v>
      </c>
      <c r="C38" s="57" t="s">
        <v>270</v>
      </c>
      <c r="D38" s="58"/>
      <c r="E38" s="59"/>
      <c r="F38" s="59"/>
      <c r="G38" s="59"/>
      <c r="H38" s="60">
        <v>80.2</v>
      </c>
      <c r="I38" s="61"/>
      <c r="J38" s="3"/>
      <c r="K38" s="62">
        <v>12.3</v>
      </c>
      <c r="L38" s="61">
        <v>1</v>
      </c>
      <c r="M38" s="62">
        <v>1</v>
      </c>
      <c r="N38" s="61"/>
      <c r="O38" s="3"/>
      <c r="P38" s="3"/>
      <c r="Q38" s="38"/>
      <c r="R38" s="63">
        <v>41.9</v>
      </c>
      <c r="S38" s="49"/>
      <c r="T38" s="38"/>
      <c r="U38" s="38"/>
      <c r="V38" s="38"/>
      <c r="W38" s="63">
        <v>193.6</v>
      </c>
      <c r="X38" s="429"/>
      <c r="Y38" s="430"/>
      <c r="Z38" s="430"/>
      <c r="AA38" s="431"/>
      <c r="AB38" s="430"/>
      <c r="AC38" s="430"/>
      <c r="AD38" s="430"/>
      <c r="AE38" s="431"/>
      <c r="AF38" s="61"/>
      <c r="AG38" s="3"/>
      <c r="AH38" s="62">
        <v>73</v>
      </c>
      <c r="AI38" s="64" t="s">
        <v>270</v>
      </c>
      <c r="AJ38" s="65">
        <v>85</v>
      </c>
      <c r="AK38" s="66">
        <f t="shared" si="47"/>
        <v>85</v>
      </c>
      <c r="AL38" s="54">
        <f t="shared" si="3"/>
        <v>2</v>
      </c>
      <c r="AM38" s="535"/>
      <c r="AN38"/>
      <c r="AS38"/>
      <c r="AT38"/>
      <c r="AU38"/>
      <c r="AV38"/>
      <c r="AW38"/>
      <c r="AX38"/>
      <c r="AY38" s="172"/>
      <c r="AZ38" s="172"/>
      <c r="BA38" s="172"/>
      <c r="BB38" s="172"/>
      <c r="BC38" s="172"/>
      <c r="BD38" s="172"/>
      <c r="BE38" s="172"/>
      <c r="BF38" s="172"/>
      <c r="BG38" s="172"/>
      <c r="BH38" s="172"/>
      <c r="BI38" s="172"/>
      <c r="BJ38" s="172"/>
      <c r="BK38" s="172"/>
      <c r="BL38" s="172"/>
      <c r="BM38" s="172"/>
      <c r="BN38" s="172"/>
      <c r="BO38" s="172"/>
    </row>
    <row r="39" spans="1:112" ht="15">
      <c r="A39" s="15">
        <v>35</v>
      </c>
      <c r="B39" s="56" t="str">
        <f t="shared" si="2"/>
        <v>35 - Milchkühe (9000 kg Milch) - Gülle</v>
      </c>
      <c r="C39" s="57" t="s">
        <v>271</v>
      </c>
      <c r="D39" s="58">
        <v>105</v>
      </c>
      <c r="E39" s="59"/>
      <c r="F39" s="59"/>
      <c r="G39" s="59"/>
      <c r="H39" s="60"/>
      <c r="I39" s="61">
        <v>12.3</v>
      </c>
      <c r="J39" s="3"/>
      <c r="K39" s="62"/>
      <c r="L39" s="61">
        <v>1</v>
      </c>
      <c r="M39" s="62">
        <v>1</v>
      </c>
      <c r="N39" s="61">
        <v>46.5</v>
      </c>
      <c r="O39" s="3"/>
      <c r="P39" s="3"/>
      <c r="Q39" s="38"/>
      <c r="R39" s="63"/>
      <c r="S39" s="49">
        <v>208.5</v>
      </c>
      <c r="T39" s="38"/>
      <c r="U39" s="38"/>
      <c r="V39" s="38"/>
      <c r="W39" s="63"/>
      <c r="X39" s="429"/>
      <c r="Y39" s="430"/>
      <c r="Z39" s="430"/>
      <c r="AA39" s="431"/>
      <c r="AB39" s="430"/>
      <c r="AC39" s="430"/>
      <c r="AD39" s="430"/>
      <c r="AE39" s="431"/>
      <c r="AF39" s="61">
        <v>91.4</v>
      </c>
      <c r="AG39" s="3"/>
      <c r="AH39" s="62"/>
      <c r="AI39" s="64" t="s">
        <v>271</v>
      </c>
      <c r="AJ39" s="65">
        <v>85</v>
      </c>
      <c r="AK39" s="66">
        <f t="shared" si="47"/>
        <v>85</v>
      </c>
      <c r="AL39" s="54">
        <f t="shared" si="3"/>
        <v>2</v>
      </c>
      <c r="AM39" s="535"/>
      <c r="AN39"/>
      <c r="AP39" s="94" t="s">
        <v>272</v>
      </c>
      <c r="AS39"/>
      <c r="AT39"/>
      <c r="AU39"/>
      <c r="AV39"/>
      <c r="AW39"/>
      <c r="AX39"/>
      <c r="AY39" s="172"/>
      <c r="AZ39" s="172"/>
      <c r="BA39" s="172"/>
      <c r="BB39" s="172"/>
      <c r="BC39" s="172"/>
      <c r="BD39" s="172"/>
      <c r="BE39" s="172"/>
      <c r="BF39" s="172"/>
      <c r="BG39" s="172"/>
      <c r="BH39" s="172"/>
      <c r="BI39" s="172"/>
      <c r="BJ39" s="172"/>
      <c r="BK39" s="172"/>
      <c r="BL39" s="172"/>
      <c r="BM39" s="172"/>
      <c r="BN39" s="172"/>
      <c r="BO39" s="172"/>
    </row>
    <row r="40" spans="1:112">
      <c r="A40" s="15">
        <v>36</v>
      </c>
      <c r="B40" s="56" t="str">
        <f t="shared" si="2"/>
        <v>36 - Milchkühe (9000 kg Milch) - Mist/Jauche</v>
      </c>
      <c r="C40" s="57" t="s">
        <v>273</v>
      </c>
      <c r="D40" s="58"/>
      <c r="E40" s="59"/>
      <c r="F40" s="59"/>
      <c r="G40" s="59">
        <v>28.8</v>
      </c>
      <c r="H40" s="60">
        <v>57.7</v>
      </c>
      <c r="I40" s="61"/>
      <c r="J40" s="3">
        <v>4.05</v>
      </c>
      <c r="K40" s="62">
        <v>7.9</v>
      </c>
      <c r="L40" s="61">
        <v>1</v>
      </c>
      <c r="M40" s="62">
        <v>1</v>
      </c>
      <c r="N40" s="61"/>
      <c r="O40" s="3"/>
      <c r="P40" s="3"/>
      <c r="Q40" s="38">
        <v>2.3250000000000002</v>
      </c>
      <c r="R40" s="63">
        <v>44.174999999999997</v>
      </c>
      <c r="S40" s="49"/>
      <c r="T40" s="38"/>
      <c r="U40" s="38"/>
      <c r="V40" s="38">
        <v>68.805000000000007</v>
      </c>
      <c r="W40" s="63">
        <v>139.69499999999999</v>
      </c>
      <c r="X40" s="429"/>
      <c r="Y40" s="430"/>
      <c r="Z40" s="430"/>
      <c r="AA40" s="431"/>
      <c r="AB40" s="430"/>
      <c r="AC40" s="430"/>
      <c r="AD40" s="430"/>
      <c r="AE40" s="431"/>
      <c r="AF40" s="61"/>
      <c r="AG40" s="3">
        <v>25.1</v>
      </c>
      <c r="AH40" s="62">
        <v>52.4</v>
      </c>
      <c r="AI40" s="64" t="s">
        <v>273</v>
      </c>
      <c r="AJ40" s="65">
        <v>85</v>
      </c>
      <c r="AK40" s="66">
        <f t="shared" si="47"/>
        <v>85</v>
      </c>
      <c r="AL40" s="54">
        <f t="shared" si="3"/>
        <v>2</v>
      </c>
      <c r="AM40" s="535"/>
      <c r="AN40" s="95"/>
      <c r="AQ40" s="96" t="s">
        <v>274</v>
      </c>
      <c r="AR40" s="96" t="s">
        <v>275</v>
      </c>
      <c r="AS40" s="97" t="s">
        <v>276</v>
      </c>
      <c r="AT40" s="97" t="s">
        <v>277</v>
      </c>
      <c r="AU40" s="97" t="s">
        <v>91</v>
      </c>
      <c r="AV40" s="97" t="s">
        <v>278</v>
      </c>
      <c r="AW40" s="97" t="s">
        <v>279</v>
      </c>
      <c r="AX40" s="97" t="s">
        <v>109</v>
      </c>
      <c r="AY40" s="172"/>
      <c r="AZ40" s="172"/>
      <c r="BA40" s="172"/>
      <c r="BB40" s="172"/>
      <c r="BC40" s="172"/>
      <c r="BD40" s="172"/>
      <c r="BE40" s="172"/>
      <c r="BF40" s="172"/>
      <c r="BG40" s="172"/>
      <c r="BH40" s="172"/>
      <c r="BI40" s="172"/>
      <c r="BJ40" s="172"/>
      <c r="BK40" s="172"/>
      <c r="BL40" s="172"/>
      <c r="BM40" s="172"/>
      <c r="BN40" s="172"/>
      <c r="BO40" s="172"/>
    </row>
    <row r="41" spans="1:112" ht="15.75">
      <c r="A41" s="15">
        <v>37</v>
      </c>
      <c r="B41" s="56" t="str">
        <f t="shared" si="2"/>
        <v>37 - Milchkühe (9000 kg Milch) - Tiefstallmist</v>
      </c>
      <c r="C41" s="57" t="s">
        <v>280</v>
      </c>
      <c r="D41" s="58"/>
      <c r="E41" s="59"/>
      <c r="F41" s="59"/>
      <c r="G41" s="59"/>
      <c r="H41" s="60">
        <v>86.5</v>
      </c>
      <c r="I41" s="61"/>
      <c r="J41" s="3"/>
      <c r="K41" s="62">
        <v>12.6</v>
      </c>
      <c r="L41" s="61">
        <v>1</v>
      </c>
      <c r="M41" s="62">
        <v>1</v>
      </c>
      <c r="N41" s="61"/>
      <c r="O41" s="3"/>
      <c r="P41" s="3"/>
      <c r="Q41" s="38"/>
      <c r="R41" s="63">
        <v>46.5</v>
      </c>
      <c r="S41" s="49"/>
      <c r="T41" s="38"/>
      <c r="U41" s="38"/>
      <c r="V41" s="38"/>
      <c r="W41" s="63">
        <v>208.5</v>
      </c>
      <c r="X41" s="429"/>
      <c r="Y41" s="430"/>
      <c r="Z41" s="430"/>
      <c r="AA41" s="431"/>
      <c r="AB41" s="430"/>
      <c r="AC41" s="430"/>
      <c r="AD41" s="430"/>
      <c r="AE41" s="431"/>
      <c r="AF41" s="61"/>
      <c r="AG41" s="3"/>
      <c r="AH41" s="62">
        <v>78.7</v>
      </c>
      <c r="AI41" s="64" t="s">
        <v>280</v>
      </c>
      <c r="AJ41" s="65">
        <v>85</v>
      </c>
      <c r="AK41" s="66">
        <f t="shared" si="47"/>
        <v>85</v>
      </c>
      <c r="AL41" s="54">
        <f t="shared" si="3"/>
        <v>2</v>
      </c>
      <c r="AM41" s="535"/>
      <c r="AP41" t="s">
        <v>281</v>
      </c>
      <c r="AQ41" s="98">
        <f>Organ__Dü!C22</f>
        <v>0</v>
      </c>
      <c r="AR41" s="98">
        <f>Organ__Dü!D22</f>
        <v>0</v>
      </c>
      <c r="AS41" s="98">
        <f>Organ__Dü!E22</f>
        <v>0</v>
      </c>
      <c r="AT41" s="98">
        <f>Organ__Dü!F22</f>
        <v>0</v>
      </c>
      <c r="AU41" s="98">
        <f>Organ__Dü!G22</f>
        <v>0</v>
      </c>
      <c r="AV41" s="98">
        <f>Organ__Dü!H22</f>
        <v>0</v>
      </c>
      <c r="AW41" s="98">
        <f>Organ__Dü!I22</f>
        <v>0</v>
      </c>
      <c r="AX41" s="98">
        <f>Organ__Dü!J22</f>
        <v>0</v>
      </c>
      <c r="AY41" s="172"/>
      <c r="AZ41" s="172"/>
      <c r="BA41" s="172"/>
      <c r="BB41" s="172"/>
      <c r="BC41" s="172"/>
      <c r="BD41" s="564" t="s">
        <v>282</v>
      </c>
      <c r="BE41" s="172"/>
      <c r="BF41" s="172"/>
      <c r="BG41" s="172"/>
      <c r="BH41" s="172"/>
      <c r="BI41" s="559" t="s">
        <v>283</v>
      </c>
      <c r="BJ41" s="565"/>
      <c r="BK41" s="566"/>
      <c r="BL41" s="567"/>
      <c r="BM41" s="567"/>
      <c r="BN41" s="568" t="s">
        <v>284</v>
      </c>
      <c r="BO41" s="569"/>
    </row>
    <row r="42" spans="1:112" ht="15.75">
      <c r="A42" s="15">
        <v>38</v>
      </c>
      <c r="B42" s="56" t="str">
        <f t="shared" si="2"/>
        <v>38 - Milchkühe (&gt; 10.000 kg Milch) - Gülle</v>
      </c>
      <c r="C42" s="57" t="s">
        <v>285</v>
      </c>
      <c r="D42" s="58">
        <v>112.6</v>
      </c>
      <c r="E42" s="59"/>
      <c r="F42" s="59"/>
      <c r="G42" s="59"/>
      <c r="H42" s="60"/>
      <c r="I42" s="61">
        <v>12.7</v>
      </c>
      <c r="J42" s="3"/>
      <c r="K42" s="62"/>
      <c r="L42" s="61">
        <v>1</v>
      </c>
      <c r="M42" s="62">
        <v>1</v>
      </c>
      <c r="N42" s="61">
        <v>51.1</v>
      </c>
      <c r="O42" s="3"/>
      <c r="P42" s="3"/>
      <c r="Q42" s="38"/>
      <c r="R42" s="63"/>
      <c r="S42" s="49">
        <v>223.4</v>
      </c>
      <c r="T42" s="38"/>
      <c r="U42" s="38"/>
      <c r="V42" s="38"/>
      <c r="W42" s="63"/>
      <c r="X42" s="429"/>
      <c r="Y42" s="430"/>
      <c r="Z42" s="430"/>
      <c r="AA42" s="431"/>
      <c r="AB42" s="430"/>
      <c r="AC42" s="430"/>
      <c r="AD42" s="430"/>
      <c r="AE42" s="431"/>
      <c r="AF42" s="61">
        <v>98</v>
      </c>
      <c r="AG42" s="3"/>
      <c r="AH42" s="62"/>
      <c r="AI42" s="64" t="s">
        <v>285</v>
      </c>
      <c r="AJ42" s="65">
        <v>85</v>
      </c>
      <c r="AK42" s="66">
        <f t="shared" si="47"/>
        <v>85</v>
      </c>
      <c r="AL42" s="54">
        <f t="shared" si="3"/>
        <v>2</v>
      </c>
      <c r="AM42" s="535"/>
      <c r="AP42" t="s">
        <v>286</v>
      </c>
      <c r="AQ42" s="98">
        <f>Organ__Dü!C23</f>
        <v>0</v>
      </c>
      <c r="AR42" s="98">
        <f>Organ__Dü!D23</f>
        <v>0</v>
      </c>
      <c r="AS42" s="98">
        <f>Organ__Dü!E23</f>
        <v>0</v>
      </c>
      <c r="AT42" s="98">
        <f>Organ__Dü!F23</f>
        <v>0</v>
      </c>
      <c r="AU42" s="98">
        <f>Organ__Dü!G23</f>
        <v>0</v>
      </c>
      <c r="AV42" s="98">
        <f>Organ__Dü!H23</f>
        <v>0</v>
      </c>
      <c r="AW42" s="98">
        <f>Organ__Dü!I23</f>
        <v>0</v>
      </c>
      <c r="AX42" s="98">
        <f>Organ__Dü!J23</f>
        <v>0</v>
      </c>
      <c r="AY42" s="172"/>
      <c r="AZ42" s="172"/>
      <c r="BA42" s="172"/>
      <c r="BB42" s="172"/>
      <c r="BC42" s="172"/>
      <c r="BD42" s="570" t="s">
        <v>287</v>
      </c>
      <c r="BE42" s="571" t="s">
        <v>105</v>
      </c>
      <c r="BF42" s="572" t="s">
        <v>261</v>
      </c>
      <c r="BG42" s="573" t="s">
        <v>288</v>
      </c>
      <c r="BH42" s="574" t="s">
        <v>289</v>
      </c>
      <c r="BI42" s="462" t="s">
        <v>112</v>
      </c>
      <c r="BJ42" s="572" t="s">
        <v>113</v>
      </c>
      <c r="BK42" s="462" t="s">
        <v>114</v>
      </c>
      <c r="BL42" s="572" t="s">
        <v>290</v>
      </c>
      <c r="BM42" s="572" t="s">
        <v>291</v>
      </c>
      <c r="BN42" s="575" t="s">
        <v>292</v>
      </c>
      <c r="BO42" s="575" t="s">
        <v>291</v>
      </c>
    </row>
    <row r="43" spans="1:112" ht="15.75" thickBot="1">
      <c r="A43" s="15">
        <v>39</v>
      </c>
      <c r="B43" s="56" t="str">
        <f t="shared" si="2"/>
        <v>39 - Milchkühe (&gt; 10.000 kg Milch) - Mist/Jauche</v>
      </c>
      <c r="C43" s="57" t="s">
        <v>293</v>
      </c>
      <c r="D43" s="58"/>
      <c r="E43" s="59"/>
      <c r="F43" s="59"/>
      <c r="G43" s="59">
        <v>30.9</v>
      </c>
      <c r="H43" s="60">
        <v>61.9</v>
      </c>
      <c r="I43" s="61"/>
      <c r="J43" s="3">
        <v>4.2</v>
      </c>
      <c r="K43" s="62">
        <v>8.1</v>
      </c>
      <c r="L43" s="61">
        <v>1</v>
      </c>
      <c r="M43" s="62">
        <v>1</v>
      </c>
      <c r="N43" s="61"/>
      <c r="O43" s="3"/>
      <c r="P43" s="3"/>
      <c r="Q43" s="38">
        <v>2.5550000000000002</v>
      </c>
      <c r="R43" s="63">
        <v>48.545000000000002</v>
      </c>
      <c r="S43" s="49"/>
      <c r="T43" s="38"/>
      <c r="U43" s="38"/>
      <c r="V43" s="38">
        <v>73.721999999999994</v>
      </c>
      <c r="W43" s="63">
        <v>149.678</v>
      </c>
      <c r="X43" s="432"/>
      <c r="Y43" s="433"/>
      <c r="Z43" s="433"/>
      <c r="AA43" s="434"/>
      <c r="AB43" s="433"/>
      <c r="AC43" s="433"/>
      <c r="AD43" s="433"/>
      <c r="AE43" s="434"/>
      <c r="AF43" s="61"/>
      <c r="AG43" s="3">
        <v>26.9</v>
      </c>
      <c r="AH43" s="62">
        <v>56.2</v>
      </c>
      <c r="AI43" s="64" t="s">
        <v>293</v>
      </c>
      <c r="AJ43" s="65">
        <v>85</v>
      </c>
      <c r="AK43" s="66">
        <f t="shared" si="47"/>
        <v>85</v>
      </c>
      <c r="AL43" s="54">
        <f t="shared" si="3"/>
        <v>2</v>
      </c>
      <c r="AM43" s="535"/>
      <c r="AP43" t="s">
        <v>294</v>
      </c>
      <c r="AQ43" s="98">
        <f>Organ__Dü!C24</f>
        <v>0</v>
      </c>
      <c r="AR43" s="98">
        <f>Organ__Dü!D24</f>
        <v>0</v>
      </c>
      <c r="AS43" s="98">
        <f>Organ__Dü!E24</f>
        <v>0</v>
      </c>
      <c r="AT43" s="98">
        <f>Organ__Dü!F24</f>
        <v>0</v>
      </c>
      <c r="AU43" s="98">
        <f>Organ__Dü!G24</f>
        <v>0</v>
      </c>
      <c r="AV43" s="98">
        <f>Organ__Dü!H24</f>
        <v>0</v>
      </c>
      <c r="AW43" s="98">
        <f>Organ__Dü!I24</f>
        <v>0</v>
      </c>
      <c r="AX43" s="98">
        <f>Organ__Dü!J24</f>
        <v>0</v>
      </c>
      <c r="AY43" s="172"/>
      <c r="AZ43" s="172"/>
      <c r="BA43" s="172"/>
      <c r="BB43" s="172"/>
      <c r="BC43" s="172"/>
      <c r="BD43" s="576" t="s">
        <v>295</v>
      </c>
      <c r="BE43" s="577">
        <f>Hofdung!H14</f>
        <v>0</v>
      </c>
      <c r="BF43" s="578">
        <f>Hofdung!I14</f>
        <v>0</v>
      </c>
      <c r="BG43" s="578">
        <f>Hofdung!L14</f>
        <v>0</v>
      </c>
      <c r="BH43" s="579">
        <f>Hofdung!M14</f>
        <v>0</v>
      </c>
      <c r="BI43" s="580">
        <f t="shared" ref="BI43:BI48" si="48">$BE43*BF43</f>
        <v>0</v>
      </c>
      <c r="BJ43" s="580">
        <f t="shared" ref="BJ43:BJ48" si="49">$BE43*BG43</f>
        <v>0</v>
      </c>
      <c r="BK43" s="580">
        <f t="shared" ref="BK43:BK48" si="50">$BE43*BH43</f>
        <v>0</v>
      </c>
      <c r="BL43" s="578">
        <f>Hofdung!J14</f>
        <v>0</v>
      </c>
      <c r="BM43" s="578">
        <f>Hofdung!K14</f>
        <v>0</v>
      </c>
      <c r="BN43" s="580">
        <f t="shared" ref="BN43:BN48" si="51">$BE43*BL43</f>
        <v>0</v>
      </c>
      <c r="BO43" s="580">
        <f t="shared" ref="BO43:BO48" si="52">$BE43*BM43</f>
        <v>0</v>
      </c>
    </row>
    <row r="44" spans="1:112" ht="15.75" thickBot="1">
      <c r="A44" s="15">
        <v>40</v>
      </c>
      <c r="B44" s="56" t="str">
        <f t="shared" si="2"/>
        <v>40 - Milchkühe (&gt; 10.000 kg Milch) - Tiefstallmist</v>
      </c>
      <c r="C44" s="57" t="s">
        <v>296</v>
      </c>
      <c r="D44" s="58"/>
      <c r="E44" s="59"/>
      <c r="F44" s="59"/>
      <c r="G44" s="59"/>
      <c r="H44" s="60">
        <v>92.8</v>
      </c>
      <c r="I44" s="61"/>
      <c r="J44" s="3"/>
      <c r="K44" s="62">
        <v>13</v>
      </c>
      <c r="L44" s="61">
        <v>1</v>
      </c>
      <c r="M44" s="62">
        <v>1</v>
      </c>
      <c r="N44" s="61"/>
      <c r="O44" s="3"/>
      <c r="P44" s="3"/>
      <c r="Q44" s="38"/>
      <c r="R44" s="63">
        <v>51.1</v>
      </c>
      <c r="S44" s="49"/>
      <c r="T44" s="38"/>
      <c r="U44" s="38"/>
      <c r="V44" s="38"/>
      <c r="W44" s="63">
        <v>223.4</v>
      </c>
      <c r="X44" s="99" t="s">
        <v>297</v>
      </c>
      <c r="Y44" s="83"/>
      <c r="Z44" s="83"/>
      <c r="AA44" s="83"/>
      <c r="AB44" s="83" t="s">
        <v>298</v>
      </c>
      <c r="AC44" s="83"/>
      <c r="AD44" s="83"/>
      <c r="AE44" s="100"/>
      <c r="AF44" s="61"/>
      <c r="AG44" s="3"/>
      <c r="AH44" s="62">
        <v>84.4</v>
      </c>
      <c r="AI44" s="64" t="s">
        <v>296</v>
      </c>
      <c r="AJ44" s="65">
        <v>85</v>
      </c>
      <c r="AK44" s="66">
        <f t="shared" si="47"/>
        <v>85</v>
      </c>
      <c r="AL44" s="54">
        <f t="shared" si="3"/>
        <v>2</v>
      </c>
      <c r="AM44" s="535"/>
      <c r="AS44"/>
      <c r="AT44"/>
      <c r="AU44"/>
      <c r="AV44"/>
      <c r="AW44"/>
      <c r="AX44"/>
      <c r="AY44" s="172"/>
      <c r="AZ44" s="172"/>
      <c r="BA44" s="172"/>
      <c r="BB44" s="172"/>
      <c r="BC44" s="172"/>
      <c r="BD44" s="576" t="s">
        <v>299</v>
      </c>
      <c r="BE44" s="577">
        <f>Hofdung!H15</f>
        <v>0</v>
      </c>
      <c r="BF44" s="578">
        <f>Hofdung!I15</f>
        <v>0</v>
      </c>
      <c r="BG44" s="578">
        <f>Hofdung!L15</f>
        <v>0</v>
      </c>
      <c r="BH44" s="579">
        <f>Hofdung!M15</f>
        <v>0</v>
      </c>
      <c r="BI44" s="580">
        <f t="shared" si="48"/>
        <v>0</v>
      </c>
      <c r="BJ44" s="580">
        <f t="shared" si="49"/>
        <v>0</v>
      </c>
      <c r="BK44" s="580">
        <f t="shared" si="50"/>
        <v>0</v>
      </c>
      <c r="BL44" s="578">
        <f>Hofdung!J15</f>
        <v>0</v>
      </c>
      <c r="BM44" s="578">
        <f>Hofdung!K15</f>
        <v>0</v>
      </c>
      <c r="BN44" s="580">
        <f t="shared" si="51"/>
        <v>0</v>
      </c>
      <c r="BO44" s="580">
        <f t="shared" si="52"/>
        <v>0</v>
      </c>
    </row>
    <row r="45" spans="1:112" ht="15.75" thickBot="1">
      <c r="A45" s="15">
        <v>41</v>
      </c>
      <c r="B45" s="101" t="s">
        <v>300</v>
      </c>
      <c r="C45" s="21" t="s">
        <v>300</v>
      </c>
      <c r="D45" s="22"/>
      <c r="E45" s="23"/>
      <c r="F45" s="23"/>
      <c r="G45" s="23"/>
      <c r="H45" s="28"/>
      <c r="I45" s="24"/>
      <c r="J45" s="25"/>
      <c r="K45" s="26"/>
      <c r="L45" s="24"/>
      <c r="M45" s="26">
        <v>1</v>
      </c>
      <c r="N45" s="92" t="str">
        <f>Tiere!H4</f>
        <v>NEIN</v>
      </c>
      <c r="O45" s="25"/>
      <c r="P45" s="25"/>
      <c r="Q45" s="25"/>
      <c r="R45" s="26"/>
      <c r="S45" s="24"/>
      <c r="T45" s="25"/>
      <c r="U45" s="25"/>
      <c r="V45" s="25"/>
      <c r="W45" s="26"/>
      <c r="X45" s="24" t="s">
        <v>147</v>
      </c>
      <c r="Y45" s="25" t="s">
        <v>148</v>
      </c>
      <c r="Z45" s="25" t="s">
        <v>90</v>
      </c>
      <c r="AA45" s="25" t="s">
        <v>91</v>
      </c>
      <c r="AB45" s="25" t="s">
        <v>147</v>
      </c>
      <c r="AC45" s="25" t="s">
        <v>148</v>
      </c>
      <c r="AD45" s="25" t="s">
        <v>90</v>
      </c>
      <c r="AE45" s="26" t="s">
        <v>91</v>
      </c>
      <c r="AF45" s="24"/>
      <c r="AG45" s="25"/>
      <c r="AH45" s="26"/>
      <c r="AI45" s="102" t="s">
        <v>300</v>
      </c>
      <c r="AJ45" s="27"/>
      <c r="AK45" s="105"/>
      <c r="AL45" s="54"/>
      <c r="AM45" s="535"/>
      <c r="AS45"/>
      <c r="AT45"/>
      <c r="AU45"/>
      <c r="AV45"/>
      <c r="AW45"/>
      <c r="AX45"/>
      <c r="AY45" s="172"/>
      <c r="AZ45" s="172"/>
      <c r="BA45" s="172"/>
      <c r="BB45" s="172"/>
      <c r="BC45" s="172"/>
      <c r="BD45" s="576" t="s">
        <v>301</v>
      </c>
      <c r="BE45" s="577">
        <f>Hofdung!H16</f>
        <v>0</v>
      </c>
      <c r="BF45" s="578">
        <f>Hofdung!I16</f>
        <v>0</v>
      </c>
      <c r="BG45" s="578">
        <f>Hofdung!L16</f>
        <v>0</v>
      </c>
      <c r="BH45" s="579">
        <f>Hofdung!M16</f>
        <v>0</v>
      </c>
      <c r="BI45" s="580">
        <f t="shared" si="48"/>
        <v>0</v>
      </c>
      <c r="BJ45" s="580">
        <f t="shared" si="49"/>
        <v>0</v>
      </c>
      <c r="BK45" s="580">
        <f t="shared" si="50"/>
        <v>0</v>
      </c>
      <c r="BL45" s="578">
        <f>Hofdung!J16</f>
        <v>0</v>
      </c>
      <c r="BM45" s="578">
        <f>Hofdung!K16</f>
        <v>0</v>
      </c>
      <c r="BN45" s="580">
        <f t="shared" si="51"/>
        <v>0</v>
      </c>
      <c r="BO45" s="580">
        <f t="shared" si="52"/>
        <v>0</v>
      </c>
    </row>
    <row r="46" spans="1:112" ht="16.5">
      <c r="A46" s="15">
        <v>42</v>
      </c>
      <c r="B46" s="56" t="str">
        <f t="shared" ref="B46:B72" si="53">A46&amp;" - "&amp;C46</f>
        <v>42 - Ferkel 8 bis 32 kg Lebendgewicht (LG) Standard-Fütterung - Gülle</v>
      </c>
      <c r="C46" s="57" t="s">
        <v>302</v>
      </c>
      <c r="D46" s="58"/>
      <c r="E46" s="59">
        <v>2.5</v>
      </c>
      <c r="F46" s="59"/>
      <c r="G46" s="59"/>
      <c r="H46" s="60"/>
      <c r="I46" s="61">
        <v>0.30000000000000004</v>
      </c>
      <c r="J46" s="3"/>
      <c r="K46" s="62"/>
      <c r="L46" s="61">
        <v>7.0000000000000007E-2</v>
      </c>
      <c r="M46" s="62">
        <v>1</v>
      </c>
      <c r="N46" s="435"/>
      <c r="O46" s="436">
        <f>IF(Tabelle1!$N$45="JA",Tabelle1!AB46,Tabelle1!X46)</f>
        <v>2</v>
      </c>
      <c r="P46" s="437"/>
      <c r="Q46" s="438"/>
      <c r="R46" s="439"/>
      <c r="S46" s="435"/>
      <c r="T46" s="436">
        <v>2.1</v>
      </c>
      <c r="U46" s="437"/>
      <c r="V46" s="438"/>
      <c r="W46" s="439"/>
      <c r="X46" s="61">
        <v>2</v>
      </c>
      <c r="Y46" s="3"/>
      <c r="Z46" s="3"/>
      <c r="AA46" s="3"/>
      <c r="AB46" s="3">
        <v>1.4</v>
      </c>
      <c r="AC46" s="3"/>
      <c r="AD46" s="3" t="s">
        <v>303</v>
      </c>
      <c r="AE46" s="62"/>
      <c r="AF46" s="61">
        <v>2.2000000000000002</v>
      </c>
      <c r="AG46" s="3"/>
      <c r="AH46" s="62"/>
      <c r="AI46" s="64" t="s">
        <v>302</v>
      </c>
      <c r="AJ46" s="66">
        <v>2.2999999999999998</v>
      </c>
      <c r="AK46" s="106">
        <v>2.2999999999999998</v>
      </c>
      <c r="AL46" s="103"/>
      <c r="AM46" s="535"/>
      <c r="AP46" s="172"/>
      <c r="AQ46" s="581" t="s">
        <v>304</v>
      </c>
      <c r="AR46" s="519"/>
      <c r="AS46" s="172"/>
      <c r="AT46" s="172"/>
      <c r="AU46" s="172"/>
      <c r="AV46" s="172"/>
      <c r="AW46" s="172"/>
      <c r="AX46" s="172"/>
      <c r="AY46" s="172"/>
      <c r="AZ46" s="172"/>
      <c r="BA46" s="172"/>
      <c r="BB46" s="172"/>
      <c r="BC46" s="172"/>
      <c r="BD46" s="576" t="s">
        <v>305</v>
      </c>
      <c r="BE46" s="577">
        <f>Hofdung!H17</f>
        <v>0</v>
      </c>
      <c r="BF46" s="578">
        <f>Hofdung!I17</f>
        <v>0</v>
      </c>
      <c r="BG46" s="578">
        <f>Hofdung!L17</f>
        <v>0</v>
      </c>
      <c r="BH46" s="579">
        <f>Hofdung!M17</f>
        <v>0</v>
      </c>
      <c r="BI46" s="580">
        <f t="shared" si="48"/>
        <v>0</v>
      </c>
      <c r="BJ46" s="580">
        <f t="shared" si="49"/>
        <v>0</v>
      </c>
      <c r="BK46" s="580">
        <f t="shared" si="50"/>
        <v>0</v>
      </c>
      <c r="BL46" s="578">
        <f>Hofdung!J17</f>
        <v>0</v>
      </c>
      <c r="BM46" s="578">
        <f>Hofdung!K17</f>
        <v>0</v>
      </c>
      <c r="BN46" s="580">
        <f t="shared" si="51"/>
        <v>0</v>
      </c>
      <c r="BO46" s="580">
        <f t="shared" si="52"/>
        <v>0</v>
      </c>
    </row>
    <row r="47" spans="1:112" ht="17.25" thickBot="1">
      <c r="A47" s="15">
        <v>43</v>
      </c>
      <c r="B47" s="56" t="str">
        <f t="shared" si="53"/>
        <v>43 - Ferkel 8 bis 32 kg Lebendgewicht (LG) Standard-Fütterung - Mist/Jauche</v>
      </c>
      <c r="C47" s="57" t="s">
        <v>306</v>
      </c>
      <c r="D47" s="58"/>
      <c r="E47" s="59"/>
      <c r="F47" s="59"/>
      <c r="G47" s="59">
        <v>0.8</v>
      </c>
      <c r="H47" s="60">
        <v>1.6</v>
      </c>
      <c r="I47" s="61"/>
      <c r="J47" s="3">
        <v>0.05</v>
      </c>
      <c r="K47" s="62">
        <v>0.13</v>
      </c>
      <c r="L47" s="61">
        <v>7.0000000000000007E-2</v>
      </c>
      <c r="M47" s="62">
        <v>1</v>
      </c>
      <c r="N47" s="440"/>
      <c r="O47" s="441"/>
      <c r="P47" s="442"/>
      <c r="Q47" s="443">
        <f>IF(Tabelle1!$N$45="JA",Tabelle1!AD47,Tabelle1!Z47)</f>
        <v>0.1</v>
      </c>
      <c r="R47" s="444">
        <f>IF(Tabelle1!$N$45="JA",Tabelle1!AE47,Tabelle1!AA47)</f>
        <v>1.9</v>
      </c>
      <c r="S47" s="440"/>
      <c r="T47" s="441"/>
      <c r="U47" s="442"/>
      <c r="V47" s="443">
        <v>0.21</v>
      </c>
      <c r="W47" s="444">
        <v>1.89</v>
      </c>
      <c r="X47" s="61"/>
      <c r="Y47" s="3"/>
      <c r="Z47" s="3">
        <v>0.1</v>
      </c>
      <c r="AA47" s="3">
        <v>1.9</v>
      </c>
      <c r="AB47" s="3"/>
      <c r="AC47" s="3"/>
      <c r="AD47" s="3">
        <v>7.0000000000000007E-2</v>
      </c>
      <c r="AE47" s="62">
        <v>1.33</v>
      </c>
      <c r="AF47" s="61"/>
      <c r="AG47" s="3">
        <v>0.7</v>
      </c>
      <c r="AH47" s="62">
        <v>1.5</v>
      </c>
      <c r="AI47" s="64" t="s">
        <v>306</v>
      </c>
      <c r="AJ47" s="66">
        <v>2.2999999999999998</v>
      </c>
      <c r="AK47" s="106">
        <v>2.2999999999999998</v>
      </c>
      <c r="AL47" s="103"/>
      <c r="AM47" s="535"/>
      <c r="AP47" s="519"/>
      <c r="AQ47" s="510" t="s">
        <v>307</v>
      </c>
      <c r="AR47" s="510" t="s">
        <v>308</v>
      </c>
      <c r="AS47" s="510" t="s">
        <v>309</v>
      </c>
      <c r="AT47" s="510" t="s">
        <v>90</v>
      </c>
      <c r="AU47" s="510" t="s">
        <v>91</v>
      </c>
      <c r="AV47" s="510" t="s">
        <v>310</v>
      </c>
      <c r="AW47" s="510" t="s">
        <v>279</v>
      </c>
      <c r="AX47" s="172"/>
      <c r="AY47" s="172"/>
      <c r="AZ47" s="172"/>
      <c r="BA47" s="172"/>
      <c r="BB47" s="172"/>
      <c r="BC47" s="172"/>
      <c r="BD47" s="576" t="s">
        <v>311</v>
      </c>
      <c r="BE47" s="577">
        <f>Hofdung!H18</f>
        <v>0</v>
      </c>
      <c r="BF47" s="578">
        <f>Hofdung!I18</f>
        <v>0</v>
      </c>
      <c r="BG47" s="578">
        <f>Hofdung!L18</f>
        <v>0</v>
      </c>
      <c r="BH47" s="579">
        <f>Hofdung!M18</f>
        <v>0</v>
      </c>
      <c r="BI47" s="580">
        <f t="shared" si="48"/>
        <v>0</v>
      </c>
      <c r="BJ47" s="580">
        <f t="shared" si="49"/>
        <v>0</v>
      </c>
      <c r="BK47" s="580">
        <f t="shared" si="50"/>
        <v>0</v>
      </c>
      <c r="BL47" s="578">
        <f>Hofdung!J18</f>
        <v>0</v>
      </c>
      <c r="BM47" s="578">
        <f>Hofdung!K18</f>
        <v>0</v>
      </c>
      <c r="BN47" s="580">
        <f t="shared" si="51"/>
        <v>0</v>
      </c>
      <c r="BO47" s="580">
        <f t="shared" si="52"/>
        <v>0</v>
      </c>
    </row>
    <row r="48" spans="1:112" ht="17.25" thickBot="1">
      <c r="A48" s="15">
        <v>44</v>
      </c>
      <c r="B48" s="56" t="str">
        <f t="shared" si="53"/>
        <v>44 - Ferkel 8 bis 32 kg Lebendgewicht (LG) Standard-Fütterung - Tiefstallmist</v>
      </c>
      <c r="C48" s="57" t="s">
        <v>312</v>
      </c>
      <c r="D48" s="58"/>
      <c r="E48" s="59"/>
      <c r="F48" s="59"/>
      <c r="G48" s="59"/>
      <c r="H48" s="60">
        <v>2.2999999999999998</v>
      </c>
      <c r="I48" s="61"/>
      <c r="J48" s="3"/>
      <c r="K48" s="62">
        <v>0.33</v>
      </c>
      <c r="L48" s="61">
        <v>7.0000000000000007E-2</v>
      </c>
      <c r="M48" s="62">
        <v>1</v>
      </c>
      <c r="N48" s="440"/>
      <c r="O48" s="441"/>
      <c r="P48" s="442"/>
      <c r="Q48" s="443"/>
      <c r="R48" s="444">
        <f>IF(Tabelle1!$N$45="JA",Tabelle1!AE48,Tabelle1!AA48)</f>
        <v>2</v>
      </c>
      <c r="S48" s="440"/>
      <c r="T48" s="441"/>
      <c r="U48" s="442"/>
      <c r="V48" s="443"/>
      <c r="W48" s="444">
        <v>2.1</v>
      </c>
      <c r="X48" s="61"/>
      <c r="Y48" s="3"/>
      <c r="Z48" s="3"/>
      <c r="AA48" s="3">
        <v>2</v>
      </c>
      <c r="AB48" s="3"/>
      <c r="AC48" s="3"/>
      <c r="AD48" s="3"/>
      <c r="AE48" s="62">
        <v>1.4</v>
      </c>
      <c r="AF48" s="61"/>
      <c r="AG48" s="3"/>
      <c r="AH48" s="62">
        <v>2.1</v>
      </c>
      <c r="AI48" s="64" t="s">
        <v>312</v>
      </c>
      <c r="AJ48" s="66">
        <v>2.2999999999999998</v>
      </c>
      <c r="AK48" s="106">
        <v>2.2999999999999998</v>
      </c>
      <c r="AL48" s="103"/>
      <c r="AM48" s="535"/>
      <c r="AP48" s="534" t="s">
        <v>313</v>
      </c>
      <c r="AQ48" s="586">
        <f>AS20</f>
        <v>0</v>
      </c>
      <c r="AR48" s="586">
        <f>AT20</f>
        <v>0</v>
      </c>
      <c r="AS48" s="586">
        <f>AU20</f>
        <v>0</v>
      </c>
      <c r="AT48" s="586">
        <f>AV20</f>
        <v>0</v>
      </c>
      <c r="AU48" s="586">
        <f>AW20</f>
        <v>0</v>
      </c>
      <c r="AV48" s="84"/>
      <c r="AW48" s="84"/>
      <c r="AX48" s="587">
        <f t="shared" ref="AX48:AX53" si="54">SUM(AQ48:AW48)</f>
        <v>0</v>
      </c>
      <c r="AY48" s="581" t="s">
        <v>314</v>
      </c>
      <c r="AZ48" s="172"/>
      <c r="BA48" s="172"/>
      <c r="BB48" s="172"/>
      <c r="BC48" s="172"/>
      <c r="BD48" s="576" t="s">
        <v>315</v>
      </c>
      <c r="BE48" s="577">
        <f>Hofdung!H19</f>
        <v>0</v>
      </c>
      <c r="BF48" s="578">
        <f>Hofdung!I19</f>
        <v>0</v>
      </c>
      <c r="BG48" s="578">
        <f>Hofdung!L19</f>
        <v>0</v>
      </c>
      <c r="BH48" s="579">
        <f>Hofdung!M19</f>
        <v>0</v>
      </c>
      <c r="BI48" s="580">
        <f t="shared" si="48"/>
        <v>0</v>
      </c>
      <c r="BJ48" s="580">
        <f t="shared" si="49"/>
        <v>0</v>
      </c>
      <c r="BK48" s="580">
        <f t="shared" si="50"/>
        <v>0</v>
      </c>
      <c r="BL48" s="578">
        <f>Hofdung!J19</f>
        <v>0</v>
      </c>
      <c r="BM48" s="578">
        <f>Hofdung!K19</f>
        <v>0</v>
      </c>
      <c r="BN48" s="580">
        <f t="shared" si="51"/>
        <v>0</v>
      </c>
      <c r="BO48" s="580">
        <f t="shared" si="52"/>
        <v>0</v>
      </c>
    </row>
    <row r="49" spans="1:67" ht="17.25" thickBot="1">
      <c r="A49" s="15">
        <v>45</v>
      </c>
      <c r="B49" s="56" t="str">
        <f t="shared" si="53"/>
        <v>45 - Ferkel 8 bis 32 kg Lebendgewicht (LG) N-reduzierte-Fütterung - Gülle</v>
      </c>
      <c r="C49" s="57" t="s">
        <v>316</v>
      </c>
      <c r="D49" s="58"/>
      <c r="E49" s="59">
        <v>2.4</v>
      </c>
      <c r="F49" s="59"/>
      <c r="G49" s="59"/>
      <c r="H49" s="60"/>
      <c r="I49" s="61">
        <v>0.30000000000000004</v>
      </c>
      <c r="J49" s="3"/>
      <c r="K49" s="62"/>
      <c r="L49" s="61">
        <v>7.0000000000000007E-2</v>
      </c>
      <c r="M49" s="62">
        <v>1</v>
      </c>
      <c r="N49" s="440"/>
      <c r="O49" s="445">
        <f>IF(Tabelle1!$N$45="JA",Tabelle1!AB49,Tabelle1!X49)</f>
        <v>2</v>
      </c>
      <c r="P49" s="442"/>
      <c r="Q49" s="446"/>
      <c r="R49" s="447"/>
      <c r="S49" s="440"/>
      <c r="T49" s="445">
        <v>2.1</v>
      </c>
      <c r="U49" s="442"/>
      <c r="V49" s="446"/>
      <c r="W49" s="447"/>
      <c r="X49" s="61">
        <v>2</v>
      </c>
      <c r="Y49" s="3"/>
      <c r="Z49" s="3"/>
      <c r="AA49" s="3"/>
      <c r="AB49" s="3">
        <v>1.4</v>
      </c>
      <c r="AC49" s="3"/>
      <c r="AD49" s="3"/>
      <c r="AE49" s="62"/>
      <c r="AF49" s="61">
        <v>2.1</v>
      </c>
      <c r="AG49" s="3"/>
      <c r="AH49" s="62"/>
      <c r="AI49" s="64" t="s">
        <v>316</v>
      </c>
      <c r="AJ49" s="66">
        <v>2.2999999999999998</v>
      </c>
      <c r="AK49" s="106">
        <v>2.2999999999999998</v>
      </c>
      <c r="AL49" s="103"/>
      <c r="AM49" s="535"/>
      <c r="AP49" s="172" t="s">
        <v>317</v>
      </c>
      <c r="AQ49" s="586">
        <f>-CB20</f>
        <v>0</v>
      </c>
      <c r="AR49" s="586">
        <f>-CC20</f>
        <v>0</v>
      </c>
      <c r="AS49" s="586">
        <f>-CD20</f>
        <v>0</v>
      </c>
      <c r="AT49" s="586">
        <f>-CE20</f>
        <v>0</v>
      </c>
      <c r="AU49" s="586">
        <f>-CF20</f>
        <v>0</v>
      </c>
      <c r="AV49" s="84"/>
      <c r="AW49" s="84"/>
      <c r="AX49" s="587">
        <f t="shared" si="54"/>
        <v>0</v>
      </c>
      <c r="AY49" s="172"/>
      <c r="AZ49" s="172"/>
      <c r="BA49" s="172"/>
      <c r="BB49" s="172"/>
      <c r="BC49" s="172"/>
      <c r="BD49" s="582"/>
      <c r="BE49" s="583"/>
      <c r="BF49" s="583"/>
      <c r="BG49" s="583"/>
      <c r="BH49" s="583" t="s">
        <v>212</v>
      </c>
      <c r="BI49" s="584">
        <f>SUM(BI43:BI48)</f>
        <v>0</v>
      </c>
      <c r="BJ49" s="584">
        <f>SUM(BJ43:BJ48)</f>
        <v>0</v>
      </c>
      <c r="BK49" s="584">
        <f>SUM(BK43:BK48)</f>
        <v>0</v>
      </c>
      <c r="BL49" s="583"/>
      <c r="BM49" s="583"/>
      <c r="BN49" s="585">
        <f>SUM(BN43:BN48)</f>
        <v>0</v>
      </c>
      <c r="BO49" s="584">
        <f>SUM(BO43:BO48)</f>
        <v>0</v>
      </c>
    </row>
    <row r="50" spans="1:67" ht="17.25" thickBot="1">
      <c r="A50" s="15">
        <v>46</v>
      </c>
      <c r="B50" s="56" t="str">
        <f t="shared" si="53"/>
        <v>46 - Ferkel 8 bis 32 kg Lebendgewicht (LG) N-reduzierte-Fütterung - Mist/Jauche</v>
      </c>
      <c r="C50" s="57" t="s">
        <v>318</v>
      </c>
      <c r="D50" s="58"/>
      <c r="E50" s="59"/>
      <c r="F50" s="59"/>
      <c r="G50" s="59">
        <v>0.7</v>
      </c>
      <c r="H50" s="60">
        <v>1.5</v>
      </c>
      <c r="I50" s="61"/>
      <c r="J50" s="3">
        <v>0.05</v>
      </c>
      <c r="K50" s="62">
        <v>0.13</v>
      </c>
      <c r="L50" s="61">
        <v>7.0000000000000007E-2</v>
      </c>
      <c r="M50" s="62">
        <v>1</v>
      </c>
      <c r="N50" s="440"/>
      <c r="O50" s="441"/>
      <c r="P50" s="442"/>
      <c r="Q50" s="445">
        <f>IF(Tabelle1!$N$45="JA",Tabelle1!AD50,Tabelle1!Z50)</f>
        <v>0.1</v>
      </c>
      <c r="R50" s="448">
        <f>IF(Tabelle1!$N$45="JA",Tabelle1!AE50,Tabelle1!AA50)</f>
        <v>1.9</v>
      </c>
      <c r="S50" s="440"/>
      <c r="T50" s="441"/>
      <c r="U50" s="442"/>
      <c r="V50" s="445">
        <v>0.21</v>
      </c>
      <c r="W50" s="448">
        <v>1.89</v>
      </c>
      <c r="X50" s="61"/>
      <c r="Y50" s="3"/>
      <c r="Z50" s="3">
        <v>0.1</v>
      </c>
      <c r="AA50" s="3">
        <v>1.9</v>
      </c>
      <c r="AB50" s="3"/>
      <c r="AC50" s="3"/>
      <c r="AD50" s="3">
        <v>7.0000000000000007E-2</v>
      </c>
      <c r="AE50" s="62">
        <v>1.33</v>
      </c>
      <c r="AF50" s="61"/>
      <c r="AG50" s="3">
        <v>0.60000000000000009</v>
      </c>
      <c r="AH50" s="62">
        <v>1.4</v>
      </c>
      <c r="AI50" s="64" t="s">
        <v>318</v>
      </c>
      <c r="AJ50" s="66">
        <v>2.2999999999999998</v>
      </c>
      <c r="AK50" s="106">
        <v>2.2999999999999998</v>
      </c>
      <c r="AL50" s="103"/>
      <c r="AM50" s="535"/>
      <c r="AP50" s="588" t="s">
        <v>319</v>
      </c>
      <c r="AQ50" s="586">
        <f>AS23</f>
        <v>0</v>
      </c>
      <c r="AR50" s="586">
        <f>AT24</f>
        <v>0</v>
      </c>
      <c r="AS50" s="586">
        <f>AU25</f>
        <v>0</v>
      </c>
      <c r="AT50" s="586">
        <f>AV26</f>
        <v>0</v>
      </c>
      <c r="AU50" s="589">
        <f>AW27</f>
        <v>0</v>
      </c>
      <c r="AV50" s="590"/>
      <c r="AW50" s="590"/>
      <c r="AX50" s="587">
        <f t="shared" si="54"/>
        <v>0</v>
      </c>
      <c r="AY50" s="172"/>
      <c r="AZ50" s="172"/>
      <c r="BA50" s="172"/>
      <c r="BB50" s="172"/>
      <c r="BC50" s="172"/>
      <c r="BD50" s="172"/>
      <c r="BE50" s="498"/>
      <c r="BF50" s="498"/>
      <c r="BG50" s="498"/>
      <c r="BH50" s="498"/>
      <c r="BI50" s="498"/>
      <c r="BJ50" s="498"/>
      <c r="BK50" s="498"/>
      <c r="BL50" s="498"/>
      <c r="BM50" s="498"/>
      <c r="BN50" s="498"/>
      <c r="BO50" s="498"/>
    </row>
    <row r="51" spans="1:67" ht="17.25" thickBot="1">
      <c r="A51" s="15">
        <v>47</v>
      </c>
      <c r="B51" s="56" t="str">
        <f t="shared" si="53"/>
        <v>47 - Ferkel 8 bis 32 kg Lebendgewicht (LG) N-reduzierte-Fütterung - Tiefstallmist</v>
      </c>
      <c r="C51" s="57" t="s">
        <v>320</v>
      </c>
      <c r="D51" s="58"/>
      <c r="E51" s="59"/>
      <c r="F51" s="59"/>
      <c r="G51" s="59"/>
      <c r="H51" s="60">
        <v>2.2000000000000002</v>
      </c>
      <c r="I51" s="61"/>
      <c r="J51" s="3"/>
      <c r="K51" s="62">
        <v>0.33</v>
      </c>
      <c r="L51" s="61">
        <v>7.0000000000000007E-2</v>
      </c>
      <c r="M51" s="62">
        <v>1</v>
      </c>
      <c r="N51" s="440"/>
      <c r="O51" s="441"/>
      <c r="P51" s="442"/>
      <c r="Q51" s="443"/>
      <c r="R51" s="448">
        <f>IF(Tabelle1!$N$45="JA",Tabelle1!AE51,Tabelle1!AA51)</f>
        <v>2</v>
      </c>
      <c r="S51" s="440"/>
      <c r="T51" s="441"/>
      <c r="U51" s="442"/>
      <c r="V51" s="443"/>
      <c r="W51" s="448">
        <v>2.1</v>
      </c>
      <c r="X51" s="61"/>
      <c r="Y51" s="3"/>
      <c r="Z51" s="3"/>
      <c r="AA51" s="3">
        <v>2</v>
      </c>
      <c r="AB51" s="3"/>
      <c r="AC51" s="3"/>
      <c r="AD51" s="3"/>
      <c r="AE51" s="62">
        <v>1.4</v>
      </c>
      <c r="AF51" s="61"/>
      <c r="AG51" s="3"/>
      <c r="AH51" s="62">
        <v>2</v>
      </c>
      <c r="AI51" s="64" t="s">
        <v>320</v>
      </c>
      <c r="AJ51" s="66">
        <v>2.2999999999999998</v>
      </c>
      <c r="AK51" s="106">
        <v>2.2999999999999998</v>
      </c>
      <c r="AL51" s="103"/>
      <c r="AM51" s="535"/>
      <c r="AP51" s="534" t="s">
        <v>321</v>
      </c>
      <c r="AQ51" s="586">
        <f>Organ__Dü!C70</f>
        <v>0</v>
      </c>
      <c r="AR51" s="586">
        <f>Organ__Dü!D70</f>
        <v>0</v>
      </c>
      <c r="AS51" s="586">
        <f>Organ__Dü!E70</f>
        <v>0</v>
      </c>
      <c r="AT51" s="586">
        <f>Organ__Dü!F70</f>
        <v>0</v>
      </c>
      <c r="AU51" s="590"/>
      <c r="AV51" s="590"/>
      <c r="AW51" s="590"/>
      <c r="AX51" s="591">
        <f t="shared" si="54"/>
        <v>0</v>
      </c>
      <c r="AY51" s="172"/>
      <c r="AZ51" s="172"/>
      <c r="BA51"/>
      <c r="BB51"/>
      <c r="BC51"/>
      <c r="BD51"/>
    </row>
    <row r="52" spans="1:67" ht="17.25" thickBot="1">
      <c r="A52" s="15">
        <v>48</v>
      </c>
      <c r="B52" s="56" t="str">
        <f t="shared" si="53"/>
        <v xml:space="preserve">48 - MS + JS ab 32 kg LG bis Mastende/Belegung - Gülle </v>
      </c>
      <c r="C52" s="57" t="s">
        <v>322</v>
      </c>
      <c r="D52" s="58"/>
      <c r="E52" s="59">
        <v>7.5</v>
      </c>
      <c r="F52" s="59"/>
      <c r="G52" s="59"/>
      <c r="H52" s="60"/>
      <c r="I52" s="61">
        <v>0.7</v>
      </c>
      <c r="J52" s="3"/>
      <c r="K52" s="62"/>
      <c r="L52" s="61">
        <v>0.3</v>
      </c>
      <c r="M52" s="62">
        <v>1.26</v>
      </c>
      <c r="N52" s="440"/>
      <c r="O52" s="445">
        <f>IF(Tabelle1!$N$45="JA",Tabelle1!AB52,Tabelle1!X52)</f>
        <v>4.4000000000000004</v>
      </c>
      <c r="P52" s="442"/>
      <c r="Q52" s="446"/>
      <c r="R52" s="447"/>
      <c r="S52" s="440"/>
      <c r="T52" s="445">
        <v>5</v>
      </c>
      <c r="U52" s="442"/>
      <c r="V52" s="446"/>
      <c r="W52" s="447"/>
      <c r="X52" s="61">
        <v>4.4000000000000004</v>
      </c>
      <c r="Y52" s="3"/>
      <c r="Z52" s="3"/>
      <c r="AA52" s="3"/>
      <c r="AB52" s="3">
        <v>3.6</v>
      </c>
      <c r="AC52" s="3"/>
      <c r="AD52" s="3"/>
      <c r="AE52" s="62"/>
      <c r="AF52" s="61">
        <v>6.5</v>
      </c>
      <c r="AG52" s="3"/>
      <c r="AH52" s="62"/>
      <c r="AI52" s="64" t="s">
        <v>322</v>
      </c>
      <c r="AJ52" s="66">
        <v>12.14</v>
      </c>
      <c r="AK52" s="106">
        <v>12.14</v>
      </c>
      <c r="AL52" s="103"/>
      <c r="AM52" s="535"/>
      <c r="AP52" s="534" t="s">
        <v>323</v>
      </c>
      <c r="AQ52" s="590"/>
      <c r="AR52" s="590"/>
      <c r="AS52" s="590"/>
      <c r="AT52" s="590"/>
      <c r="AU52" s="586">
        <v>0</v>
      </c>
      <c r="AV52" s="590"/>
      <c r="AW52" s="590"/>
      <c r="AX52" s="591">
        <f t="shared" si="54"/>
        <v>0</v>
      </c>
      <c r="AY52" s="172"/>
      <c r="AZ52" s="172"/>
      <c r="BA52"/>
      <c r="BB52"/>
      <c r="BC52"/>
      <c r="BD52"/>
    </row>
    <row r="53" spans="1:67" ht="17.25" thickBot="1">
      <c r="A53" s="15">
        <v>49</v>
      </c>
      <c r="B53" s="56" t="str">
        <f t="shared" si="53"/>
        <v xml:space="preserve">49 - MS + JS ab 32 kg LG bis Mastende/Belegung - Mist/Jauche </v>
      </c>
      <c r="C53" s="57" t="s">
        <v>324</v>
      </c>
      <c r="D53" s="58"/>
      <c r="E53" s="59"/>
      <c r="F53" s="59"/>
      <c r="G53" s="59">
        <v>2.2999999999999998</v>
      </c>
      <c r="H53" s="60">
        <v>4.5999999999999996</v>
      </c>
      <c r="I53" s="61"/>
      <c r="J53" s="3">
        <v>0.23</v>
      </c>
      <c r="K53" s="62">
        <v>0.48</v>
      </c>
      <c r="L53" s="61">
        <v>0.3</v>
      </c>
      <c r="M53" s="62">
        <v>1.26</v>
      </c>
      <c r="N53" s="440"/>
      <c r="O53" s="441"/>
      <c r="P53" s="442"/>
      <c r="Q53" s="443">
        <f>IF(Tabelle1!$N$45="JA",Tabelle1!AD53,Tabelle1!Z53)</f>
        <v>0.22</v>
      </c>
      <c r="R53" s="444">
        <f>IF(Tabelle1!$N$45="JA",Tabelle1!AE53,Tabelle1!AA53)</f>
        <v>4.18</v>
      </c>
      <c r="S53" s="440"/>
      <c r="T53" s="441"/>
      <c r="U53" s="442"/>
      <c r="V53" s="443">
        <v>0.5</v>
      </c>
      <c r="W53" s="444">
        <v>4.5</v>
      </c>
      <c r="X53" s="61"/>
      <c r="Y53" s="3"/>
      <c r="Z53" s="3">
        <v>0.22</v>
      </c>
      <c r="AA53" s="3">
        <v>4.18</v>
      </c>
      <c r="AB53" s="3"/>
      <c r="AC53" s="3"/>
      <c r="AD53" s="3">
        <v>0.18</v>
      </c>
      <c r="AE53" s="62">
        <v>3.42</v>
      </c>
      <c r="AF53" s="61"/>
      <c r="AG53" s="3">
        <v>2</v>
      </c>
      <c r="AH53" s="62">
        <v>4.2</v>
      </c>
      <c r="AI53" s="64" t="s">
        <v>324</v>
      </c>
      <c r="AJ53" s="66">
        <v>12.14</v>
      </c>
      <c r="AK53" s="106">
        <v>12.14</v>
      </c>
      <c r="AL53" s="103"/>
      <c r="AM53" s="535"/>
      <c r="AP53" s="534" t="s">
        <v>325</v>
      </c>
      <c r="AQ53" s="586">
        <f>Organ__Dü!C71</f>
        <v>0</v>
      </c>
      <c r="AR53" s="586">
        <f>Organ__Dü!D71</f>
        <v>0</v>
      </c>
      <c r="AS53" s="586">
        <f>Organ__Dü!E71</f>
        <v>0</v>
      </c>
      <c r="AT53" s="586">
        <f>Organ__Dü!F71</f>
        <v>0</v>
      </c>
      <c r="AU53" s="586">
        <f>Organ__Dü!G71</f>
        <v>0</v>
      </c>
      <c r="AV53" s="586">
        <f>Organ__Dü!H71</f>
        <v>0</v>
      </c>
      <c r="AW53" s="586">
        <f>Organ__Dü!I71</f>
        <v>0</v>
      </c>
      <c r="AX53" s="591">
        <f t="shared" si="54"/>
        <v>0</v>
      </c>
      <c r="AY53" s="172"/>
      <c r="AZ53" s="172"/>
      <c r="BA53"/>
      <c r="BB53"/>
      <c r="BC53"/>
      <c r="BD53"/>
    </row>
    <row r="54" spans="1:67" ht="17.25" thickBot="1">
      <c r="A54" s="15">
        <v>50</v>
      </c>
      <c r="B54" s="56" t="str">
        <f t="shared" si="53"/>
        <v xml:space="preserve">50 - MS + JS ab 32 kg LG bis Mastende/Belegung - Tiefstallmist </v>
      </c>
      <c r="C54" s="57" t="s">
        <v>326</v>
      </c>
      <c r="D54" s="58"/>
      <c r="E54" s="59"/>
      <c r="F54" s="59"/>
      <c r="G54" s="59"/>
      <c r="H54" s="60">
        <v>7</v>
      </c>
      <c r="I54" s="61"/>
      <c r="J54" s="3"/>
      <c r="K54" s="62">
        <v>0.77</v>
      </c>
      <c r="L54" s="61">
        <v>0.3</v>
      </c>
      <c r="M54" s="62">
        <v>1.26</v>
      </c>
      <c r="N54" s="440"/>
      <c r="O54" s="441"/>
      <c r="P54" s="442"/>
      <c r="Q54" s="443"/>
      <c r="R54" s="444">
        <f>IF(Tabelle1!$N$45="JA",Tabelle1!AE54,Tabelle1!AA54)</f>
        <v>4.4000000000000004</v>
      </c>
      <c r="S54" s="440"/>
      <c r="T54" s="441"/>
      <c r="U54" s="442"/>
      <c r="V54" s="443"/>
      <c r="W54" s="444">
        <v>5</v>
      </c>
      <c r="X54" s="61"/>
      <c r="Y54" s="3"/>
      <c r="Z54" s="3"/>
      <c r="AA54" s="3">
        <v>4.4000000000000004</v>
      </c>
      <c r="AB54" s="3"/>
      <c r="AC54" s="3"/>
      <c r="AD54" s="3"/>
      <c r="AE54" s="62">
        <v>3.6</v>
      </c>
      <c r="AF54" s="61"/>
      <c r="AG54" s="3"/>
      <c r="AH54" s="62">
        <v>6.4</v>
      </c>
      <c r="AI54" s="64" t="s">
        <v>326</v>
      </c>
      <c r="AJ54" s="66">
        <v>12.14</v>
      </c>
      <c r="AK54" s="106">
        <v>12.14</v>
      </c>
      <c r="AL54" s="103"/>
      <c r="AM54" s="535"/>
      <c r="AP54" s="581" t="s">
        <v>327</v>
      </c>
      <c r="AQ54" s="586">
        <f t="shared" ref="AQ54:AX54" si="55">SUM(AQ48:AQ53)</f>
        <v>0</v>
      </c>
      <c r="AR54" s="586">
        <f t="shared" si="55"/>
        <v>0</v>
      </c>
      <c r="AS54" s="586">
        <f t="shared" si="55"/>
        <v>0</v>
      </c>
      <c r="AT54" s="586">
        <f t="shared" si="55"/>
        <v>0</v>
      </c>
      <c r="AU54" s="586">
        <f t="shared" si="55"/>
        <v>0</v>
      </c>
      <c r="AV54" s="586">
        <f t="shared" si="55"/>
        <v>0</v>
      </c>
      <c r="AW54" s="586">
        <f t="shared" si="55"/>
        <v>0</v>
      </c>
      <c r="AX54" s="587">
        <f t="shared" si="55"/>
        <v>0</v>
      </c>
      <c r="AY54" s="581" t="s">
        <v>328</v>
      </c>
      <c r="AZ54" s="172"/>
      <c r="BA54" s="81">
        <f>SUM(AQ54:AW54)</f>
        <v>0</v>
      </c>
      <c r="BB54"/>
      <c r="BC54"/>
      <c r="BD54"/>
    </row>
    <row r="55" spans="1:67" ht="17.25" thickBot="1">
      <c r="A55" s="15">
        <v>51</v>
      </c>
      <c r="B55" s="56" t="str">
        <f t="shared" si="53"/>
        <v xml:space="preserve">51 - MS + JS ab 32 kg LG bis Mastende/Belegung -N-reduzierte-Fütterung - Gülle </v>
      </c>
      <c r="C55" s="57" t="s">
        <v>329</v>
      </c>
      <c r="D55" s="58"/>
      <c r="E55" s="59">
        <v>6.9</v>
      </c>
      <c r="F55" s="59"/>
      <c r="G55" s="59"/>
      <c r="H55" s="60"/>
      <c r="I55" s="61">
        <v>0.7</v>
      </c>
      <c r="J55" s="3"/>
      <c r="K55" s="62"/>
      <c r="L55" s="61">
        <v>0.3</v>
      </c>
      <c r="M55" s="62">
        <v>1.26</v>
      </c>
      <c r="N55" s="440"/>
      <c r="O55" s="445">
        <f>IF(Tabelle1!$N$45="JA",Tabelle1!AB55,Tabelle1!X55)</f>
        <v>4.4000000000000004</v>
      </c>
      <c r="P55" s="442"/>
      <c r="Q55" s="446"/>
      <c r="R55" s="447"/>
      <c r="S55" s="440"/>
      <c r="T55" s="445">
        <v>5</v>
      </c>
      <c r="U55" s="442"/>
      <c r="V55" s="446"/>
      <c r="W55" s="447"/>
      <c r="X55" s="61">
        <v>4.4000000000000004</v>
      </c>
      <c r="Y55" s="3"/>
      <c r="Z55" s="3"/>
      <c r="AA55" s="3"/>
      <c r="AB55" s="3">
        <v>3.6</v>
      </c>
      <c r="AC55" s="3"/>
      <c r="AD55" s="3"/>
      <c r="AE55" s="62"/>
      <c r="AF55" s="61">
        <v>6</v>
      </c>
      <c r="AG55" s="3"/>
      <c r="AH55" s="62"/>
      <c r="AI55" s="64" t="s">
        <v>329</v>
      </c>
      <c r="AJ55" s="66">
        <v>12.14</v>
      </c>
      <c r="AK55" s="106">
        <v>12.14</v>
      </c>
      <c r="AL55" s="103"/>
      <c r="AM55" s="535"/>
      <c r="AP55" s="172"/>
      <c r="AQ55" s="581" t="s">
        <v>330</v>
      </c>
      <c r="AR55" s="519"/>
      <c r="AS55" s="172"/>
      <c r="AT55" s="172"/>
      <c r="AU55" s="172"/>
      <c r="AV55" s="172"/>
      <c r="AW55" s="172"/>
      <c r="AX55" s="592">
        <f>BI49</f>
        <v>0</v>
      </c>
      <c r="AY55" s="519" t="s">
        <v>331</v>
      </c>
      <c r="AZ55" s="172"/>
      <c r="BA55"/>
      <c r="BB55"/>
      <c r="BC55"/>
      <c r="BD55"/>
    </row>
    <row r="56" spans="1:67" ht="17.25" thickBot="1">
      <c r="A56" s="15">
        <v>52</v>
      </c>
      <c r="B56" s="56" t="str">
        <f t="shared" si="53"/>
        <v xml:space="preserve">52 - MS + JS ab 32 kg LG bis Mastende/Belegung -N-reduzierte-Fütterung - Mist/Jauche </v>
      </c>
      <c r="C56" s="57" t="s">
        <v>332</v>
      </c>
      <c r="D56" s="58"/>
      <c r="E56" s="59"/>
      <c r="F56" s="59"/>
      <c r="G56" s="59">
        <v>2.1</v>
      </c>
      <c r="H56" s="60">
        <v>4.2</v>
      </c>
      <c r="I56" s="61"/>
      <c r="J56" s="3">
        <v>0.23</v>
      </c>
      <c r="K56" s="62">
        <v>0.48</v>
      </c>
      <c r="L56" s="61">
        <v>0.3</v>
      </c>
      <c r="M56" s="62">
        <v>1.26</v>
      </c>
      <c r="N56" s="440"/>
      <c r="O56" s="441"/>
      <c r="P56" s="442"/>
      <c r="Q56" s="443">
        <f>IF(Tabelle1!$N$45="JA",Tabelle1!AD56,Tabelle1!Z56)</f>
        <v>0.22</v>
      </c>
      <c r="R56" s="444">
        <f>IF(Tabelle1!$N$45="JA",Tabelle1!AE56,Tabelle1!AA56)</f>
        <v>4.18</v>
      </c>
      <c r="S56" s="440"/>
      <c r="T56" s="441"/>
      <c r="U56" s="442"/>
      <c r="V56" s="443">
        <v>0.5</v>
      </c>
      <c r="W56" s="444">
        <v>4.5</v>
      </c>
      <c r="X56" s="61"/>
      <c r="Y56" s="3"/>
      <c r="Z56" s="3">
        <v>0.22</v>
      </c>
      <c r="AA56" s="3">
        <v>4.18</v>
      </c>
      <c r="AB56" s="3"/>
      <c r="AC56" s="3"/>
      <c r="AD56" s="3">
        <v>0.18</v>
      </c>
      <c r="AE56" s="62">
        <v>3.42</v>
      </c>
      <c r="AF56" s="61"/>
      <c r="AG56" s="3">
        <v>1.8</v>
      </c>
      <c r="AH56" s="62">
        <v>3.8</v>
      </c>
      <c r="AI56" s="64" t="s">
        <v>332</v>
      </c>
      <c r="AJ56" s="66">
        <v>12.14</v>
      </c>
      <c r="AK56" s="106">
        <v>12.14</v>
      </c>
      <c r="AL56" s="103"/>
      <c r="AM56" s="535"/>
      <c r="AP56" s="172"/>
      <c r="AQ56" s="340" t="s">
        <v>333</v>
      </c>
      <c r="AR56" s="593"/>
      <c r="AS56" s="540"/>
      <c r="AT56" s="540"/>
      <c r="AU56" s="540"/>
      <c r="AV56" s="540"/>
      <c r="AW56" s="540"/>
      <c r="AX56" s="594">
        <f>AX54-AX55</f>
        <v>0</v>
      </c>
      <c r="AY56" s="595" t="s">
        <v>261</v>
      </c>
      <c r="AZ56" s="543"/>
      <c r="BA56"/>
      <c r="BB56"/>
      <c r="BC56"/>
      <c r="BD56"/>
    </row>
    <row r="57" spans="1:67" ht="16.5">
      <c r="A57" s="15">
        <v>53</v>
      </c>
      <c r="B57" s="56" t="str">
        <f t="shared" si="53"/>
        <v xml:space="preserve">53 - MS + JS ab 32 kg LG bis Mastende/Belegung -N-reduzierte-Fütterung - Tiefstallmist </v>
      </c>
      <c r="C57" s="57" t="s">
        <v>334</v>
      </c>
      <c r="D57" s="58"/>
      <c r="E57" s="59"/>
      <c r="F57" s="59"/>
      <c r="G57" s="59"/>
      <c r="H57" s="60">
        <v>6.4</v>
      </c>
      <c r="I57" s="61"/>
      <c r="J57" s="3"/>
      <c r="K57" s="62">
        <v>0.77</v>
      </c>
      <c r="L57" s="61">
        <v>0.3</v>
      </c>
      <c r="M57" s="62">
        <v>1.26</v>
      </c>
      <c r="N57" s="440"/>
      <c r="O57" s="441"/>
      <c r="P57" s="442"/>
      <c r="Q57" s="443"/>
      <c r="R57" s="444">
        <f>IF(Tabelle1!$N$45="JA",Tabelle1!AE57,Tabelle1!AA57)</f>
        <v>4.4000000000000004</v>
      </c>
      <c r="S57" s="440"/>
      <c r="T57" s="441"/>
      <c r="U57" s="442"/>
      <c r="V57" s="443"/>
      <c r="W57" s="444">
        <v>5</v>
      </c>
      <c r="X57" s="61"/>
      <c r="Y57" s="3"/>
      <c r="Z57" s="3"/>
      <c r="AA57" s="3">
        <v>4.4000000000000004</v>
      </c>
      <c r="AB57" s="3"/>
      <c r="AC57" s="3"/>
      <c r="AD57" s="3"/>
      <c r="AE57" s="62">
        <v>3.6</v>
      </c>
      <c r="AF57" s="61"/>
      <c r="AG57" s="3"/>
      <c r="AH57" s="62">
        <v>5.8</v>
      </c>
      <c r="AI57" s="64" t="s">
        <v>334</v>
      </c>
      <c r="AJ57" s="66">
        <v>12.14</v>
      </c>
      <c r="AK57" s="106">
        <v>12.14</v>
      </c>
      <c r="AL57" s="103"/>
      <c r="AM57" s="535"/>
      <c r="AP57" s="172"/>
      <c r="AQ57" s="172"/>
      <c r="AR57" s="172"/>
      <c r="AS57" s="172"/>
      <c r="AT57" s="172"/>
      <c r="AU57" s="172"/>
      <c r="AV57" s="172"/>
      <c r="AW57" s="172"/>
      <c r="AX57" s="596" t="s">
        <v>34</v>
      </c>
      <c r="AY57" s="597" t="s">
        <v>335</v>
      </c>
      <c r="AZ57" s="172"/>
      <c r="BA57"/>
      <c r="BB57"/>
      <c r="BC57"/>
      <c r="BD57"/>
    </row>
    <row r="58" spans="1:67" ht="16.5">
      <c r="A58" s="15">
        <v>54</v>
      </c>
      <c r="B58" s="56" t="str">
        <f t="shared" si="53"/>
        <v xml:space="preserve">54 - MS + JS ab 32 kg LG bis Mastende/Belegung - stark-N-reduzierte-Fütterung - Gülle </v>
      </c>
      <c r="C58" s="57" t="s">
        <v>336</v>
      </c>
      <c r="D58" s="58"/>
      <c r="E58" s="59">
        <v>6.7</v>
      </c>
      <c r="F58" s="59"/>
      <c r="G58" s="59"/>
      <c r="H58" s="60"/>
      <c r="I58" s="61">
        <v>0.7</v>
      </c>
      <c r="J58" s="3"/>
      <c r="K58" s="62"/>
      <c r="L58" s="61">
        <v>0.3</v>
      </c>
      <c r="M58" s="62">
        <v>1.26</v>
      </c>
      <c r="N58" s="440"/>
      <c r="O58" s="445">
        <f>IF(Tabelle1!$N$45="JA",Tabelle1!AB58,Tabelle1!X58)</f>
        <v>4.4000000000000004</v>
      </c>
      <c r="P58" s="442"/>
      <c r="Q58" s="446"/>
      <c r="R58" s="447"/>
      <c r="S58" s="440"/>
      <c r="T58" s="445">
        <v>5</v>
      </c>
      <c r="U58" s="442"/>
      <c r="V58" s="446"/>
      <c r="W58" s="447"/>
      <c r="X58" s="61">
        <v>4.4000000000000004</v>
      </c>
      <c r="Y58" s="3"/>
      <c r="Z58" s="3"/>
      <c r="AA58" s="3"/>
      <c r="AB58" s="3">
        <v>3.6</v>
      </c>
      <c r="AC58" s="3"/>
      <c r="AD58" s="3"/>
      <c r="AE58" s="62"/>
      <c r="AF58" s="61">
        <v>5.8</v>
      </c>
      <c r="AG58" s="3"/>
      <c r="AH58" s="62"/>
      <c r="AI58" s="64" t="s">
        <v>336</v>
      </c>
      <c r="AJ58" s="66">
        <v>12.14</v>
      </c>
      <c r="AK58" s="106">
        <v>12.14</v>
      </c>
      <c r="AL58" s="103"/>
      <c r="AM58" s="535"/>
      <c r="AP58" s="172"/>
      <c r="AQ58" s="172"/>
      <c r="AR58" s="172"/>
      <c r="AS58" s="172"/>
      <c r="AT58" s="172"/>
      <c r="AU58" s="172"/>
      <c r="AV58" s="172"/>
      <c r="AW58" s="172"/>
      <c r="AX58" s="172"/>
      <c r="AY58" s="172"/>
      <c r="AZ58" s="172"/>
      <c r="BA58"/>
      <c r="BB58"/>
      <c r="BC58"/>
      <c r="BD58"/>
    </row>
    <row r="59" spans="1:67" ht="16.5">
      <c r="A59" s="15">
        <v>55</v>
      </c>
      <c r="B59" s="56" t="str">
        <f t="shared" si="53"/>
        <v xml:space="preserve">55 - MS + JS ab 32 kg LG bis Mastende/Belegung - stark-N-reduzierte-Fütterung - Mist/Jauche </v>
      </c>
      <c r="C59" s="57" t="s">
        <v>337</v>
      </c>
      <c r="D59" s="58"/>
      <c r="E59" s="59"/>
      <c r="F59" s="59"/>
      <c r="G59" s="59">
        <v>2.1</v>
      </c>
      <c r="H59" s="60">
        <v>4.0999999999999996</v>
      </c>
      <c r="I59" s="61"/>
      <c r="J59" s="3">
        <v>0.23</v>
      </c>
      <c r="K59" s="62">
        <v>0.48</v>
      </c>
      <c r="L59" s="61">
        <v>0.3</v>
      </c>
      <c r="M59" s="62">
        <v>1.26</v>
      </c>
      <c r="N59" s="440"/>
      <c r="O59" s="441"/>
      <c r="P59" s="442"/>
      <c r="Q59" s="443">
        <f>IF(Tabelle1!$N$45="JA",Tabelle1!AD59,Tabelle1!Z59)</f>
        <v>0.22</v>
      </c>
      <c r="R59" s="444">
        <f>IF(Tabelle1!$N$45="JA",Tabelle1!AE59,Tabelle1!AA59)</f>
        <v>4.18</v>
      </c>
      <c r="S59" s="440"/>
      <c r="T59" s="441"/>
      <c r="U59" s="442"/>
      <c r="V59" s="443">
        <v>0.5</v>
      </c>
      <c r="W59" s="444">
        <v>4.5</v>
      </c>
      <c r="X59" s="61"/>
      <c r="Y59" s="3"/>
      <c r="Z59" s="3">
        <v>0.22</v>
      </c>
      <c r="AA59" s="3">
        <v>4.18</v>
      </c>
      <c r="AB59" s="3"/>
      <c r="AC59" s="3"/>
      <c r="AD59" s="3">
        <v>0.18</v>
      </c>
      <c r="AE59" s="62">
        <v>3.42</v>
      </c>
      <c r="AF59" s="61"/>
      <c r="AG59" s="3">
        <v>1.8</v>
      </c>
      <c r="AH59" s="62">
        <v>3.7</v>
      </c>
      <c r="AI59" s="64" t="s">
        <v>337</v>
      </c>
      <c r="AJ59" s="66">
        <v>12.14</v>
      </c>
      <c r="AK59" s="106">
        <v>12.14</v>
      </c>
      <c r="AL59" s="103"/>
      <c r="AM59" s="535"/>
      <c r="AP59" s="172"/>
      <c r="AQ59" s="581" t="s">
        <v>338</v>
      </c>
      <c r="AR59" s="519"/>
      <c r="AS59" s="172"/>
      <c r="AT59" s="172"/>
      <c r="AU59" s="172"/>
      <c r="AV59" s="172"/>
      <c r="AW59" s="172"/>
      <c r="AX59" s="172"/>
      <c r="AY59" s="172"/>
      <c r="AZ59" s="172"/>
      <c r="BA59"/>
      <c r="BB59"/>
      <c r="BC59"/>
      <c r="BD59"/>
    </row>
    <row r="60" spans="1:67" ht="16.5">
      <c r="A60" s="15">
        <v>56</v>
      </c>
      <c r="B60" s="56" t="str">
        <f t="shared" si="53"/>
        <v xml:space="preserve">56 - MS + JS ab 32 kg LG bis Mastende/Belegung - stark-N-reduzierte-Fütterung - Tiefstallmist </v>
      </c>
      <c r="C60" s="57" t="s">
        <v>339</v>
      </c>
      <c r="D60" s="58"/>
      <c r="E60" s="59"/>
      <c r="F60" s="59"/>
      <c r="G60" s="59"/>
      <c r="H60" s="60">
        <v>6.2</v>
      </c>
      <c r="I60" s="61"/>
      <c r="J60" s="3"/>
      <c r="K60" s="62">
        <v>0.77</v>
      </c>
      <c r="L60" s="61">
        <v>0.3</v>
      </c>
      <c r="M60" s="62">
        <v>1.26</v>
      </c>
      <c r="N60" s="440"/>
      <c r="O60" s="441"/>
      <c r="P60" s="442"/>
      <c r="Q60" s="443"/>
      <c r="R60" s="444">
        <f>IF(Tabelle1!$N$45="JA",Tabelle1!AE60,Tabelle1!AA60)</f>
        <v>4.4000000000000004</v>
      </c>
      <c r="S60" s="440"/>
      <c r="T60" s="441"/>
      <c r="U60" s="442"/>
      <c r="V60" s="443"/>
      <c r="W60" s="444">
        <v>5</v>
      </c>
      <c r="X60" s="61"/>
      <c r="Y60" s="3"/>
      <c r="Z60" s="3"/>
      <c r="AA60" s="3">
        <v>4.4000000000000004</v>
      </c>
      <c r="AB60" s="3"/>
      <c r="AC60" s="3"/>
      <c r="AD60" s="3"/>
      <c r="AE60" s="62">
        <v>3.6</v>
      </c>
      <c r="AF60" s="61"/>
      <c r="AG60" s="3"/>
      <c r="AH60" s="62">
        <v>5.6</v>
      </c>
      <c r="AI60" s="64" t="s">
        <v>339</v>
      </c>
      <c r="AJ60" s="66">
        <v>12.14</v>
      </c>
      <c r="AK60" s="106">
        <v>12.14</v>
      </c>
      <c r="AL60" s="103"/>
      <c r="AM60" s="535"/>
      <c r="AP60" s="172"/>
      <c r="AQ60" s="462" t="s">
        <v>307</v>
      </c>
      <c r="AR60" s="462" t="s">
        <v>308</v>
      </c>
      <c r="AS60" s="462" t="s">
        <v>309</v>
      </c>
      <c r="AT60" s="462" t="s">
        <v>90</v>
      </c>
      <c r="AU60" s="462" t="s">
        <v>91</v>
      </c>
      <c r="AV60" s="462" t="s">
        <v>310</v>
      </c>
      <c r="AW60" s="462" t="s">
        <v>279</v>
      </c>
      <c r="AX60" s="172"/>
      <c r="AY60" s="172"/>
      <c r="AZ60" s="172"/>
      <c r="BA60"/>
      <c r="BB60"/>
      <c r="BC60"/>
      <c r="BD60"/>
    </row>
    <row r="61" spans="1:67" ht="16.5">
      <c r="A61" s="15">
        <v>57</v>
      </c>
      <c r="B61" s="56" t="str">
        <f t="shared" si="53"/>
        <v>57 - Zuchtschweine - Standard-Fütterung - Gülle</v>
      </c>
      <c r="C61" s="57" t="s">
        <v>340</v>
      </c>
      <c r="D61" s="58"/>
      <c r="E61" s="59">
        <v>14.4</v>
      </c>
      <c r="F61" s="59"/>
      <c r="G61" s="59"/>
      <c r="H61" s="60"/>
      <c r="I61" s="61">
        <v>2.5499999999999998</v>
      </c>
      <c r="J61" s="3"/>
      <c r="K61" s="62"/>
      <c r="L61" s="61">
        <v>0.5</v>
      </c>
      <c r="M61" s="62">
        <v>1</v>
      </c>
      <c r="N61" s="440"/>
      <c r="O61" s="445">
        <f>IF(Tabelle1!$N$45="JA",Tabelle1!AB61,Tabelle1!X61)</f>
        <v>10.6</v>
      </c>
      <c r="P61" s="442"/>
      <c r="Q61" s="446"/>
      <c r="R61" s="447"/>
      <c r="S61" s="440"/>
      <c r="T61" s="445">
        <v>6.8</v>
      </c>
      <c r="U61" s="442"/>
      <c r="V61" s="446"/>
      <c r="W61" s="447"/>
      <c r="X61" s="61">
        <v>10.6</v>
      </c>
      <c r="Y61" s="3"/>
      <c r="Z61" s="3"/>
      <c r="AA61" s="3"/>
      <c r="AB61" s="3">
        <v>9</v>
      </c>
      <c r="AC61" s="3"/>
      <c r="AD61" s="3"/>
      <c r="AE61" s="62"/>
      <c r="AF61" s="61">
        <v>12.5</v>
      </c>
      <c r="AG61" s="3"/>
      <c r="AH61" s="62"/>
      <c r="AI61" s="64" t="s">
        <v>340</v>
      </c>
      <c r="AJ61" s="66">
        <v>26.15</v>
      </c>
      <c r="AK61" s="106">
        <v>26.15</v>
      </c>
      <c r="AL61" s="103"/>
      <c r="AM61" s="535"/>
      <c r="AP61" s="534" t="s">
        <v>341</v>
      </c>
      <c r="AQ61" s="596">
        <f t="shared" ref="AQ61:AW61" si="56">AQ54</f>
        <v>0</v>
      </c>
      <c r="AR61" s="596">
        <f t="shared" si="56"/>
        <v>0</v>
      </c>
      <c r="AS61" s="596">
        <f t="shared" si="56"/>
        <v>0</v>
      </c>
      <c r="AT61" s="596">
        <f t="shared" si="56"/>
        <v>0</v>
      </c>
      <c r="AU61" s="596">
        <f t="shared" si="56"/>
        <v>0</v>
      </c>
      <c r="AV61" s="596">
        <f t="shared" si="56"/>
        <v>0</v>
      </c>
      <c r="AW61" s="596">
        <f t="shared" si="56"/>
        <v>0</v>
      </c>
      <c r="AX61" s="30">
        <f>SUM(AQ61:AW61)</f>
        <v>0</v>
      </c>
      <c r="AY61" s="172"/>
      <c r="AZ61" s="172"/>
      <c r="BA61"/>
      <c r="BB61"/>
      <c r="BC61"/>
      <c r="BD61"/>
    </row>
    <row r="62" spans="1:67" ht="16.5">
      <c r="A62" s="15">
        <v>58</v>
      </c>
      <c r="B62" s="56" t="str">
        <f t="shared" si="53"/>
        <v>58 - Zuchtschweine - Standard-Fütterung - Mist/Jauche</v>
      </c>
      <c r="C62" s="57" t="s">
        <v>342</v>
      </c>
      <c r="D62" s="58"/>
      <c r="E62" s="59"/>
      <c r="F62" s="59"/>
      <c r="G62" s="59">
        <v>4.5</v>
      </c>
      <c r="H62" s="60">
        <v>8.9</v>
      </c>
      <c r="I62" s="61"/>
      <c r="J62" s="3">
        <v>0.84</v>
      </c>
      <c r="K62" s="62">
        <v>1.73</v>
      </c>
      <c r="L62" s="61">
        <v>0.5</v>
      </c>
      <c r="M62" s="62">
        <v>1</v>
      </c>
      <c r="N62" s="440"/>
      <c r="O62" s="441"/>
      <c r="P62" s="442"/>
      <c r="Q62" s="443">
        <f>IF(Tabelle1!$N$45="JA",Tabelle1!AD62,Tabelle1!Z62)</f>
        <v>0.53</v>
      </c>
      <c r="R62" s="444">
        <f>IF(Tabelle1!$N$45="JA",Tabelle1!AE62,Tabelle1!AA62)</f>
        <v>10.07</v>
      </c>
      <c r="S62" s="440"/>
      <c r="T62" s="441"/>
      <c r="U62" s="442"/>
      <c r="V62" s="443">
        <v>0.68</v>
      </c>
      <c r="W62" s="444">
        <v>6.12</v>
      </c>
      <c r="X62" s="61"/>
      <c r="Y62" s="3"/>
      <c r="Z62" s="3">
        <v>0.53</v>
      </c>
      <c r="AA62" s="3">
        <v>10.07</v>
      </c>
      <c r="AB62" s="3"/>
      <c r="AC62" s="3"/>
      <c r="AD62" s="3">
        <v>0.45</v>
      </c>
      <c r="AE62" s="62">
        <v>8.5500000000000007</v>
      </c>
      <c r="AF62" s="61"/>
      <c r="AG62" s="3">
        <v>3.9</v>
      </c>
      <c r="AH62" s="62">
        <v>8.1</v>
      </c>
      <c r="AI62" s="64" t="s">
        <v>342</v>
      </c>
      <c r="AJ62" s="66">
        <v>26.15</v>
      </c>
      <c r="AK62" s="106">
        <v>26.15</v>
      </c>
      <c r="AL62" s="103"/>
      <c r="AM62" s="535"/>
      <c r="AP62" s="598" t="s">
        <v>343</v>
      </c>
      <c r="AQ62" s="30">
        <f t="shared" ref="AQ62:AW62" si="57">AQ43</f>
        <v>0</v>
      </c>
      <c r="AR62" s="30">
        <f t="shared" si="57"/>
        <v>0</v>
      </c>
      <c r="AS62" s="30">
        <f t="shared" si="57"/>
        <v>0</v>
      </c>
      <c r="AT62" s="30">
        <f t="shared" si="57"/>
        <v>0</v>
      </c>
      <c r="AU62" s="30">
        <f t="shared" si="57"/>
        <v>0</v>
      </c>
      <c r="AV62" s="30">
        <f t="shared" si="57"/>
        <v>0</v>
      </c>
      <c r="AW62" s="30">
        <f t="shared" si="57"/>
        <v>0</v>
      </c>
      <c r="AX62" s="599">
        <f>SUM(AQ62:AW62)</f>
        <v>0</v>
      </c>
      <c r="AY62" s="559" t="s">
        <v>344</v>
      </c>
      <c r="AZ62" s="543"/>
      <c r="BA62"/>
      <c r="BB62"/>
      <c r="BC62"/>
      <c r="BD62"/>
    </row>
    <row r="63" spans="1:67" ht="16.5">
      <c r="A63" s="15">
        <v>59</v>
      </c>
      <c r="B63" s="56" t="str">
        <f t="shared" si="53"/>
        <v>59 - Zuchtschweine - Standard-Fütterung - Tiefstallmist</v>
      </c>
      <c r="C63" s="57" t="s">
        <v>345</v>
      </c>
      <c r="D63" s="58"/>
      <c r="E63" s="59"/>
      <c r="F63" s="59"/>
      <c r="G63" s="59"/>
      <c r="H63" s="60">
        <v>13.4</v>
      </c>
      <c r="I63" s="61"/>
      <c r="J63" s="3"/>
      <c r="K63" s="62">
        <v>2.72</v>
      </c>
      <c r="L63" s="61">
        <v>0.5</v>
      </c>
      <c r="M63" s="62">
        <v>1</v>
      </c>
      <c r="N63" s="440"/>
      <c r="O63" s="441"/>
      <c r="P63" s="442"/>
      <c r="Q63" s="443"/>
      <c r="R63" s="444">
        <f>IF(Tabelle1!$N$45="JA",Tabelle1!AE63,Tabelle1!AA63)</f>
        <v>10.6</v>
      </c>
      <c r="S63" s="440"/>
      <c r="T63" s="441"/>
      <c r="U63" s="442"/>
      <c r="V63" s="443"/>
      <c r="W63" s="444">
        <v>6.8</v>
      </c>
      <c r="X63" s="61"/>
      <c r="Y63" s="3"/>
      <c r="Z63" s="3"/>
      <c r="AA63" s="3">
        <v>10.6</v>
      </c>
      <c r="AB63" s="3"/>
      <c r="AC63" s="3"/>
      <c r="AD63" s="3"/>
      <c r="AE63" s="62">
        <v>9</v>
      </c>
      <c r="AF63" s="61"/>
      <c r="AG63" s="3"/>
      <c r="AH63" s="62">
        <v>12.2</v>
      </c>
      <c r="AI63" s="64" t="s">
        <v>345</v>
      </c>
      <c r="AJ63" s="66">
        <v>26.15</v>
      </c>
      <c r="AK63" s="106">
        <v>26.15</v>
      </c>
      <c r="AL63" s="103"/>
      <c r="AM63" s="535"/>
      <c r="AP63" s="534" t="s">
        <v>346</v>
      </c>
      <c r="AQ63" s="596">
        <f t="shared" ref="AQ63:AW63" si="58">SUM(AQ61:AQ62)</f>
        <v>0</v>
      </c>
      <c r="AR63" s="596">
        <f t="shared" si="58"/>
        <v>0</v>
      </c>
      <c r="AS63" s="596">
        <f t="shared" si="58"/>
        <v>0</v>
      </c>
      <c r="AT63" s="596">
        <f t="shared" si="58"/>
        <v>0</v>
      </c>
      <c r="AU63" s="596">
        <f t="shared" si="58"/>
        <v>0</v>
      </c>
      <c r="AV63" s="596">
        <f t="shared" si="58"/>
        <v>0</v>
      </c>
      <c r="AW63" s="596">
        <f t="shared" si="58"/>
        <v>0</v>
      </c>
      <c r="AX63" s="596">
        <f>SUM(AQ63:AW63)</f>
        <v>0</v>
      </c>
      <c r="AY63" s="534" t="s">
        <v>347</v>
      </c>
      <c r="AZ63" s="172"/>
      <c r="BA63"/>
      <c r="BB63"/>
      <c r="BC63"/>
      <c r="BD63"/>
    </row>
    <row r="64" spans="1:67" ht="16.5">
      <c r="A64" s="15">
        <v>60</v>
      </c>
      <c r="B64" s="56" t="str">
        <f t="shared" si="53"/>
        <v>60 - Zuchtschweine - N-reduzierte Fütterung - Gülle</v>
      </c>
      <c r="C64" s="57" t="s">
        <v>348</v>
      </c>
      <c r="D64" s="58"/>
      <c r="E64" s="59">
        <v>12.8</v>
      </c>
      <c r="F64" s="59"/>
      <c r="G64" s="59"/>
      <c r="H64" s="60"/>
      <c r="I64" s="61">
        <v>2.5499999999999998</v>
      </c>
      <c r="J64" s="3"/>
      <c r="K64" s="62"/>
      <c r="L64" s="61">
        <v>0.5</v>
      </c>
      <c r="M64" s="62">
        <v>1</v>
      </c>
      <c r="N64" s="440"/>
      <c r="O64" s="445">
        <f>IF(Tabelle1!$N$45="JA",Tabelle1!AB64,Tabelle1!X64)</f>
        <v>10.6</v>
      </c>
      <c r="P64" s="442"/>
      <c r="Q64" s="446"/>
      <c r="R64" s="447"/>
      <c r="S64" s="440"/>
      <c r="T64" s="445">
        <v>6.8</v>
      </c>
      <c r="U64" s="442"/>
      <c r="V64" s="446"/>
      <c r="W64" s="447"/>
      <c r="X64" s="61">
        <v>10.6</v>
      </c>
      <c r="Y64" s="3"/>
      <c r="Z64" s="3"/>
      <c r="AA64" s="3"/>
      <c r="AB64" s="3">
        <v>9</v>
      </c>
      <c r="AC64" s="3"/>
      <c r="AD64" s="3"/>
      <c r="AE64" s="62"/>
      <c r="AF64" s="61">
        <v>11.1</v>
      </c>
      <c r="AG64" s="3"/>
      <c r="AH64" s="62"/>
      <c r="AI64" s="64" t="s">
        <v>348</v>
      </c>
      <c r="AJ64" s="66">
        <v>26.15</v>
      </c>
      <c r="AK64" s="106">
        <v>26.15</v>
      </c>
      <c r="AL64" s="103"/>
      <c r="AM64" s="535"/>
      <c r="AP64" s="534" t="s">
        <v>349</v>
      </c>
      <c r="AQ64" s="489">
        <v>0.87</v>
      </c>
      <c r="AR64" s="489">
        <v>0.87</v>
      </c>
      <c r="AS64" s="489">
        <v>0.87</v>
      </c>
      <c r="AT64" s="489">
        <v>0.87</v>
      </c>
      <c r="AU64" s="489">
        <v>0.91</v>
      </c>
      <c r="AV64" s="489">
        <v>0.91</v>
      </c>
      <c r="AW64" s="489">
        <v>0.91</v>
      </c>
      <c r="AX64" s="534" t="s">
        <v>350</v>
      </c>
      <c r="AY64" s="172"/>
      <c r="AZ64" s="172"/>
      <c r="BA64"/>
      <c r="BB64"/>
      <c r="BC64"/>
      <c r="BD64"/>
    </row>
    <row r="65" spans="1:56" ht="17.25" thickBot="1">
      <c r="A65" s="15">
        <v>61</v>
      </c>
      <c r="B65" s="56" t="str">
        <f t="shared" si="53"/>
        <v>61 - Zuchtschweine - N-reduzierte Fütterung - Mist/Jauche</v>
      </c>
      <c r="C65" s="57" t="s">
        <v>351</v>
      </c>
      <c r="D65" s="58"/>
      <c r="E65" s="59"/>
      <c r="F65" s="59"/>
      <c r="G65" s="59">
        <v>4</v>
      </c>
      <c r="H65" s="60">
        <v>7.9</v>
      </c>
      <c r="I65" s="61"/>
      <c r="J65" s="3">
        <v>0.84</v>
      </c>
      <c r="K65" s="62">
        <v>1.73</v>
      </c>
      <c r="L65" s="61">
        <v>0.5</v>
      </c>
      <c r="M65" s="62">
        <v>1</v>
      </c>
      <c r="N65" s="440"/>
      <c r="O65" s="441"/>
      <c r="P65" s="442"/>
      <c r="Q65" s="443">
        <f>IF(Tabelle1!$N$45="JA",Tabelle1!AD65,Tabelle1!Z65)</f>
        <v>0.53</v>
      </c>
      <c r="R65" s="444">
        <f>IF(Tabelle1!$N$45="JA",Tabelle1!AE65,Tabelle1!AA65)</f>
        <v>10.07</v>
      </c>
      <c r="S65" s="440"/>
      <c r="T65" s="441"/>
      <c r="U65" s="442"/>
      <c r="V65" s="443">
        <v>0.68</v>
      </c>
      <c r="W65" s="444">
        <v>6.12</v>
      </c>
      <c r="X65" s="61"/>
      <c r="Y65" s="3"/>
      <c r="Z65" s="3">
        <v>0.53</v>
      </c>
      <c r="AA65" s="3">
        <v>10.07</v>
      </c>
      <c r="AB65" s="3"/>
      <c r="AC65" s="3"/>
      <c r="AD65" s="3">
        <v>0.45</v>
      </c>
      <c r="AE65" s="62">
        <v>8.5500000000000007</v>
      </c>
      <c r="AF65" s="61"/>
      <c r="AG65" s="3">
        <v>3.5</v>
      </c>
      <c r="AH65" s="62">
        <v>7.2</v>
      </c>
      <c r="AI65" s="64" t="s">
        <v>351</v>
      </c>
      <c r="AJ65" s="66">
        <v>26.15</v>
      </c>
      <c r="AK65" s="106">
        <v>26.15</v>
      </c>
      <c r="AL65" s="103"/>
      <c r="AM65" s="535"/>
      <c r="AP65" s="544" t="s">
        <v>352</v>
      </c>
      <c r="AQ65" s="30">
        <f t="shared" ref="AQ65:AW65" si="59">AQ62*AQ64</f>
        <v>0</v>
      </c>
      <c r="AR65" s="30">
        <f t="shared" si="59"/>
        <v>0</v>
      </c>
      <c r="AS65" s="30">
        <f t="shared" si="59"/>
        <v>0</v>
      </c>
      <c r="AT65" s="30">
        <f t="shared" si="59"/>
        <v>0</v>
      </c>
      <c r="AU65" s="30">
        <f t="shared" si="59"/>
        <v>0</v>
      </c>
      <c r="AV65" s="30">
        <f t="shared" si="59"/>
        <v>0</v>
      </c>
      <c r="AW65" s="30">
        <f t="shared" si="59"/>
        <v>0</v>
      </c>
      <c r="AX65" s="30">
        <f>SUM(AQ65:AW65)</f>
        <v>0</v>
      </c>
      <c r="AY65" s="172"/>
      <c r="AZ65" s="172"/>
      <c r="BA65"/>
      <c r="BB65"/>
      <c r="BC65"/>
      <c r="BD65"/>
    </row>
    <row r="66" spans="1:56" ht="17.25" thickBot="1">
      <c r="A66" s="15">
        <v>62</v>
      </c>
      <c r="B66" s="56" t="str">
        <f t="shared" si="53"/>
        <v>62 - Zuchtschweine - N-reduzierte Fütterung - Tiefstallmist</v>
      </c>
      <c r="C66" s="57" t="s">
        <v>353</v>
      </c>
      <c r="D66" s="58"/>
      <c r="E66" s="59"/>
      <c r="F66" s="59"/>
      <c r="G66" s="59"/>
      <c r="H66" s="60">
        <v>11.9</v>
      </c>
      <c r="I66" s="61"/>
      <c r="J66" s="3"/>
      <c r="K66" s="62">
        <v>2.72</v>
      </c>
      <c r="L66" s="61">
        <v>0.5</v>
      </c>
      <c r="M66" s="62">
        <v>1</v>
      </c>
      <c r="N66" s="440"/>
      <c r="O66" s="441"/>
      <c r="P66" s="442"/>
      <c r="Q66" s="443"/>
      <c r="R66" s="444">
        <f>IF(Tabelle1!$N$45="JA",Tabelle1!AE66,Tabelle1!AA66)</f>
        <v>10.6</v>
      </c>
      <c r="S66" s="440"/>
      <c r="T66" s="441"/>
      <c r="U66" s="442"/>
      <c r="V66" s="443"/>
      <c r="W66" s="444">
        <v>6.8</v>
      </c>
      <c r="X66" s="61"/>
      <c r="Y66" s="3"/>
      <c r="Z66" s="3"/>
      <c r="AA66" s="3">
        <v>10.6</v>
      </c>
      <c r="AB66" s="3"/>
      <c r="AC66" s="3"/>
      <c r="AD66" s="3"/>
      <c r="AE66" s="62">
        <v>9</v>
      </c>
      <c r="AF66" s="61"/>
      <c r="AG66" s="3"/>
      <c r="AH66" s="62">
        <v>10.8</v>
      </c>
      <c r="AI66" s="64" t="s">
        <v>353</v>
      </c>
      <c r="AJ66" s="66">
        <v>26.15</v>
      </c>
      <c r="AK66" s="106">
        <v>26.15</v>
      </c>
      <c r="AL66" s="103"/>
      <c r="AM66" s="535"/>
      <c r="AP66" s="534" t="s">
        <v>354</v>
      </c>
      <c r="AQ66" s="589">
        <f t="shared" ref="AQ66:AW66" si="60">AQ63*AQ64</f>
        <v>0</v>
      </c>
      <c r="AR66" s="589">
        <f t="shared" si="60"/>
        <v>0</v>
      </c>
      <c r="AS66" s="589">
        <f t="shared" si="60"/>
        <v>0</v>
      </c>
      <c r="AT66" s="589">
        <f t="shared" si="60"/>
        <v>0</v>
      </c>
      <c r="AU66" s="589">
        <f t="shared" si="60"/>
        <v>0</v>
      </c>
      <c r="AV66" s="589">
        <f t="shared" si="60"/>
        <v>0</v>
      </c>
      <c r="AW66" s="600">
        <f t="shared" si="60"/>
        <v>0</v>
      </c>
      <c r="AX66" s="601">
        <f>SUM(AQ66:AW66)</f>
        <v>0</v>
      </c>
      <c r="AY66" s="581" t="s">
        <v>328</v>
      </c>
      <c r="AZ66" s="172"/>
      <c r="BA66"/>
      <c r="BB66"/>
      <c r="BC66"/>
      <c r="BD66"/>
    </row>
    <row r="67" spans="1:56" ht="17.25" thickBot="1">
      <c r="A67" s="15">
        <v>63</v>
      </c>
      <c r="B67" s="56" t="str">
        <f t="shared" si="53"/>
        <v>63 - Zuchteber - Standard-Fütterung - Gülle</v>
      </c>
      <c r="C67" s="57" t="s">
        <v>355</v>
      </c>
      <c r="D67" s="58"/>
      <c r="E67" s="59">
        <v>17.7</v>
      </c>
      <c r="F67" s="59"/>
      <c r="G67" s="59"/>
      <c r="H67" s="60"/>
      <c r="I67" s="61">
        <v>2.5499999999999998</v>
      </c>
      <c r="J67" s="3"/>
      <c r="K67" s="62"/>
      <c r="L67" s="61">
        <v>0.30000000000000004</v>
      </c>
      <c r="M67" s="62">
        <v>1</v>
      </c>
      <c r="N67" s="440"/>
      <c r="O67" s="445">
        <f>IF(Tabelle1!$N$45="JA",Tabelle1!AB67,Tabelle1!X67)</f>
        <v>12.3</v>
      </c>
      <c r="P67" s="442"/>
      <c r="Q67" s="446"/>
      <c r="R67" s="447"/>
      <c r="S67" s="440"/>
      <c r="T67" s="445">
        <v>6.8</v>
      </c>
      <c r="U67" s="442"/>
      <c r="V67" s="446"/>
      <c r="W67" s="447"/>
      <c r="X67" s="61">
        <v>12.3</v>
      </c>
      <c r="Y67" s="3"/>
      <c r="Z67" s="3"/>
      <c r="AA67" s="3"/>
      <c r="AB67" s="3">
        <v>10.7</v>
      </c>
      <c r="AC67" s="3"/>
      <c r="AD67" s="3"/>
      <c r="AE67" s="62"/>
      <c r="AF67" s="61">
        <v>15.4</v>
      </c>
      <c r="AG67" s="3"/>
      <c r="AH67" s="62"/>
      <c r="AI67" s="64" t="s">
        <v>355</v>
      </c>
      <c r="AJ67" s="66">
        <v>12.14</v>
      </c>
      <c r="AK67" s="106">
        <f t="shared" ref="AK67:AK72" si="61">85*L67</f>
        <v>25.500000000000004</v>
      </c>
      <c r="AL67" s="103"/>
      <c r="AM67" s="535"/>
      <c r="AP67" s="172"/>
      <c r="AQ67" s="462"/>
      <c r="AR67" s="462"/>
      <c r="AS67" s="462"/>
      <c r="AT67" s="462"/>
      <c r="AU67" s="462"/>
      <c r="AV67" s="462"/>
      <c r="AW67" s="462"/>
      <c r="AX67" s="602">
        <f>Mineral_Dü!G29</f>
        <v>0</v>
      </c>
      <c r="AY67" s="540" t="s">
        <v>356</v>
      </c>
      <c r="AZ67" s="509"/>
      <c r="BA67"/>
      <c r="BB67"/>
      <c r="BC67"/>
      <c r="BD67"/>
    </row>
    <row r="68" spans="1:56" ht="16.5">
      <c r="A68" s="15">
        <v>64</v>
      </c>
      <c r="B68" s="56" t="str">
        <f t="shared" si="53"/>
        <v>64 - Zuchteber - Standard-Fütterung - Mist/Jauche</v>
      </c>
      <c r="C68" s="57" t="s">
        <v>357</v>
      </c>
      <c r="D68" s="58"/>
      <c r="E68" s="59"/>
      <c r="F68" s="59"/>
      <c r="G68" s="59">
        <v>5.5</v>
      </c>
      <c r="H68" s="60">
        <v>11</v>
      </c>
      <c r="I68" s="61"/>
      <c r="J68" s="3">
        <v>0.84</v>
      </c>
      <c r="K68" s="62">
        <v>1.73</v>
      </c>
      <c r="L68" s="61">
        <v>0.30000000000000004</v>
      </c>
      <c r="M68" s="62">
        <v>1</v>
      </c>
      <c r="N68" s="440"/>
      <c r="O68" s="441"/>
      <c r="P68" s="442"/>
      <c r="Q68" s="443">
        <f>IF(Tabelle1!$N$45="JA",Tabelle1!AD68,Tabelle1!Z68)</f>
        <v>0.61499999999999999</v>
      </c>
      <c r="R68" s="444">
        <f>IF(Tabelle1!$N$45="JA",Tabelle1!AE68,Tabelle1!AA68)</f>
        <v>11.685</v>
      </c>
      <c r="S68" s="440"/>
      <c r="T68" s="441"/>
      <c r="U68" s="442"/>
      <c r="V68" s="443">
        <v>0.68</v>
      </c>
      <c r="W68" s="444">
        <v>6.12</v>
      </c>
      <c r="X68" s="61"/>
      <c r="Y68" s="3"/>
      <c r="Z68" s="3">
        <v>0.61499999999999999</v>
      </c>
      <c r="AA68" s="3">
        <v>11.685</v>
      </c>
      <c r="AB68" s="3"/>
      <c r="AC68" s="3"/>
      <c r="AD68" s="3">
        <v>0.53500000000000003</v>
      </c>
      <c r="AE68" s="62">
        <v>10.164999999999999</v>
      </c>
      <c r="AF68" s="61"/>
      <c r="AG68" s="3">
        <v>4.8</v>
      </c>
      <c r="AH68" s="62">
        <v>10</v>
      </c>
      <c r="AI68" s="64" t="s">
        <v>357</v>
      </c>
      <c r="AJ68" s="66">
        <v>12.14</v>
      </c>
      <c r="AK68" s="106">
        <f t="shared" si="61"/>
        <v>25.500000000000004</v>
      </c>
      <c r="AL68" s="103"/>
      <c r="AM68" s="535"/>
      <c r="AP68" s="172"/>
      <c r="AQ68" s="581" t="s">
        <v>358</v>
      </c>
      <c r="AR68" s="519"/>
      <c r="AS68" s="172"/>
      <c r="AT68" s="172"/>
      <c r="AU68" s="172"/>
      <c r="AV68" s="172"/>
      <c r="AW68" s="172"/>
      <c r="AX68" s="592">
        <f>BN49</f>
        <v>0</v>
      </c>
      <c r="AY68" s="519" t="s">
        <v>331</v>
      </c>
      <c r="AZ68" s="172"/>
      <c r="BA68"/>
      <c r="BB68"/>
      <c r="BC68"/>
      <c r="BD68"/>
    </row>
    <row r="69" spans="1:56" ht="16.5">
      <c r="A69" s="15">
        <v>65</v>
      </c>
      <c r="B69" s="56" t="str">
        <f t="shared" si="53"/>
        <v>65 - Zuchteber - Standard-Fütterung - Tiefstallmist</v>
      </c>
      <c r="C69" s="57" t="s">
        <v>359</v>
      </c>
      <c r="D69" s="58"/>
      <c r="E69" s="59"/>
      <c r="F69" s="59"/>
      <c r="G69" s="59"/>
      <c r="H69" s="60">
        <v>16.399999999999999</v>
      </c>
      <c r="I69" s="61"/>
      <c r="J69" s="3"/>
      <c r="K69" s="62">
        <v>2.72</v>
      </c>
      <c r="L69" s="61">
        <v>0.30000000000000004</v>
      </c>
      <c r="M69" s="62">
        <v>1</v>
      </c>
      <c r="N69" s="440"/>
      <c r="O69" s="441"/>
      <c r="P69" s="442"/>
      <c r="Q69" s="443"/>
      <c r="R69" s="444">
        <f>IF(Tabelle1!$N$45="JA",Tabelle1!AE69,Tabelle1!AA69)</f>
        <v>12.3</v>
      </c>
      <c r="S69" s="440"/>
      <c r="T69" s="441"/>
      <c r="U69" s="442"/>
      <c r="V69" s="443"/>
      <c r="W69" s="444">
        <v>6.8</v>
      </c>
      <c r="X69" s="61"/>
      <c r="Y69" s="3"/>
      <c r="Z69" s="3"/>
      <c r="AA69" s="3">
        <v>12.3</v>
      </c>
      <c r="AB69" s="3"/>
      <c r="AC69" s="3"/>
      <c r="AD69" s="3"/>
      <c r="AE69" s="62">
        <v>10.7</v>
      </c>
      <c r="AF69" s="61"/>
      <c r="AG69" s="3"/>
      <c r="AH69" s="62">
        <v>14.9</v>
      </c>
      <c r="AI69" s="64" t="s">
        <v>359</v>
      </c>
      <c r="AJ69" s="66">
        <v>12.14</v>
      </c>
      <c r="AK69" s="106">
        <f t="shared" si="61"/>
        <v>25.500000000000004</v>
      </c>
      <c r="AL69" s="103"/>
      <c r="AM69" s="535"/>
      <c r="AP69" s="172"/>
      <c r="AQ69" s="340" t="s">
        <v>360</v>
      </c>
      <c r="AR69" s="593"/>
      <c r="AS69" s="540"/>
      <c r="AT69" s="540"/>
      <c r="AU69" s="540"/>
      <c r="AV69" s="540"/>
      <c r="AW69" s="540"/>
      <c r="AX69" s="603">
        <f>AX66+AX67-AX68</f>
        <v>0</v>
      </c>
      <c r="AY69" s="560" t="s">
        <v>361</v>
      </c>
      <c r="AZ69" s="540"/>
      <c r="BA69" s="90"/>
      <c r="BB69" s="97"/>
      <c r="BC69"/>
      <c r="BD69"/>
    </row>
    <row r="70" spans="1:56" ht="16.5">
      <c r="A70" s="15">
        <v>66</v>
      </c>
      <c r="B70" s="56" t="str">
        <f t="shared" si="53"/>
        <v>66 - Zuchteber - N-reduzierte Fütterung - Gülle</v>
      </c>
      <c r="C70" s="57" t="s">
        <v>362</v>
      </c>
      <c r="D70" s="58"/>
      <c r="E70" s="59">
        <v>16.7</v>
      </c>
      <c r="F70" s="59"/>
      <c r="G70" s="59"/>
      <c r="H70" s="60"/>
      <c r="I70" s="61">
        <v>2.5499999999999998</v>
      </c>
      <c r="J70" s="3"/>
      <c r="K70" s="62"/>
      <c r="L70" s="61">
        <v>0.30000000000000004</v>
      </c>
      <c r="M70" s="62">
        <v>1</v>
      </c>
      <c r="N70" s="440"/>
      <c r="O70" s="445">
        <f>IF(Tabelle1!$N$45="JA",Tabelle1!AB70,Tabelle1!X70)</f>
        <v>12.3</v>
      </c>
      <c r="P70" s="442"/>
      <c r="Q70" s="446"/>
      <c r="R70" s="447"/>
      <c r="S70" s="440"/>
      <c r="T70" s="445">
        <v>6.8</v>
      </c>
      <c r="U70" s="442"/>
      <c r="V70" s="446"/>
      <c r="W70" s="447"/>
      <c r="X70" s="61">
        <v>12.3</v>
      </c>
      <c r="Y70" s="3"/>
      <c r="Z70" s="3"/>
      <c r="AA70" s="3"/>
      <c r="AB70" s="3">
        <v>10.7</v>
      </c>
      <c r="AC70" s="3"/>
      <c r="AD70" s="3"/>
      <c r="AE70" s="62"/>
      <c r="AF70" s="61">
        <v>14.5</v>
      </c>
      <c r="AG70" s="3"/>
      <c r="AH70" s="62"/>
      <c r="AI70" s="64" t="s">
        <v>362</v>
      </c>
      <c r="AJ70" s="66">
        <v>12.14</v>
      </c>
      <c r="AK70" s="106">
        <f t="shared" si="61"/>
        <v>25.500000000000004</v>
      </c>
      <c r="AL70" s="103"/>
      <c r="AM70" s="535"/>
      <c r="AP70" s="172"/>
      <c r="AQ70" s="172"/>
      <c r="AR70" s="604"/>
      <c r="AS70" s="172"/>
      <c r="AT70" s="172"/>
      <c r="AU70" s="172"/>
      <c r="AV70" s="172"/>
      <c r="AW70" s="172"/>
      <c r="AX70" s="172"/>
      <c r="AY70" s="172"/>
      <c r="AZ70" s="172"/>
      <c r="BA70"/>
      <c r="BB70"/>
      <c r="BC70"/>
      <c r="BD70"/>
    </row>
    <row r="71" spans="1:56" ht="16.5">
      <c r="A71" s="15">
        <v>67</v>
      </c>
      <c r="B71" s="56" t="str">
        <f t="shared" si="53"/>
        <v>67 - Zuchteber - N-reduzierte Fütterung - Mist/Jauche</v>
      </c>
      <c r="C71" s="57" t="s">
        <v>363</v>
      </c>
      <c r="D71" s="58"/>
      <c r="E71" s="59"/>
      <c r="F71" s="59"/>
      <c r="G71" s="59">
        <v>5.2</v>
      </c>
      <c r="H71" s="60">
        <v>10.4</v>
      </c>
      <c r="I71" s="61"/>
      <c r="J71" s="3">
        <v>0.84</v>
      </c>
      <c r="K71" s="62">
        <v>1.73</v>
      </c>
      <c r="L71" s="61">
        <v>0.30000000000000004</v>
      </c>
      <c r="M71" s="62">
        <v>1</v>
      </c>
      <c r="N71" s="440"/>
      <c r="O71" s="441"/>
      <c r="P71" s="442"/>
      <c r="Q71" s="443">
        <f>IF(Tabelle1!$N$45="JA",Tabelle1!AD71,Tabelle1!Z71)</f>
        <v>0.61499999999999999</v>
      </c>
      <c r="R71" s="444">
        <f>IF(Tabelle1!$N$45="JA",Tabelle1!AE71,Tabelle1!AA71)</f>
        <v>11.685</v>
      </c>
      <c r="S71" s="440"/>
      <c r="T71" s="441"/>
      <c r="U71" s="442"/>
      <c r="V71" s="443">
        <v>0.68</v>
      </c>
      <c r="W71" s="444">
        <v>6.12</v>
      </c>
      <c r="X71" s="61"/>
      <c r="Y71" s="3"/>
      <c r="Z71" s="3">
        <v>0.61499999999999999</v>
      </c>
      <c r="AA71" s="3">
        <v>11.685</v>
      </c>
      <c r="AB71" s="3"/>
      <c r="AC71" s="3"/>
      <c r="AD71" s="3">
        <v>0.53500000000000003</v>
      </c>
      <c r="AE71" s="62">
        <v>10.164999999999999</v>
      </c>
      <c r="AF71" s="61"/>
      <c r="AG71" s="3">
        <v>4.5</v>
      </c>
      <c r="AH71" s="62">
        <v>9.5</v>
      </c>
      <c r="AI71" s="64" t="s">
        <v>363</v>
      </c>
      <c r="AJ71" s="66">
        <v>12.14</v>
      </c>
      <c r="AK71" s="106">
        <f t="shared" si="61"/>
        <v>25.500000000000004</v>
      </c>
      <c r="AL71" s="103"/>
      <c r="AM71" s="535"/>
      <c r="AP71" s="172"/>
      <c r="AQ71" s="581" t="s">
        <v>364</v>
      </c>
      <c r="AR71" s="519"/>
      <c r="AS71" s="172"/>
      <c r="AT71" s="172"/>
      <c r="AU71" s="172"/>
      <c r="AV71" s="172"/>
      <c r="AW71" s="172"/>
      <c r="AX71" s="172"/>
      <c r="AY71" s="172"/>
      <c r="AZ71" s="172"/>
      <c r="BA71"/>
      <c r="BB71"/>
      <c r="BC71"/>
      <c r="BD71"/>
    </row>
    <row r="72" spans="1:56" ht="17.25" thickBot="1">
      <c r="A72" s="15">
        <v>68</v>
      </c>
      <c r="B72" s="56" t="str">
        <f t="shared" si="53"/>
        <v>68 - Zuchteber - N-reduzierte Fütterung - Tiefstallmist</v>
      </c>
      <c r="C72" s="57" t="s">
        <v>365</v>
      </c>
      <c r="D72" s="58"/>
      <c r="E72" s="59"/>
      <c r="F72" s="59"/>
      <c r="G72" s="59"/>
      <c r="H72" s="60">
        <v>15.5</v>
      </c>
      <c r="I72" s="61"/>
      <c r="J72" s="3"/>
      <c r="K72" s="62">
        <v>2.72</v>
      </c>
      <c r="L72" s="61">
        <v>0.30000000000000004</v>
      </c>
      <c r="M72" s="62">
        <v>1</v>
      </c>
      <c r="N72" s="449"/>
      <c r="O72" s="450"/>
      <c r="P72" s="451"/>
      <c r="Q72" s="452"/>
      <c r="R72" s="453">
        <f>IF(Tabelle1!$N$45="JA",Tabelle1!AE72,Tabelle1!AA72)</f>
        <v>12.3</v>
      </c>
      <c r="S72" s="449"/>
      <c r="T72" s="450"/>
      <c r="U72" s="451"/>
      <c r="V72" s="452"/>
      <c r="W72" s="453">
        <v>6.8</v>
      </c>
      <c r="X72" s="61"/>
      <c r="Y72" s="3"/>
      <c r="Z72" s="3"/>
      <c r="AA72" s="3">
        <v>12.3</v>
      </c>
      <c r="AB72" s="3"/>
      <c r="AC72" s="3"/>
      <c r="AD72" s="3"/>
      <c r="AE72" s="62">
        <v>10.7</v>
      </c>
      <c r="AF72" s="61"/>
      <c r="AG72" s="3"/>
      <c r="AH72" s="62">
        <v>14.1</v>
      </c>
      <c r="AI72" s="64" t="s">
        <v>365</v>
      </c>
      <c r="AJ72" s="66">
        <v>12.14</v>
      </c>
      <c r="AK72" s="106">
        <f t="shared" si="61"/>
        <v>25.500000000000004</v>
      </c>
      <c r="AL72" s="103"/>
      <c r="AM72" s="535"/>
      <c r="AP72" s="172"/>
      <c r="AQ72" s="462" t="s">
        <v>307</v>
      </c>
      <c r="AR72" s="462" t="s">
        <v>308</v>
      </c>
      <c r="AS72" s="462" t="s">
        <v>309</v>
      </c>
      <c r="AT72" s="462" t="s">
        <v>90</v>
      </c>
      <c r="AU72" s="462" t="s">
        <v>91</v>
      </c>
      <c r="AV72" s="462" t="s">
        <v>310</v>
      </c>
      <c r="AW72" s="462" t="s">
        <v>279</v>
      </c>
      <c r="AX72" s="172"/>
      <c r="AY72" s="172"/>
      <c r="AZ72" s="172"/>
      <c r="BA72"/>
      <c r="BB72"/>
      <c r="BC72"/>
      <c r="BD72"/>
    </row>
    <row r="73" spans="1:56" ht="15" thickBot="1">
      <c r="A73"/>
      <c r="B73" s="454" t="s">
        <v>366</v>
      </c>
      <c r="C73" s="412" t="s">
        <v>366</v>
      </c>
      <c r="D73" s="413"/>
      <c r="E73" s="414"/>
      <c r="F73" s="414"/>
      <c r="G73" s="414"/>
      <c r="H73" s="420"/>
      <c r="I73" s="421"/>
      <c r="J73" s="422"/>
      <c r="K73" s="423"/>
      <c r="L73" s="421"/>
      <c r="M73" s="423">
        <v>1</v>
      </c>
      <c r="N73" s="421"/>
      <c r="O73" s="422"/>
      <c r="P73" s="422"/>
      <c r="Q73" s="422"/>
      <c r="R73" s="423"/>
      <c r="S73" s="421"/>
      <c r="T73" s="422"/>
      <c r="U73" s="422"/>
      <c r="V73" s="422"/>
      <c r="W73" s="423"/>
      <c r="X73" s="421"/>
      <c r="Y73" s="422"/>
      <c r="Z73" s="422"/>
      <c r="AA73" s="422"/>
      <c r="AB73" s="422"/>
      <c r="AC73" s="422"/>
      <c r="AD73" s="422"/>
      <c r="AE73" s="423"/>
      <c r="AF73" s="421"/>
      <c r="AG73" s="422"/>
      <c r="AH73" s="423"/>
      <c r="AI73" s="455" t="s">
        <v>366</v>
      </c>
      <c r="AJ73" s="456"/>
      <c r="AK73" s="457"/>
      <c r="AL73" s="103"/>
      <c r="AM73" s="535"/>
      <c r="AP73" s="534"/>
      <c r="AQ73" s="589">
        <f t="shared" ref="AQ73:AW73" si="62">AQ66</f>
        <v>0</v>
      </c>
      <c r="AR73" s="589">
        <f t="shared" si="62"/>
        <v>0</v>
      </c>
      <c r="AS73" s="589">
        <f t="shared" si="62"/>
        <v>0</v>
      </c>
      <c r="AT73" s="589">
        <f t="shared" si="62"/>
        <v>0</v>
      </c>
      <c r="AU73" s="589">
        <f t="shared" si="62"/>
        <v>0</v>
      </c>
      <c r="AV73" s="589">
        <f t="shared" si="62"/>
        <v>0</v>
      </c>
      <c r="AW73" s="589">
        <f t="shared" si="62"/>
        <v>0</v>
      </c>
      <c r="AX73" s="172"/>
      <c r="AY73" s="172"/>
      <c r="AZ73" s="172"/>
      <c r="BA73"/>
      <c r="BB73"/>
      <c r="BC73"/>
      <c r="BD73"/>
    </row>
    <row r="74" spans="1:56" ht="15" thickBot="1">
      <c r="A74" s="15">
        <v>69</v>
      </c>
      <c r="B74" s="458" t="str">
        <f t="shared" ref="B74:B83" si="63">A74&amp;" - "&amp;C74</f>
        <v>69 - Junghennenaufzucht (bis 6 Wochen)</v>
      </c>
      <c r="C74" s="373" t="s">
        <v>790</v>
      </c>
      <c r="D74" s="459"/>
      <c r="E74" s="170"/>
      <c r="F74" s="170"/>
      <c r="G74" s="170"/>
      <c r="H74" s="460">
        <v>5.2999999999999999E-2</v>
      </c>
      <c r="I74" s="461"/>
      <c r="J74" s="462"/>
      <c r="K74" s="463">
        <v>4.0000000000000001E-3</v>
      </c>
      <c r="L74" s="461">
        <v>5.0000000000000001E-3</v>
      </c>
      <c r="M74" s="463">
        <v>1.72</v>
      </c>
      <c r="N74" s="461"/>
      <c r="O74" s="462"/>
      <c r="P74" s="462"/>
      <c r="Q74" s="462"/>
      <c r="R74" s="463">
        <v>3.4000000000000002E-2</v>
      </c>
      <c r="S74" s="461"/>
      <c r="T74" s="462"/>
      <c r="U74" s="462"/>
      <c r="V74" s="462"/>
      <c r="W74" s="463">
        <v>2.6000000000000002E-2</v>
      </c>
      <c r="X74" s="464"/>
      <c r="Y74" s="465"/>
      <c r="Z74" s="465"/>
      <c r="AA74" s="466"/>
      <c r="AB74" s="465"/>
      <c r="AC74" s="465"/>
      <c r="AD74" s="465"/>
      <c r="AE74" s="466"/>
      <c r="AF74" s="467"/>
      <c r="AG74" s="468"/>
      <c r="AH74" s="469">
        <v>0.05</v>
      </c>
      <c r="AI74" s="64" t="s">
        <v>790</v>
      </c>
      <c r="AJ74" s="66"/>
      <c r="AK74" s="106">
        <f>85*L74</f>
        <v>0.42499999999999999</v>
      </c>
      <c r="AL74" s="103">
        <v>0.28999999999999998</v>
      </c>
      <c r="AM74" s="535" t="s">
        <v>738</v>
      </c>
      <c r="AP74" s="534" t="s">
        <v>367</v>
      </c>
      <c r="AQ74" s="605">
        <v>0.7</v>
      </c>
      <c r="AR74" s="605">
        <v>0.8</v>
      </c>
      <c r="AS74" s="606">
        <v>0.85</v>
      </c>
      <c r="AT74" s="606">
        <v>1</v>
      </c>
      <c r="AU74" s="606">
        <v>0.5</v>
      </c>
      <c r="AV74" s="606">
        <v>0.30000000000000004</v>
      </c>
      <c r="AW74" s="606">
        <v>0.1</v>
      </c>
      <c r="AX74" s="172"/>
      <c r="AY74" s="172"/>
      <c r="AZ74" s="172"/>
      <c r="BA74"/>
      <c r="BB74"/>
      <c r="BC74"/>
      <c r="BD74"/>
    </row>
    <row r="75" spans="1:56" ht="15.75" thickBot="1">
      <c r="A75" s="15">
        <v>70</v>
      </c>
      <c r="B75" s="458" t="str">
        <f t="shared" si="63"/>
        <v xml:space="preserve">70 - Küken u. Junghennen für Legezw. bis 1/2 Jahr - Gülle </v>
      </c>
      <c r="C75" s="374" t="s">
        <v>791</v>
      </c>
      <c r="D75" s="459"/>
      <c r="E75" s="170"/>
      <c r="F75" s="170">
        <v>0.13</v>
      </c>
      <c r="G75" s="170"/>
      <c r="H75" s="460"/>
      <c r="I75" s="461">
        <v>1.2E-2</v>
      </c>
      <c r="J75" s="462"/>
      <c r="K75" s="463"/>
      <c r="L75" s="461">
        <v>1.5E-3</v>
      </c>
      <c r="M75" s="463">
        <v>1.4</v>
      </c>
      <c r="N75" s="461"/>
      <c r="O75" s="462"/>
      <c r="P75" s="462">
        <v>0.17</v>
      </c>
      <c r="Q75" s="462"/>
      <c r="R75" s="463"/>
      <c r="S75" s="461"/>
      <c r="T75" s="462"/>
      <c r="U75" s="462">
        <v>0.13</v>
      </c>
      <c r="V75" s="462"/>
      <c r="W75" s="463"/>
      <c r="X75" s="464"/>
      <c r="Y75" s="465"/>
      <c r="Z75" s="465"/>
      <c r="AA75" s="466"/>
      <c r="AB75" s="465"/>
      <c r="AC75" s="465"/>
      <c r="AD75" s="465"/>
      <c r="AE75" s="466"/>
      <c r="AF75" s="467">
        <v>0.11</v>
      </c>
      <c r="AG75" s="468"/>
      <c r="AH75" s="470"/>
      <c r="AI75" s="64" t="s">
        <v>791</v>
      </c>
      <c r="AJ75" s="66"/>
      <c r="AK75" s="106">
        <f>85*L75</f>
        <v>0.1275</v>
      </c>
      <c r="AL75" s="103">
        <v>0.34</v>
      </c>
      <c r="AM75" s="535" t="s">
        <v>738</v>
      </c>
      <c r="AP75" s="534" t="s">
        <v>368</v>
      </c>
      <c r="AQ75" s="462">
        <f t="shared" ref="AQ75:AW75" si="64">AQ73*AQ74</f>
        <v>0</v>
      </c>
      <c r="AR75" s="462">
        <f t="shared" si="64"/>
        <v>0</v>
      </c>
      <c r="AS75" s="462">
        <f t="shared" si="64"/>
        <v>0</v>
      </c>
      <c r="AT75" s="462">
        <f t="shared" si="64"/>
        <v>0</v>
      </c>
      <c r="AU75" s="462">
        <f t="shared" si="64"/>
        <v>0</v>
      </c>
      <c r="AV75" s="462">
        <f t="shared" si="64"/>
        <v>0</v>
      </c>
      <c r="AW75" s="462">
        <f t="shared" si="64"/>
        <v>0</v>
      </c>
      <c r="AX75" s="601">
        <f>SUM(AQ75:AW75)</f>
        <v>0</v>
      </c>
      <c r="AY75" s="581" t="s">
        <v>328</v>
      </c>
      <c r="AZ75" s="172"/>
      <c r="BA75"/>
      <c r="BB75"/>
      <c r="BC75"/>
      <c r="BD75"/>
    </row>
    <row r="76" spans="1:56">
      <c r="A76" s="15">
        <v>71</v>
      </c>
      <c r="B76" s="458" t="str">
        <f t="shared" si="63"/>
        <v xml:space="preserve">71 - Küken u. Junghennen für Legezw. bis 1/2 Jahr - Tiefstallmist  </v>
      </c>
      <c r="C76" s="374" t="s">
        <v>792</v>
      </c>
      <c r="D76" s="459"/>
      <c r="E76" s="170"/>
      <c r="F76" s="170"/>
      <c r="G76" s="170"/>
      <c r="H76" s="460">
        <v>0.11</v>
      </c>
      <c r="I76" s="461"/>
      <c r="J76" s="462"/>
      <c r="K76" s="463">
        <v>9.0000000000000011E-3</v>
      </c>
      <c r="L76" s="461">
        <v>1.5E-3</v>
      </c>
      <c r="M76" s="463">
        <v>1.4</v>
      </c>
      <c r="N76" s="461"/>
      <c r="O76" s="462"/>
      <c r="P76" s="462"/>
      <c r="Q76" s="462"/>
      <c r="R76" s="463">
        <v>0.17</v>
      </c>
      <c r="S76" s="461"/>
      <c r="T76" s="462"/>
      <c r="U76" s="462"/>
      <c r="V76" s="462"/>
      <c r="W76" s="463">
        <v>0.13</v>
      </c>
      <c r="X76" s="464"/>
      <c r="Y76" s="465"/>
      <c r="Z76" s="465"/>
      <c r="AA76" s="466"/>
      <c r="AB76" s="465"/>
      <c r="AC76" s="465"/>
      <c r="AD76" s="465"/>
      <c r="AE76" s="466"/>
      <c r="AF76" s="467"/>
      <c r="AG76" s="468"/>
      <c r="AH76" s="470">
        <v>0.1</v>
      </c>
      <c r="AI76" s="64" t="s">
        <v>792</v>
      </c>
      <c r="AJ76" s="66"/>
      <c r="AK76" s="106">
        <f>85*L76</f>
        <v>0.1275</v>
      </c>
      <c r="AL76" s="103">
        <v>0.34</v>
      </c>
      <c r="AM76" s="535" t="s">
        <v>738</v>
      </c>
      <c r="AP76" s="172"/>
      <c r="AQ76" s="172"/>
      <c r="AR76" s="172"/>
      <c r="AS76" s="172"/>
      <c r="AT76" s="172"/>
      <c r="AU76" s="172"/>
      <c r="AV76" s="172"/>
      <c r="AW76" s="604" t="s">
        <v>369</v>
      </c>
      <c r="AX76" s="30">
        <f>AX67</f>
        <v>0</v>
      </c>
      <c r="AY76" s="172"/>
      <c r="AZ76" s="172"/>
      <c r="BA76"/>
      <c r="BB76"/>
      <c r="BC76"/>
      <c r="BD76"/>
    </row>
    <row r="77" spans="1:56" ht="15">
      <c r="A77" s="15">
        <v>72</v>
      </c>
      <c r="B77" s="458" t="str">
        <f t="shared" si="63"/>
        <v>72 - Legehennen, Hähne - Gülle</v>
      </c>
      <c r="C77" s="374" t="s">
        <v>370</v>
      </c>
      <c r="D77" s="459"/>
      <c r="E77" s="170"/>
      <c r="F77" s="170">
        <v>0.51</v>
      </c>
      <c r="G77" s="170"/>
      <c r="H77" s="460"/>
      <c r="I77" s="461">
        <v>3.3000000000000002E-2</v>
      </c>
      <c r="J77" s="462"/>
      <c r="K77" s="463"/>
      <c r="L77" s="461">
        <v>4.0000000000000001E-3</v>
      </c>
      <c r="M77" s="463">
        <v>1</v>
      </c>
      <c r="N77" s="461"/>
      <c r="O77" s="462"/>
      <c r="P77" s="462">
        <v>0.45</v>
      </c>
      <c r="Q77" s="462"/>
      <c r="R77" s="463"/>
      <c r="S77" s="461"/>
      <c r="T77" s="462"/>
      <c r="U77" s="462">
        <v>0.33</v>
      </c>
      <c r="V77" s="462"/>
      <c r="W77" s="463"/>
      <c r="X77" s="464"/>
      <c r="Y77" s="465"/>
      <c r="Z77" s="465"/>
      <c r="AA77" s="466"/>
      <c r="AB77" s="465"/>
      <c r="AC77" s="465"/>
      <c r="AD77" s="465"/>
      <c r="AE77" s="466"/>
      <c r="AF77" s="467">
        <v>0.44</v>
      </c>
      <c r="AG77" s="468"/>
      <c r="AH77" s="470"/>
      <c r="AI77" s="64" t="s">
        <v>370</v>
      </c>
      <c r="AJ77" s="66">
        <v>0.74</v>
      </c>
      <c r="AK77" s="106">
        <v>0.74</v>
      </c>
      <c r="AL77" s="103"/>
      <c r="AM77" s="535"/>
      <c r="AP77" s="172"/>
      <c r="AQ77" s="581" t="s">
        <v>371</v>
      </c>
      <c r="AR77" s="172"/>
      <c r="AS77" s="172"/>
      <c r="AT77" s="172"/>
      <c r="AU77" s="172"/>
      <c r="AV77" s="172"/>
      <c r="AW77" s="172"/>
      <c r="AX77" s="607">
        <f>BO49</f>
        <v>0</v>
      </c>
      <c r="AY77" s="534" t="s">
        <v>372</v>
      </c>
      <c r="AZ77" s="172"/>
      <c r="BA77"/>
      <c r="BB77"/>
      <c r="BC77"/>
      <c r="BD77" s="90"/>
    </row>
    <row r="78" spans="1:56" ht="15">
      <c r="A78" s="15">
        <v>73</v>
      </c>
      <c r="B78" s="458" t="str">
        <f t="shared" si="63"/>
        <v>73 - Legehennen, Hähne - Tiefstallmist</v>
      </c>
      <c r="C78" s="374" t="s">
        <v>373</v>
      </c>
      <c r="D78" s="459"/>
      <c r="E78" s="170"/>
      <c r="F78" s="170"/>
      <c r="G78" s="170"/>
      <c r="H78" s="460">
        <v>0.43</v>
      </c>
      <c r="I78" s="461"/>
      <c r="J78" s="462"/>
      <c r="K78" s="463">
        <v>1.6E-2</v>
      </c>
      <c r="L78" s="461">
        <v>4.0000000000000001E-3</v>
      </c>
      <c r="M78" s="463">
        <v>1</v>
      </c>
      <c r="N78" s="461"/>
      <c r="O78" s="462"/>
      <c r="P78" s="462"/>
      <c r="Q78" s="462"/>
      <c r="R78" s="463">
        <v>0.45</v>
      </c>
      <c r="S78" s="461"/>
      <c r="T78" s="462"/>
      <c r="U78" s="462"/>
      <c r="V78" s="462"/>
      <c r="W78" s="463">
        <v>0.33</v>
      </c>
      <c r="X78" s="464"/>
      <c r="Y78" s="465"/>
      <c r="Z78" s="465"/>
      <c r="AA78" s="466"/>
      <c r="AB78" s="465"/>
      <c r="AC78" s="465"/>
      <c r="AD78" s="465"/>
      <c r="AE78" s="466"/>
      <c r="AF78" s="467"/>
      <c r="AG78" s="468"/>
      <c r="AH78" s="470">
        <v>0.39</v>
      </c>
      <c r="AI78" s="64" t="s">
        <v>373</v>
      </c>
      <c r="AJ78" s="66">
        <v>0.74</v>
      </c>
      <c r="AK78" s="106">
        <v>0.74</v>
      </c>
      <c r="AL78" s="103"/>
      <c r="AM78" s="535"/>
      <c r="AP78" s="172"/>
      <c r="AQ78" s="340" t="s">
        <v>374</v>
      </c>
      <c r="AR78" s="593"/>
      <c r="AS78" s="540"/>
      <c r="AT78" s="540"/>
      <c r="AU78" s="540"/>
      <c r="AV78" s="540"/>
      <c r="AW78" s="540"/>
      <c r="AX78" s="603">
        <f>AX75+AX76-AX77</f>
        <v>0</v>
      </c>
      <c r="AY78" s="560" t="s">
        <v>375</v>
      </c>
      <c r="AZ78" s="540"/>
      <c r="BA78" s="104"/>
      <c r="BB78" s="104"/>
      <c r="BC78" s="104"/>
      <c r="BD78" s="90"/>
    </row>
    <row r="79" spans="1:56" ht="14.25">
      <c r="A79" s="15">
        <v>74</v>
      </c>
      <c r="B79" s="458" t="str">
        <f t="shared" si="63"/>
        <v xml:space="preserve">74 - Mastküken und Jungmasthühner - 7 Umtriebe </v>
      </c>
      <c r="C79" s="374" t="s">
        <v>793</v>
      </c>
      <c r="D79" s="459"/>
      <c r="E79" s="170"/>
      <c r="F79" s="170"/>
      <c r="G79" s="170"/>
      <c r="H79" s="460">
        <v>0.17</v>
      </c>
      <c r="I79" s="461"/>
      <c r="J79" s="462"/>
      <c r="K79" s="463">
        <v>6.0000000000000001E-3</v>
      </c>
      <c r="L79" s="461">
        <v>1.5E-3</v>
      </c>
      <c r="M79" s="463">
        <v>1.3</v>
      </c>
      <c r="N79" s="461"/>
      <c r="O79" s="462"/>
      <c r="P79" s="462"/>
      <c r="Q79" s="462"/>
      <c r="R79" s="463">
        <v>0.12</v>
      </c>
      <c r="S79" s="461"/>
      <c r="T79" s="462"/>
      <c r="U79" s="462"/>
      <c r="V79" s="462"/>
      <c r="W79" s="463">
        <v>0.1</v>
      </c>
      <c r="X79" s="464"/>
      <c r="Y79" s="465"/>
      <c r="Z79" s="465"/>
      <c r="AA79" s="466"/>
      <c r="AB79" s="465"/>
      <c r="AC79" s="465"/>
      <c r="AD79" s="465"/>
      <c r="AE79" s="466"/>
      <c r="AF79" s="467"/>
      <c r="AG79" s="468"/>
      <c r="AH79" s="470">
        <v>0.15</v>
      </c>
      <c r="AI79" s="64" t="s">
        <v>793</v>
      </c>
      <c r="AJ79" s="66">
        <v>0.28999999999999998</v>
      </c>
      <c r="AK79" s="106">
        <v>0.28999999999999998</v>
      </c>
      <c r="AL79" s="103"/>
      <c r="AM79" s="535"/>
      <c r="AP79" s="172"/>
      <c r="AQ79" s="172"/>
      <c r="AR79" s="172"/>
      <c r="AS79" s="498"/>
      <c r="AT79" s="498"/>
      <c r="AU79" s="498"/>
      <c r="AV79" s="498"/>
      <c r="AW79" s="498"/>
      <c r="AX79" s="608">
        <f>AX78-CA22</f>
        <v>0</v>
      </c>
      <c r="AY79" s="560" t="s">
        <v>376</v>
      </c>
      <c r="AZ79" s="540"/>
      <c r="BA79" s="104"/>
      <c r="BB79" s="104"/>
      <c r="BC79" s="104"/>
    </row>
    <row r="80" spans="1:56">
      <c r="A80" s="15">
        <v>75</v>
      </c>
      <c r="B80" s="458" t="str">
        <f t="shared" si="63"/>
        <v>75 - Zwerghühner, Wachteln; ausgewachsen</v>
      </c>
      <c r="C80" s="374" t="s">
        <v>377</v>
      </c>
      <c r="D80" s="459"/>
      <c r="E80" s="170"/>
      <c r="F80" s="170"/>
      <c r="G80" s="170"/>
      <c r="H80" s="460">
        <v>0.1</v>
      </c>
      <c r="I80" s="461"/>
      <c r="J80" s="462"/>
      <c r="K80" s="463">
        <v>3.0000000000000001E-3</v>
      </c>
      <c r="L80" s="461"/>
      <c r="M80" s="463">
        <v>1</v>
      </c>
      <c r="N80" s="461"/>
      <c r="O80" s="462"/>
      <c r="P80" s="462"/>
      <c r="Q80" s="462"/>
      <c r="R80" s="463">
        <v>0.09</v>
      </c>
      <c r="S80" s="461"/>
      <c r="T80" s="462"/>
      <c r="U80" s="462"/>
      <c r="V80" s="462"/>
      <c r="W80" s="463">
        <v>7.0000000000000007E-2</v>
      </c>
      <c r="X80" s="464"/>
      <c r="Y80" s="465"/>
      <c r="Z80" s="465"/>
      <c r="AA80" s="466"/>
      <c r="AB80" s="465"/>
      <c r="AC80" s="465"/>
      <c r="AD80" s="465"/>
      <c r="AE80" s="466"/>
      <c r="AF80" s="467"/>
      <c r="AG80" s="468"/>
      <c r="AH80" s="470">
        <v>0.09</v>
      </c>
      <c r="AI80" s="64" t="s">
        <v>377</v>
      </c>
      <c r="AJ80" s="66"/>
      <c r="AK80" s="106">
        <v>0.28999999999999998</v>
      </c>
      <c r="AL80" s="103"/>
      <c r="AM80" s="535"/>
    </row>
    <row r="81" spans="1:44">
      <c r="A81" s="15">
        <v>76</v>
      </c>
      <c r="B81" s="458" t="str">
        <f t="shared" si="63"/>
        <v>76 - Gänse</v>
      </c>
      <c r="C81" s="374" t="s">
        <v>378</v>
      </c>
      <c r="D81" s="459"/>
      <c r="E81" s="170"/>
      <c r="F81" s="170"/>
      <c r="G81" s="170"/>
      <c r="H81" s="460">
        <v>0.28999999999999998</v>
      </c>
      <c r="I81" s="461"/>
      <c r="J81" s="462"/>
      <c r="K81" s="463">
        <v>2.9000000000000001E-2</v>
      </c>
      <c r="L81" s="461">
        <v>8.0000000000000002E-3</v>
      </c>
      <c r="M81" s="463">
        <v>1</v>
      </c>
      <c r="N81" s="461"/>
      <c r="O81" s="462"/>
      <c r="P81" s="462"/>
      <c r="Q81" s="462"/>
      <c r="R81" s="463">
        <v>0.25</v>
      </c>
      <c r="S81" s="461"/>
      <c r="T81" s="462"/>
      <c r="U81" s="462"/>
      <c r="V81" s="462"/>
      <c r="W81" s="463">
        <v>0.2</v>
      </c>
      <c r="X81" s="464"/>
      <c r="Y81" s="465"/>
      <c r="Z81" s="465"/>
      <c r="AA81" s="466"/>
      <c r="AB81" s="465"/>
      <c r="AC81" s="465"/>
      <c r="AD81" s="465"/>
      <c r="AE81" s="466"/>
      <c r="AF81" s="467"/>
      <c r="AG81" s="468"/>
      <c r="AH81" s="470">
        <v>0.26</v>
      </c>
      <c r="AI81" s="64" t="s">
        <v>378</v>
      </c>
      <c r="AJ81" s="66"/>
      <c r="AK81" s="106">
        <f>85*L81</f>
        <v>0.68</v>
      </c>
      <c r="AL81" s="103"/>
      <c r="AM81" s="535"/>
    </row>
    <row r="82" spans="1:44">
      <c r="A82" s="15">
        <v>77</v>
      </c>
      <c r="B82" s="458" t="str">
        <f t="shared" si="63"/>
        <v>77 - Enten</v>
      </c>
      <c r="C82" s="374" t="s">
        <v>379</v>
      </c>
      <c r="D82" s="459"/>
      <c r="E82" s="170"/>
      <c r="F82" s="170"/>
      <c r="G82" s="170"/>
      <c r="H82" s="460">
        <v>0.28999999999999998</v>
      </c>
      <c r="I82" s="461"/>
      <c r="J82" s="462"/>
      <c r="K82" s="463">
        <v>1.4E-2</v>
      </c>
      <c r="L82" s="461">
        <v>4.0000000000000001E-3</v>
      </c>
      <c r="M82" s="463">
        <v>1</v>
      </c>
      <c r="N82" s="461"/>
      <c r="O82" s="462"/>
      <c r="P82" s="462"/>
      <c r="Q82" s="462"/>
      <c r="R82" s="463">
        <v>0.25</v>
      </c>
      <c r="S82" s="461"/>
      <c r="T82" s="462"/>
      <c r="U82" s="462"/>
      <c r="V82" s="462"/>
      <c r="W82" s="463">
        <v>0.2</v>
      </c>
      <c r="X82" s="464"/>
      <c r="Y82" s="465"/>
      <c r="Z82" s="465"/>
      <c r="AA82" s="466"/>
      <c r="AB82" s="465"/>
      <c r="AC82" s="465"/>
      <c r="AD82" s="465"/>
      <c r="AE82" s="466"/>
      <c r="AF82" s="467"/>
      <c r="AG82" s="468"/>
      <c r="AH82" s="470">
        <v>0.26</v>
      </c>
      <c r="AI82" s="64" t="s">
        <v>379</v>
      </c>
      <c r="AJ82" s="66"/>
      <c r="AK82" s="106">
        <f>85*L82</f>
        <v>0.34</v>
      </c>
      <c r="AL82" s="103"/>
      <c r="AM82" s="535"/>
    </row>
    <row r="83" spans="1:44" ht="13.5" thickBot="1">
      <c r="A83" s="15">
        <v>78</v>
      </c>
      <c r="B83" s="458" t="str">
        <f t="shared" si="63"/>
        <v xml:space="preserve">78 - Truthühner (Puten) </v>
      </c>
      <c r="C83" s="374" t="s">
        <v>380</v>
      </c>
      <c r="D83" s="459"/>
      <c r="E83" s="170"/>
      <c r="F83" s="170"/>
      <c r="G83" s="170"/>
      <c r="H83" s="460">
        <v>0.65</v>
      </c>
      <c r="I83" s="461"/>
      <c r="J83" s="462"/>
      <c r="K83" s="463">
        <v>0.03</v>
      </c>
      <c r="L83" s="461">
        <v>7.0000000000000001E-3</v>
      </c>
      <c r="M83" s="463">
        <v>1.2</v>
      </c>
      <c r="N83" s="461"/>
      <c r="O83" s="462"/>
      <c r="P83" s="462"/>
      <c r="Q83" s="462"/>
      <c r="R83" s="463">
        <v>0.60000000000000009</v>
      </c>
      <c r="S83" s="461"/>
      <c r="T83" s="462"/>
      <c r="U83" s="462"/>
      <c r="V83" s="462"/>
      <c r="W83" s="463">
        <v>0.48</v>
      </c>
      <c r="X83" s="464"/>
      <c r="Y83" s="465"/>
      <c r="Z83" s="465"/>
      <c r="AA83" s="466"/>
      <c r="AB83" s="465"/>
      <c r="AC83" s="465"/>
      <c r="AD83" s="465"/>
      <c r="AE83" s="466"/>
      <c r="AF83" s="467"/>
      <c r="AG83" s="468"/>
      <c r="AH83" s="470">
        <v>0.59</v>
      </c>
      <c r="AI83" s="64" t="s">
        <v>380</v>
      </c>
      <c r="AJ83" s="66"/>
      <c r="AK83" s="106">
        <f>85*L83</f>
        <v>0.59499999999999997</v>
      </c>
      <c r="AL83" s="103"/>
      <c r="AM83" s="535"/>
    </row>
    <row r="84" spans="1:44" ht="13.5" thickBot="1">
      <c r="A84" s="15">
        <v>79</v>
      </c>
      <c r="B84" s="454" t="s">
        <v>381</v>
      </c>
      <c r="C84" s="412" t="s">
        <v>381</v>
      </c>
      <c r="D84" s="413"/>
      <c r="E84" s="414"/>
      <c r="F84" s="414"/>
      <c r="G84" s="414"/>
      <c r="H84" s="420"/>
      <c r="I84" s="421"/>
      <c r="J84" s="422"/>
      <c r="K84" s="423"/>
      <c r="L84" s="421"/>
      <c r="M84" s="423">
        <v>1</v>
      </c>
      <c r="N84" s="421"/>
      <c r="O84" s="422"/>
      <c r="P84" s="422"/>
      <c r="Q84" s="422"/>
      <c r="R84" s="423"/>
      <c r="S84" s="421"/>
      <c r="T84" s="422"/>
      <c r="U84" s="422"/>
      <c r="V84" s="422"/>
      <c r="W84" s="423"/>
      <c r="X84" s="421"/>
      <c r="Y84" s="422"/>
      <c r="Z84" s="422"/>
      <c r="AA84" s="422"/>
      <c r="AB84" s="422"/>
      <c r="AC84" s="422"/>
      <c r="AD84" s="422"/>
      <c r="AE84" s="423"/>
      <c r="AF84" s="421"/>
      <c r="AG84" s="422"/>
      <c r="AH84" s="423"/>
      <c r="AI84" s="455" t="s">
        <v>381</v>
      </c>
      <c r="AJ84" s="105"/>
      <c r="AK84" s="125"/>
      <c r="AL84" s="103"/>
      <c r="AM84" s="535"/>
    </row>
    <row r="85" spans="1:44">
      <c r="A85" s="15">
        <v>80</v>
      </c>
      <c r="B85" s="458" t="str">
        <f t="shared" ref="B85:B96" si="65">A85&amp;" - "&amp;C85</f>
        <v>80 - Kleinpferde (&lt;300 kg, bis 148 cm) 1/2 bis 3 Jahre</v>
      </c>
      <c r="C85" s="471" t="s">
        <v>382</v>
      </c>
      <c r="D85" s="170"/>
      <c r="E85" s="170"/>
      <c r="F85" s="170"/>
      <c r="G85" s="170"/>
      <c r="H85" s="460">
        <v>8.9</v>
      </c>
      <c r="I85" s="461"/>
      <c r="J85" s="462"/>
      <c r="K85" s="463">
        <v>2</v>
      </c>
      <c r="L85" s="461">
        <v>0.3</v>
      </c>
      <c r="M85" s="463">
        <v>1</v>
      </c>
      <c r="N85" s="461"/>
      <c r="O85" s="462"/>
      <c r="P85" s="462"/>
      <c r="Q85" s="462"/>
      <c r="R85" s="463">
        <v>4.5</v>
      </c>
      <c r="S85" s="461"/>
      <c r="T85" s="462"/>
      <c r="U85" s="462"/>
      <c r="V85" s="462"/>
      <c r="W85" s="463">
        <v>8.9</v>
      </c>
      <c r="X85" s="429"/>
      <c r="Y85" s="430"/>
      <c r="Z85" s="430"/>
      <c r="AA85" s="431"/>
      <c r="AB85" s="430"/>
      <c r="AC85" s="430"/>
      <c r="AD85" s="430"/>
      <c r="AE85" s="431"/>
      <c r="AF85" s="61"/>
      <c r="AG85" s="3"/>
      <c r="AH85" s="62">
        <v>8.1</v>
      </c>
      <c r="AI85" s="64" t="s">
        <v>383</v>
      </c>
      <c r="AJ85" s="106">
        <v>31.2</v>
      </c>
      <c r="AK85" s="106">
        <f t="shared" ref="AK85:AK97" si="66">85*L85</f>
        <v>25.5</v>
      </c>
      <c r="AL85" s="103"/>
      <c r="AM85" s="535"/>
    </row>
    <row r="86" spans="1:44">
      <c r="A86" s="15">
        <v>81</v>
      </c>
      <c r="B86" s="458" t="str">
        <f t="shared" si="65"/>
        <v>81 - Kleinpferde (&lt;300 kg) &gt; 3 Jahre incl. Fohlen bis 1/2 Jahr</v>
      </c>
      <c r="C86" s="471" t="s">
        <v>384</v>
      </c>
      <c r="D86" s="170"/>
      <c r="E86" s="170"/>
      <c r="F86" s="170"/>
      <c r="G86" s="170"/>
      <c r="H86" s="460">
        <v>10.5</v>
      </c>
      <c r="I86" s="461"/>
      <c r="J86" s="462"/>
      <c r="K86" s="463">
        <v>2.5</v>
      </c>
      <c r="L86" s="461">
        <v>0.5</v>
      </c>
      <c r="M86" s="463">
        <v>1</v>
      </c>
      <c r="N86" s="461"/>
      <c r="O86" s="462"/>
      <c r="P86" s="462"/>
      <c r="Q86" s="462"/>
      <c r="R86" s="463">
        <v>5.3</v>
      </c>
      <c r="S86" s="461"/>
      <c r="T86" s="462"/>
      <c r="U86" s="462"/>
      <c r="V86" s="462"/>
      <c r="W86" s="463">
        <v>10.5</v>
      </c>
      <c r="X86" s="429"/>
      <c r="Y86" s="430"/>
      <c r="Z86" s="430"/>
      <c r="AA86" s="431"/>
      <c r="AB86" s="430"/>
      <c r="AC86" s="430"/>
      <c r="AD86" s="430"/>
      <c r="AE86" s="431"/>
      <c r="AF86" s="61"/>
      <c r="AG86" s="3"/>
      <c r="AH86" s="62">
        <v>9.6</v>
      </c>
      <c r="AI86" s="64" t="s">
        <v>384</v>
      </c>
      <c r="AJ86" s="106">
        <v>50</v>
      </c>
      <c r="AK86" s="106">
        <f t="shared" si="66"/>
        <v>42.5</v>
      </c>
      <c r="AL86" s="103"/>
      <c r="AM86" s="535"/>
    </row>
    <row r="87" spans="1:44">
      <c r="A87" s="15">
        <v>82</v>
      </c>
      <c r="B87" s="458" t="str">
        <f t="shared" si="65"/>
        <v>82 - Kleinpferde (&gt;300 kg, bis 148 cm) 1/2 bis 3 Jahre</v>
      </c>
      <c r="C87" s="471" t="s">
        <v>385</v>
      </c>
      <c r="D87" s="170"/>
      <c r="E87" s="170"/>
      <c r="F87" s="170"/>
      <c r="G87" s="170"/>
      <c r="H87" s="460">
        <v>17.399999999999999</v>
      </c>
      <c r="I87" s="461"/>
      <c r="J87" s="462"/>
      <c r="K87" s="463">
        <v>3</v>
      </c>
      <c r="L87" s="461">
        <v>0.6</v>
      </c>
      <c r="M87" s="463">
        <v>1</v>
      </c>
      <c r="N87" s="461"/>
      <c r="O87" s="462"/>
      <c r="P87" s="462"/>
      <c r="Q87" s="462"/>
      <c r="R87" s="463">
        <v>8.6999999999999993</v>
      </c>
      <c r="S87" s="461"/>
      <c r="T87" s="462"/>
      <c r="U87" s="462"/>
      <c r="V87" s="462"/>
      <c r="W87" s="463">
        <v>17.399999999999999</v>
      </c>
      <c r="X87" s="429"/>
      <c r="Y87" s="430"/>
      <c r="Z87" s="430"/>
      <c r="AA87" s="431"/>
      <c r="AB87" s="430"/>
      <c r="AC87" s="430"/>
      <c r="AD87" s="430"/>
      <c r="AE87" s="431"/>
      <c r="AF87" s="61"/>
      <c r="AG87" s="3"/>
      <c r="AH87" s="62">
        <v>15.8</v>
      </c>
      <c r="AI87" s="64" t="s">
        <v>386</v>
      </c>
      <c r="AJ87" s="106">
        <v>72.7</v>
      </c>
      <c r="AK87" s="106">
        <f t="shared" si="66"/>
        <v>51</v>
      </c>
      <c r="AL87" s="103"/>
      <c r="AM87" s="535"/>
    </row>
    <row r="88" spans="1:44">
      <c r="A88" s="15">
        <v>83</v>
      </c>
      <c r="B88" s="458" t="str">
        <f t="shared" si="65"/>
        <v>83 - Kleinpferde (&gt;300 kg) &gt; 3 Jahre incl. Fohlen bis 1/2 Jahr</v>
      </c>
      <c r="C88" s="471" t="s">
        <v>387</v>
      </c>
      <c r="D88" s="170"/>
      <c r="E88" s="170"/>
      <c r="F88" s="170"/>
      <c r="G88" s="170"/>
      <c r="H88" s="460">
        <v>20.5</v>
      </c>
      <c r="I88" s="461"/>
      <c r="J88" s="462"/>
      <c r="K88" s="463">
        <v>3.8</v>
      </c>
      <c r="L88" s="461">
        <v>1</v>
      </c>
      <c r="M88" s="463">
        <v>1</v>
      </c>
      <c r="N88" s="461"/>
      <c r="O88" s="462"/>
      <c r="P88" s="462"/>
      <c r="Q88" s="462"/>
      <c r="R88" s="463">
        <v>10.3</v>
      </c>
      <c r="S88" s="461"/>
      <c r="T88" s="462"/>
      <c r="U88" s="462"/>
      <c r="V88" s="462"/>
      <c r="W88" s="463">
        <v>20.5</v>
      </c>
      <c r="X88" s="429"/>
      <c r="Y88" s="430"/>
      <c r="Z88" s="430"/>
      <c r="AA88" s="431"/>
      <c r="AB88" s="430"/>
      <c r="AC88" s="430"/>
      <c r="AD88" s="430"/>
      <c r="AE88" s="431"/>
      <c r="AF88" s="61"/>
      <c r="AG88" s="3"/>
      <c r="AH88" s="62">
        <v>18.7</v>
      </c>
      <c r="AI88" s="64" t="s">
        <v>387</v>
      </c>
      <c r="AJ88" s="106">
        <v>85</v>
      </c>
      <c r="AK88" s="106">
        <f t="shared" si="66"/>
        <v>85</v>
      </c>
      <c r="AL88" s="103"/>
      <c r="AM88" s="535"/>
    </row>
    <row r="89" spans="1:44">
      <c r="A89" s="15">
        <v>84</v>
      </c>
      <c r="B89" s="458" t="str">
        <f t="shared" si="65"/>
        <v>84 - Pferde (&gt;500 kg, über 148 cm) 1/2 bis 3 Jahre</v>
      </c>
      <c r="C89" s="471" t="s">
        <v>388</v>
      </c>
      <c r="D89" s="170"/>
      <c r="E89" s="170"/>
      <c r="F89" s="170"/>
      <c r="G89" s="170"/>
      <c r="H89" s="460">
        <v>31.2</v>
      </c>
      <c r="I89" s="461"/>
      <c r="J89" s="462"/>
      <c r="K89" s="463">
        <v>6</v>
      </c>
      <c r="L89" s="461">
        <v>1</v>
      </c>
      <c r="M89" s="463">
        <v>1</v>
      </c>
      <c r="N89" s="461"/>
      <c r="O89" s="462"/>
      <c r="P89" s="462"/>
      <c r="Q89" s="462"/>
      <c r="R89" s="463">
        <v>15.6</v>
      </c>
      <c r="S89" s="461"/>
      <c r="T89" s="462"/>
      <c r="U89" s="462"/>
      <c r="V89" s="462"/>
      <c r="W89" s="463">
        <v>31.2</v>
      </c>
      <c r="X89" s="429"/>
      <c r="Y89" s="430"/>
      <c r="Z89" s="430"/>
      <c r="AA89" s="431"/>
      <c r="AB89" s="430"/>
      <c r="AC89" s="430"/>
      <c r="AD89" s="430"/>
      <c r="AE89" s="431"/>
      <c r="AF89" s="61"/>
      <c r="AG89" s="3"/>
      <c r="AH89" s="62">
        <v>28.4</v>
      </c>
      <c r="AI89" s="64" t="s">
        <v>389</v>
      </c>
      <c r="AJ89" s="106">
        <v>72.7</v>
      </c>
      <c r="AK89" s="106">
        <f t="shared" si="66"/>
        <v>85</v>
      </c>
      <c r="AL89" s="103"/>
      <c r="AM89" s="535"/>
    </row>
    <row r="90" spans="1:44">
      <c r="A90" s="15">
        <v>85</v>
      </c>
      <c r="B90" s="458" t="str">
        <f t="shared" si="65"/>
        <v>85 - Pferde (&gt;500 kg)&gt; 3 Jahre incl. Fohlen bis 1/2 Jahr</v>
      </c>
      <c r="C90" s="471" t="s">
        <v>390</v>
      </c>
      <c r="D90" s="170"/>
      <c r="E90" s="170"/>
      <c r="F90" s="170"/>
      <c r="G90" s="170"/>
      <c r="H90" s="460">
        <v>36.799999999999997</v>
      </c>
      <c r="I90" s="461"/>
      <c r="J90" s="462"/>
      <c r="K90" s="463">
        <v>6.7</v>
      </c>
      <c r="L90" s="461">
        <v>1</v>
      </c>
      <c r="M90" s="463">
        <v>1</v>
      </c>
      <c r="N90" s="461"/>
      <c r="O90" s="462"/>
      <c r="P90" s="462"/>
      <c r="Q90" s="462"/>
      <c r="R90" s="463">
        <v>18.399999999999999</v>
      </c>
      <c r="S90" s="461"/>
      <c r="T90" s="462"/>
      <c r="U90" s="462"/>
      <c r="V90" s="462"/>
      <c r="W90" s="463">
        <v>36.799999999999997</v>
      </c>
      <c r="X90" s="429"/>
      <c r="Y90" s="430"/>
      <c r="Z90" s="430"/>
      <c r="AA90" s="431"/>
      <c r="AB90" s="430"/>
      <c r="AC90" s="430"/>
      <c r="AD90" s="430"/>
      <c r="AE90" s="431"/>
      <c r="AF90" s="61"/>
      <c r="AG90" s="3"/>
      <c r="AH90" s="62">
        <v>33.5</v>
      </c>
      <c r="AI90" s="64" t="s">
        <v>390</v>
      </c>
      <c r="AJ90" s="66">
        <v>85</v>
      </c>
      <c r="AK90" s="106">
        <f t="shared" si="66"/>
        <v>85</v>
      </c>
      <c r="AL90" s="103"/>
      <c r="AM90" s="535"/>
    </row>
    <row r="91" spans="1:44">
      <c r="A91" s="15">
        <v>86</v>
      </c>
      <c r="B91" s="458" t="str">
        <f t="shared" si="65"/>
        <v>86 - Schafe Lämmer bis 1/2 Jahr</v>
      </c>
      <c r="C91" s="471" t="s">
        <v>391</v>
      </c>
      <c r="D91" s="170"/>
      <c r="E91" s="170"/>
      <c r="F91" s="170"/>
      <c r="G91" s="170"/>
      <c r="H91" s="460">
        <v>5.4</v>
      </c>
      <c r="I91" s="461"/>
      <c r="J91" s="462"/>
      <c r="K91" s="463">
        <v>0.22</v>
      </c>
      <c r="L91" s="461">
        <v>7.0000000000000007E-2</v>
      </c>
      <c r="M91" s="463">
        <v>1</v>
      </c>
      <c r="N91" s="461"/>
      <c r="O91" s="462"/>
      <c r="P91" s="462"/>
      <c r="Q91" s="462"/>
      <c r="R91" s="463">
        <v>2</v>
      </c>
      <c r="S91" s="461"/>
      <c r="T91" s="462"/>
      <c r="U91" s="462"/>
      <c r="V91" s="462"/>
      <c r="W91" s="463">
        <v>4.4000000000000004</v>
      </c>
      <c r="X91" s="429"/>
      <c r="Y91" s="430"/>
      <c r="Z91" s="430"/>
      <c r="AA91" s="431"/>
      <c r="AB91" s="430"/>
      <c r="AC91" s="430"/>
      <c r="AD91" s="430"/>
      <c r="AE91" s="431"/>
      <c r="AF91" s="61"/>
      <c r="AG91" s="3"/>
      <c r="AH91" s="62">
        <v>4.9000000000000004</v>
      </c>
      <c r="AI91" s="64" t="s">
        <v>391</v>
      </c>
      <c r="AJ91" s="66"/>
      <c r="AK91" s="106">
        <f t="shared" si="66"/>
        <v>5.95</v>
      </c>
      <c r="AL91" s="103"/>
      <c r="AM91" s="535"/>
      <c r="AQ91" s="85"/>
      <c r="AR91" s="18"/>
    </row>
    <row r="92" spans="1:44">
      <c r="A92" s="15">
        <v>87</v>
      </c>
      <c r="B92" s="458" t="str">
        <f t="shared" si="65"/>
        <v>87 - Schafe ab 1/2 Jahr bis 1,5 Jahre</v>
      </c>
      <c r="C92" s="471" t="s">
        <v>392</v>
      </c>
      <c r="D92" s="170"/>
      <c r="E92" s="170"/>
      <c r="F92" s="170"/>
      <c r="G92" s="170"/>
      <c r="H92" s="460">
        <v>7.3</v>
      </c>
      <c r="I92" s="461"/>
      <c r="J92" s="462"/>
      <c r="K92" s="463">
        <v>0.52</v>
      </c>
      <c r="L92" s="461">
        <v>0.15</v>
      </c>
      <c r="M92" s="463">
        <v>1</v>
      </c>
      <c r="N92" s="461"/>
      <c r="O92" s="462"/>
      <c r="P92" s="462"/>
      <c r="Q92" s="462"/>
      <c r="R92" s="472">
        <v>3.6</v>
      </c>
      <c r="S92" s="461"/>
      <c r="T92" s="462"/>
      <c r="U92" s="462"/>
      <c r="V92" s="462"/>
      <c r="W92" s="463">
        <v>13.2</v>
      </c>
      <c r="X92" s="429"/>
      <c r="Y92" s="430"/>
      <c r="Z92" s="430"/>
      <c r="AA92" s="431"/>
      <c r="AB92" s="430"/>
      <c r="AC92" s="430"/>
      <c r="AD92" s="430"/>
      <c r="AE92" s="431"/>
      <c r="AF92" s="61"/>
      <c r="AG92" s="3"/>
      <c r="AH92" s="62">
        <v>6.6</v>
      </c>
      <c r="AI92" s="64" t="s">
        <v>392</v>
      </c>
      <c r="AJ92" s="66"/>
      <c r="AK92" s="106">
        <f t="shared" si="66"/>
        <v>12.75</v>
      </c>
      <c r="AL92" s="103"/>
      <c r="AM92" s="535"/>
      <c r="AP92" s="18"/>
      <c r="AQ92" s="18"/>
      <c r="AR92" s="18"/>
    </row>
    <row r="93" spans="1:44">
      <c r="A93" s="15">
        <v>88</v>
      </c>
      <c r="B93" s="458" t="str">
        <f t="shared" si="65"/>
        <v>88 - Mutterschafe</v>
      </c>
      <c r="C93" s="471" t="s">
        <v>393</v>
      </c>
      <c r="D93" s="170"/>
      <c r="E93" s="170"/>
      <c r="F93" s="170"/>
      <c r="G93" s="170"/>
      <c r="H93" s="460">
        <v>7.7</v>
      </c>
      <c r="I93" s="461"/>
      <c r="J93" s="462"/>
      <c r="K93" s="463">
        <v>0.52</v>
      </c>
      <c r="L93" s="461">
        <v>0.15</v>
      </c>
      <c r="M93" s="463">
        <v>1</v>
      </c>
      <c r="N93" s="461"/>
      <c r="O93" s="462"/>
      <c r="P93" s="462"/>
      <c r="Q93" s="462"/>
      <c r="R93" s="463">
        <v>4</v>
      </c>
      <c r="S93" s="461"/>
      <c r="T93" s="462"/>
      <c r="U93" s="462"/>
      <c r="V93" s="462"/>
      <c r="W93" s="463">
        <v>13.4</v>
      </c>
      <c r="X93" s="429"/>
      <c r="Y93" s="430"/>
      <c r="Z93" s="430"/>
      <c r="AA93" s="431"/>
      <c r="AB93" s="430"/>
      <c r="AC93" s="430"/>
      <c r="AD93" s="430"/>
      <c r="AE93" s="431"/>
      <c r="AF93" s="61"/>
      <c r="AG93" s="3"/>
      <c r="AH93" s="62">
        <v>7</v>
      </c>
      <c r="AI93" s="64" t="s">
        <v>393</v>
      </c>
      <c r="AJ93" s="66">
        <v>12.78</v>
      </c>
      <c r="AK93" s="106">
        <f t="shared" si="66"/>
        <v>12.75</v>
      </c>
      <c r="AL93" s="103"/>
      <c r="AM93" s="535"/>
      <c r="AP93" s="18"/>
      <c r="AQ93" s="18"/>
      <c r="AR93" s="18"/>
    </row>
    <row r="94" spans="1:44">
      <c r="A94" s="15">
        <v>89</v>
      </c>
      <c r="B94" s="458" t="str">
        <f t="shared" si="65"/>
        <v>89 - Ziegen bis 1/2 Jahr</v>
      </c>
      <c r="C94" s="471" t="s">
        <v>394</v>
      </c>
      <c r="D94" s="170"/>
      <c r="E94" s="170"/>
      <c r="F94" s="170"/>
      <c r="G94" s="170"/>
      <c r="H94" s="460">
        <v>5</v>
      </c>
      <c r="I94" s="461"/>
      <c r="J94" s="462"/>
      <c r="K94" s="463">
        <v>0.16</v>
      </c>
      <c r="L94" s="461">
        <v>7.0000000000000007E-2</v>
      </c>
      <c r="M94" s="463">
        <v>1</v>
      </c>
      <c r="N94" s="461"/>
      <c r="O94" s="462"/>
      <c r="P94" s="462"/>
      <c r="Q94" s="462"/>
      <c r="R94" s="463">
        <v>2.2000000000000002</v>
      </c>
      <c r="S94" s="461"/>
      <c r="T94" s="462"/>
      <c r="U94" s="462"/>
      <c r="V94" s="462"/>
      <c r="W94" s="463">
        <v>4.5999999999999996</v>
      </c>
      <c r="X94" s="429"/>
      <c r="Y94" s="430"/>
      <c r="Z94" s="430"/>
      <c r="AA94" s="431"/>
      <c r="AB94" s="430"/>
      <c r="AC94" s="430"/>
      <c r="AD94" s="430"/>
      <c r="AE94" s="431"/>
      <c r="AF94" s="61"/>
      <c r="AG94" s="3"/>
      <c r="AH94" s="62">
        <v>4.5999999999999996</v>
      </c>
      <c r="AI94" s="64" t="s">
        <v>394</v>
      </c>
      <c r="AJ94" s="66"/>
      <c r="AK94" s="106">
        <f t="shared" si="66"/>
        <v>5.95</v>
      </c>
      <c r="AL94" s="103"/>
      <c r="AM94" s="535"/>
      <c r="AP94" s="18"/>
      <c r="AQ94" s="18"/>
      <c r="AR94" s="18"/>
    </row>
    <row r="95" spans="1:44">
      <c r="A95" s="15">
        <v>90</v>
      </c>
      <c r="B95" s="458" t="str">
        <f t="shared" si="65"/>
        <v>90 - Ziegen ab 1/2 Jahr bis 1,5 Jahre</v>
      </c>
      <c r="C95" s="471" t="s">
        <v>395</v>
      </c>
      <c r="D95" s="170"/>
      <c r="E95" s="170"/>
      <c r="F95" s="170"/>
      <c r="G95" s="170"/>
      <c r="H95" s="460">
        <v>6.6</v>
      </c>
      <c r="I95" s="461"/>
      <c r="J95" s="462"/>
      <c r="K95" s="463">
        <v>0.38</v>
      </c>
      <c r="L95" s="461">
        <v>0.15</v>
      </c>
      <c r="M95" s="463">
        <v>1</v>
      </c>
      <c r="N95" s="461"/>
      <c r="O95" s="462"/>
      <c r="P95" s="462"/>
      <c r="Q95" s="462"/>
      <c r="R95" s="463">
        <v>3.7</v>
      </c>
      <c r="S95" s="461"/>
      <c r="T95" s="462"/>
      <c r="U95" s="462"/>
      <c r="V95" s="462"/>
      <c r="W95" s="463">
        <v>11.2</v>
      </c>
      <c r="X95" s="429"/>
      <c r="Y95" s="430"/>
      <c r="Z95" s="430"/>
      <c r="AA95" s="431"/>
      <c r="AB95" s="430"/>
      <c r="AC95" s="430"/>
      <c r="AD95" s="430"/>
      <c r="AE95" s="431"/>
      <c r="AF95" s="61"/>
      <c r="AG95" s="3"/>
      <c r="AH95" s="62">
        <v>6</v>
      </c>
      <c r="AI95" s="64" t="s">
        <v>395</v>
      </c>
      <c r="AJ95" s="66"/>
      <c r="AK95" s="106">
        <f t="shared" si="66"/>
        <v>12.75</v>
      </c>
      <c r="AL95" s="103"/>
      <c r="AM95" s="535"/>
      <c r="AP95" s="18"/>
      <c r="AQ95" s="18"/>
      <c r="AR95" s="18"/>
    </row>
    <row r="96" spans="1:44" ht="13.5" thickBot="1">
      <c r="A96" s="15">
        <v>91</v>
      </c>
      <c r="B96" s="56" t="str">
        <f t="shared" si="65"/>
        <v>91 - Mutterziegen</v>
      </c>
      <c r="C96" s="4" t="s">
        <v>396</v>
      </c>
      <c r="D96" s="59"/>
      <c r="E96" s="59"/>
      <c r="F96" s="59"/>
      <c r="G96" s="59"/>
      <c r="H96" s="60">
        <v>7.2</v>
      </c>
      <c r="I96" s="61"/>
      <c r="J96" s="3"/>
      <c r="K96" s="62">
        <v>0.38</v>
      </c>
      <c r="L96" s="61">
        <v>0.15</v>
      </c>
      <c r="M96" s="62">
        <v>1</v>
      </c>
      <c r="N96" s="61"/>
      <c r="O96" s="3"/>
      <c r="P96" s="3"/>
      <c r="Q96" s="3"/>
      <c r="R96" s="62">
        <v>4.5999999999999996</v>
      </c>
      <c r="S96" s="61"/>
      <c r="T96" s="3"/>
      <c r="U96" s="3"/>
      <c r="V96" s="3"/>
      <c r="W96" s="463">
        <v>12.1</v>
      </c>
      <c r="X96" s="429"/>
      <c r="Y96" s="430"/>
      <c r="Z96" s="430"/>
      <c r="AA96" s="431"/>
      <c r="AB96" s="430"/>
      <c r="AC96" s="430"/>
      <c r="AD96" s="430"/>
      <c r="AE96" s="431"/>
      <c r="AF96" s="61"/>
      <c r="AG96" s="3"/>
      <c r="AH96" s="62">
        <v>6.6</v>
      </c>
      <c r="AI96" s="64" t="s">
        <v>396</v>
      </c>
      <c r="AJ96" s="66">
        <v>12.78</v>
      </c>
      <c r="AK96" s="106">
        <f t="shared" si="66"/>
        <v>12.75</v>
      </c>
      <c r="AL96" s="103"/>
      <c r="AM96" s="535"/>
      <c r="AP96" s="18"/>
      <c r="AQ96" s="18"/>
      <c r="AR96" s="18"/>
    </row>
    <row r="97" spans="1:44" ht="13.5" thickBot="1">
      <c r="A97"/>
      <c r="B97" s="454" t="s">
        <v>397</v>
      </c>
      <c r="C97" s="454" t="s">
        <v>397</v>
      </c>
      <c r="D97" s="414"/>
      <c r="E97" s="414"/>
      <c r="F97" s="414"/>
      <c r="G97" s="414"/>
      <c r="H97" s="420"/>
      <c r="I97" s="421"/>
      <c r="J97" s="422"/>
      <c r="K97" s="423"/>
      <c r="L97" s="421"/>
      <c r="M97" s="423"/>
      <c r="N97" s="421"/>
      <c r="O97" s="422"/>
      <c r="P97" s="422"/>
      <c r="Q97" s="422"/>
      <c r="R97" s="423"/>
      <c r="S97" s="421"/>
      <c r="T97" s="422"/>
      <c r="U97" s="422"/>
      <c r="V97" s="422"/>
      <c r="W97" s="423"/>
      <c r="X97" s="421"/>
      <c r="Y97" s="422"/>
      <c r="Z97" s="422"/>
      <c r="AA97" s="422"/>
      <c r="AB97" s="422"/>
      <c r="AC97" s="422"/>
      <c r="AD97" s="422"/>
      <c r="AE97" s="423"/>
      <c r="AF97" s="421"/>
      <c r="AG97" s="422"/>
      <c r="AH97" s="423"/>
      <c r="AI97" s="455"/>
      <c r="AJ97" s="105"/>
      <c r="AK97" s="125">
        <f t="shared" si="66"/>
        <v>0</v>
      </c>
      <c r="AL97" s="103"/>
      <c r="AM97" s="535"/>
      <c r="AP97" s="18"/>
      <c r="AQ97" s="18"/>
      <c r="AR97" s="18"/>
    </row>
    <row r="98" spans="1:44">
      <c r="A98" s="15">
        <v>92</v>
      </c>
      <c r="B98" s="56" t="str">
        <f t="shared" ref="B98:B113" si="67">A98&amp;" - "&amp;C98</f>
        <v>92 - Rotwild Alttier inkl. Nachzucht bis 14 Monate</v>
      </c>
      <c r="C98" s="4" t="s">
        <v>398</v>
      </c>
      <c r="D98" s="59"/>
      <c r="E98" s="59"/>
      <c r="F98" s="59"/>
      <c r="G98" s="59"/>
      <c r="H98" s="60">
        <v>20.9</v>
      </c>
      <c r="I98" s="61"/>
      <c r="J98" s="3"/>
      <c r="K98" s="62"/>
      <c r="L98" s="61">
        <v>0.25</v>
      </c>
      <c r="M98" s="62">
        <v>1</v>
      </c>
      <c r="N98" s="61"/>
      <c r="O98" s="3"/>
      <c r="P98" s="3"/>
      <c r="Q98" s="3"/>
      <c r="R98" s="62">
        <v>10.9</v>
      </c>
      <c r="S98" s="61"/>
      <c r="T98" s="3"/>
      <c r="U98" s="3"/>
      <c r="V98" s="3"/>
      <c r="W98" s="62">
        <v>47.5</v>
      </c>
      <c r="X98" s="429"/>
      <c r="Y98" s="430"/>
      <c r="Z98" s="430"/>
      <c r="AA98" s="431"/>
      <c r="AB98" s="430"/>
      <c r="AC98" s="430"/>
      <c r="AD98" s="430"/>
      <c r="AE98" s="431"/>
      <c r="AF98" s="61"/>
      <c r="AG98" s="3"/>
      <c r="AH98" s="62">
        <v>19</v>
      </c>
      <c r="AI98" s="64" t="s">
        <v>398</v>
      </c>
      <c r="AJ98" s="106">
        <v>34</v>
      </c>
      <c r="AK98" s="106">
        <v>34</v>
      </c>
      <c r="AL98" s="103"/>
      <c r="AM98" s="535"/>
      <c r="AP98" s="18"/>
      <c r="AQ98" s="18"/>
      <c r="AR98" s="18"/>
    </row>
    <row r="99" spans="1:44">
      <c r="A99" s="15">
        <v>93</v>
      </c>
      <c r="B99" s="56" t="str">
        <f t="shared" si="67"/>
        <v>93 - Rotwild Hirsche</v>
      </c>
      <c r="C99" s="4" t="s">
        <v>399</v>
      </c>
      <c r="D99" s="59"/>
      <c r="E99" s="59"/>
      <c r="F99" s="59"/>
      <c r="G99" s="59"/>
      <c r="H99" s="60">
        <v>17</v>
      </c>
      <c r="I99" s="61"/>
      <c r="J99" s="3"/>
      <c r="K99" s="62"/>
      <c r="L99" s="61">
        <v>0.25</v>
      </c>
      <c r="M99" s="62">
        <v>1</v>
      </c>
      <c r="N99" s="61"/>
      <c r="O99" s="3"/>
      <c r="P99" s="3"/>
      <c r="Q99" s="3"/>
      <c r="R99" s="62">
        <v>8.8000000000000007</v>
      </c>
      <c r="S99" s="61"/>
      <c r="T99" s="3"/>
      <c r="U99" s="3"/>
      <c r="V99" s="3"/>
      <c r="W99" s="62">
        <v>38.6</v>
      </c>
      <c r="X99" s="429"/>
      <c r="Y99" s="430"/>
      <c r="Z99" s="430"/>
      <c r="AA99" s="431"/>
      <c r="AB99" s="430"/>
      <c r="AC99" s="430"/>
      <c r="AD99" s="430"/>
      <c r="AE99" s="431"/>
      <c r="AF99" s="61"/>
      <c r="AG99" s="3"/>
      <c r="AH99" s="62">
        <v>15.5</v>
      </c>
      <c r="AI99" s="64" t="s">
        <v>399</v>
      </c>
      <c r="AJ99" s="106">
        <v>34</v>
      </c>
      <c r="AK99" s="106">
        <v>34</v>
      </c>
      <c r="AL99" s="103"/>
      <c r="AM99" s="535"/>
      <c r="AP99" s="18"/>
      <c r="AQ99" s="18"/>
      <c r="AR99" s="18"/>
    </row>
    <row r="100" spans="1:44">
      <c r="A100" s="15">
        <v>94</v>
      </c>
      <c r="B100" s="56" t="str">
        <f t="shared" si="67"/>
        <v>94 - Dammwild, Lamas Alpacas - Alttiere inkl. Nachzucht bis 14 Monate</v>
      </c>
      <c r="C100" s="4" t="s">
        <v>400</v>
      </c>
      <c r="D100" s="59"/>
      <c r="E100" s="59"/>
      <c r="F100" s="59"/>
      <c r="G100" s="59"/>
      <c r="H100" s="60">
        <v>10.1</v>
      </c>
      <c r="I100" s="61"/>
      <c r="J100" s="3"/>
      <c r="K100" s="62"/>
      <c r="L100" s="61">
        <v>0.15</v>
      </c>
      <c r="M100" s="62">
        <v>1</v>
      </c>
      <c r="N100" s="61"/>
      <c r="O100" s="3"/>
      <c r="P100" s="3"/>
      <c r="Q100" s="3"/>
      <c r="R100" s="62">
        <v>3.7</v>
      </c>
      <c r="S100" s="61"/>
      <c r="T100" s="3"/>
      <c r="U100" s="3"/>
      <c r="V100" s="3"/>
      <c r="W100" s="62">
        <v>16.100000000000001</v>
      </c>
      <c r="X100" s="429"/>
      <c r="Y100" s="430"/>
      <c r="Z100" s="430"/>
      <c r="AA100" s="431"/>
      <c r="AB100" s="430"/>
      <c r="AC100" s="430"/>
      <c r="AD100" s="430"/>
      <c r="AE100" s="431"/>
      <c r="AF100" s="61"/>
      <c r="AG100" s="3"/>
      <c r="AH100" s="62">
        <v>9.1999999999999993</v>
      </c>
      <c r="AI100" s="64" t="s">
        <v>400</v>
      </c>
      <c r="AJ100" s="106">
        <v>17</v>
      </c>
      <c r="AK100" s="106">
        <v>17</v>
      </c>
      <c r="AL100" s="103"/>
      <c r="AM100" s="535"/>
      <c r="AP100" s="18"/>
      <c r="AQ100" s="18"/>
      <c r="AR100" s="18"/>
    </row>
    <row r="101" spans="1:44">
      <c r="A101" s="15">
        <v>95</v>
      </c>
      <c r="B101" s="56" t="str">
        <f t="shared" si="67"/>
        <v>95 - Dammwild, Lama, Alpacas Hirsche</v>
      </c>
      <c r="C101" s="4" t="s">
        <v>401</v>
      </c>
      <c r="D101" s="59"/>
      <c r="E101" s="59"/>
      <c r="F101" s="59"/>
      <c r="G101" s="59"/>
      <c r="H101" s="60">
        <v>7.1</v>
      </c>
      <c r="I101" s="61"/>
      <c r="J101" s="3"/>
      <c r="K101" s="62"/>
      <c r="L101" s="61">
        <v>0.15</v>
      </c>
      <c r="M101" s="62">
        <v>1</v>
      </c>
      <c r="N101" s="61"/>
      <c r="O101" s="3"/>
      <c r="P101" s="3"/>
      <c r="Q101" s="3"/>
      <c r="R101" s="62">
        <v>3.7</v>
      </c>
      <c r="S101" s="61"/>
      <c r="T101" s="3"/>
      <c r="U101" s="3"/>
      <c r="V101" s="3"/>
      <c r="W101" s="62">
        <v>16.100000000000001</v>
      </c>
      <c r="X101" s="429"/>
      <c r="Y101" s="430"/>
      <c r="Z101" s="430"/>
      <c r="AA101" s="431"/>
      <c r="AB101" s="430"/>
      <c r="AC101" s="430"/>
      <c r="AD101" s="430"/>
      <c r="AE101" s="431"/>
      <c r="AF101" s="61"/>
      <c r="AG101" s="3"/>
      <c r="AH101" s="62">
        <v>6.5</v>
      </c>
      <c r="AI101" s="64" t="s">
        <v>401</v>
      </c>
      <c r="AJ101" s="106">
        <v>17</v>
      </c>
      <c r="AK101" s="106">
        <v>17</v>
      </c>
      <c r="AL101" s="103"/>
      <c r="AM101" s="535"/>
      <c r="AP101" s="18"/>
      <c r="AQ101" s="18"/>
      <c r="AR101" s="18"/>
    </row>
    <row r="102" spans="1:44">
      <c r="A102" s="15">
        <v>96</v>
      </c>
      <c r="B102" s="56" t="str">
        <f t="shared" si="67"/>
        <v>96 - Straußenküken bis 1/2 Jahr Gülle</v>
      </c>
      <c r="C102" s="4" t="s">
        <v>402</v>
      </c>
      <c r="D102" s="59"/>
      <c r="E102" s="59"/>
      <c r="F102" s="53">
        <v>1.24</v>
      </c>
      <c r="G102" s="53"/>
      <c r="H102" s="122"/>
      <c r="I102" s="61"/>
      <c r="J102" s="3"/>
      <c r="K102" s="62"/>
      <c r="L102" s="61"/>
      <c r="M102" s="62">
        <v>1</v>
      </c>
      <c r="N102" s="61"/>
      <c r="O102" s="3"/>
      <c r="P102" s="473">
        <v>1.24</v>
      </c>
      <c r="Q102" s="473"/>
      <c r="R102" s="63"/>
      <c r="S102" s="49"/>
      <c r="T102" s="473"/>
      <c r="U102" s="473">
        <v>1.24</v>
      </c>
      <c r="V102" s="473"/>
      <c r="W102" s="63"/>
      <c r="X102" s="429"/>
      <c r="Y102" s="430"/>
      <c r="Z102" s="430"/>
      <c r="AA102" s="431"/>
      <c r="AB102" s="430"/>
      <c r="AC102" s="430"/>
      <c r="AD102" s="430"/>
      <c r="AE102" s="431"/>
      <c r="AF102" s="49">
        <v>1.0788</v>
      </c>
      <c r="AG102" s="3"/>
      <c r="AH102" s="62"/>
      <c r="AI102" s="64" t="s">
        <v>402</v>
      </c>
      <c r="AJ102" s="66"/>
      <c r="AK102" s="106">
        <v>4</v>
      </c>
      <c r="AL102" s="342" t="s">
        <v>403</v>
      </c>
      <c r="AM102" s="535"/>
      <c r="AP102" s="18"/>
      <c r="AQ102" s="18"/>
      <c r="AR102" s="18"/>
    </row>
    <row r="103" spans="1:44">
      <c r="A103" s="15">
        <v>97</v>
      </c>
      <c r="B103" s="56" t="str">
        <f t="shared" si="67"/>
        <v>97 - Straußenküken bis 1/2 Jahr Mist</v>
      </c>
      <c r="C103" s="4" t="s">
        <v>404</v>
      </c>
      <c r="D103" s="59"/>
      <c r="E103" s="59"/>
      <c r="F103" s="53"/>
      <c r="G103" s="53"/>
      <c r="H103" s="122">
        <v>1.1000000000000001</v>
      </c>
      <c r="I103" s="61"/>
      <c r="J103" s="3"/>
      <c r="K103" s="62"/>
      <c r="L103" s="61"/>
      <c r="M103" s="62">
        <v>1</v>
      </c>
      <c r="N103" s="61"/>
      <c r="O103" s="3"/>
      <c r="P103" s="473"/>
      <c r="Q103" s="473"/>
      <c r="R103" s="63">
        <v>1.1000000000000001</v>
      </c>
      <c r="S103" s="49"/>
      <c r="T103" s="473"/>
      <c r="U103" s="473"/>
      <c r="V103" s="473"/>
      <c r="W103" s="63">
        <v>1.1000000000000001</v>
      </c>
      <c r="X103" s="429"/>
      <c r="Y103" s="430"/>
      <c r="Z103" s="430"/>
      <c r="AA103" s="431"/>
      <c r="AB103" s="430"/>
      <c r="AC103" s="430"/>
      <c r="AD103" s="430"/>
      <c r="AE103" s="431"/>
      <c r="AF103" s="49"/>
      <c r="AG103" s="3"/>
      <c r="AH103" s="63">
        <v>1.0010000000000001</v>
      </c>
      <c r="AI103" s="64" t="s">
        <v>404</v>
      </c>
      <c r="AJ103" s="66"/>
      <c r="AK103" s="106">
        <v>4</v>
      </c>
      <c r="AL103" s="342" t="s">
        <v>403</v>
      </c>
      <c r="AM103" s="535"/>
      <c r="AP103" s="18"/>
      <c r="AQ103" s="18"/>
      <c r="AR103" s="18"/>
    </row>
    <row r="104" spans="1:44">
      <c r="A104" s="15">
        <v>98</v>
      </c>
      <c r="B104" s="56" t="str">
        <f t="shared" si="67"/>
        <v>98 - Jungstraußen 0,5 - 1,5 Jahre Gülle</v>
      </c>
      <c r="C104" s="4" t="s">
        <v>405</v>
      </c>
      <c r="D104" s="59"/>
      <c r="E104" s="59"/>
      <c r="F104" s="53">
        <v>3.19</v>
      </c>
      <c r="G104" s="53"/>
      <c r="H104" s="122"/>
      <c r="I104" s="61"/>
      <c r="J104" s="3"/>
      <c r="K104" s="62"/>
      <c r="L104" s="61">
        <v>0.15</v>
      </c>
      <c r="M104" s="62">
        <v>1</v>
      </c>
      <c r="N104" s="61"/>
      <c r="O104" s="3"/>
      <c r="P104" s="473">
        <v>3.19</v>
      </c>
      <c r="Q104" s="473"/>
      <c r="R104" s="63"/>
      <c r="S104" s="49"/>
      <c r="T104" s="473"/>
      <c r="U104" s="473">
        <v>3.19</v>
      </c>
      <c r="V104" s="473"/>
      <c r="W104" s="63"/>
      <c r="X104" s="429"/>
      <c r="Y104" s="430"/>
      <c r="Z104" s="430"/>
      <c r="AA104" s="431"/>
      <c r="AB104" s="430"/>
      <c r="AC104" s="430"/>
      <c r="AD104" s="430"/>
      <c r="AE104" s="431"/>
      <c r="AF104" s="49">
        <v>2.7753000000000001</v>
      </c>
      <c r="AG104" s="3"/>
      <c r="AH104" s="63">
        <v>0</v>
      </c>
      <c r="AI104" s="64" t="s">
        <v>405</v>
      </c>
      <c r="AJ104" s="66"/>
      <c r="AK104" s="106">
        <f t="shared" ref="AK104:AK109" si="68">85*L104</f>
        <v>12.75</v>
      </c>
      <c r="AL104" s="342"/>
      <c r="AM104" s="535"/>
      <c r="AP104" s="18"/>
      <c r="AQ104" s="18"/>
      <c r="AR104" s="18"/>
    </row>
    <row r="105" spans="1:44">
      <c r="A105" s="15">
        <v>99</v>
      </c>
      <c r="B105" s="56" t="str">
        <f t="shared" si="67"/>
        <v>99 - Jungstraußen 0,5 - 1,5 Jahre Mist</v>
      </c>
      <c r="C105" s="4" t="s">
        <v>406</v>
      </c>
      <c r="D105" s="59"/>
      <c r="E105" s="59"/>
      <c r="F105" s="53"/>
      <c r="G105" s="53"/>
      <c r="H105" s="122">
        <v>2.7</v>
      </c>
      <c r="I105" s="61"/>
      <c r="J105" s="3"/>
      <c r="K105" s="62"/>
      <c r="L105" s="61">
        <v>0.15</v>
      </c>
      <c r="M105" s="62">
        <v>1</v>
      </c>
      <c r="N105" s="61"/>
      <c r="O105" s="3"/>
      <c r="P105" s="473"/>
      <c r="Q105" s="473"/>
      <c r="R105" s="63">
        <v>2.7</v>
      </c>
      <c r="S105" s="49"/>
      <c r="T105" s="473"/>
      <c r="U105" s="473"/>
      <c r="V105" s="473"/>
      <c r="W105" s="63">
        <v>2.7</v>
      </c>
      <c r="X105" s="429"/>
      <c r="Y105" s="430"/>
      <c r="Z105" s="430"/>
      <c r="AA105" s="431"/>
      <c r="AB105" s="430"/>
      <c r="AC105" s="430"/>
      <c r="AD105" s="430"/>
      <c r="AE105" s="431"/>
      <c r="AF105" s="61"/>
      <c r="AG105" s="3"/>
      <c r="AH105" s="63">
        <v>2.4570000000000003</v>
      </c>
      <c r="AI105" s="64" t="s">
        <v>406</v>
      </c>
      <c r="AJ105" s="66"/>
      <c r="AK105" s="106">
        <f t="shared" si="68"/>
        <v>12.75</v>
      </c>
      <c r="AL105" s="342"/>
      <c r="AM105" s="535"/>
      <c r="AP105" s="18"/>
      <c r="AQ105" s="18"/>
      <c r="AR105" s="18"/>
    </row>
    <row r="106" spans="1:44">
      <c r="A106" s="15">
        <v>100</v>
      </c>
      <c r="B106" s="56" t="str">
        <f t="shared" si="67"/>
        <v>100 - Zuchtstraußenhenne - Gülle</v>
      </c>
      <c r="C106" s="4" t="s">
        <v>407</v>
      </c>
      <c r="D106" s="59"/>
      <c r="E106" s="59"/>
      <c r="F106" s="53">
        <v>4.0999999999999996</v>
      </c>
      <c r="G106" s="53"/>
      <c r="H106" s="122"/>
      <c r="I106" s="61"/>
      <c r="J106" s="3"/>
      <c r="K106" s="62"/>
      <c r="L106" s="61">
        <v>0.15</v>
      </c>
      <c r="M106" s="62">
        <v>1</v>
      </c>
      <c r="N106" s="61"/>
      <c r="O106" s="3"/>
      <c r="P106" s="473">
        <v>4.0999999999999996</v>
      </c>
      <c r="Q106" s="473"/>
      <c r="R106" s="63"/>
      <c r="S106" s="49"/>
      <c r="T106" s="473"/>
      <c r="U106" s="473">
        <v>4.0999999999999996</v>
      </c>
      <c r="V106" s="473"/>
      <c r="W106" s="63"/>
      <c r="X106" s="429"/>
      <c r="Y106" s="430"/>
      <c r="Z106" s="430"/>
      <c r="AA106" s="431"/>
      <c r="AB106" s="430"/>
      <c r="AC106" s="430"/>
      <c r="AD106" s="430"/>
      <c r="AE106" s="431"/>
      <c r="AF106" s="49">
        <v>3.5669999999999997</v>
      </c>
      <c r="AG106" s="3"/>
      <c r="AH106" s="63">
        <v>0</v>
      </c>
      <c r="AI106" s="64" t="s">
        <v>407</v>
      </c>
      <c r="AJ106" s="66"/>
      <c r="AK106" s="106">
        <f t="shared" si="68"/>
        <v>12.75</v>
      </c>
      <c r="AL106" s="342"/>
      <c r="AM106" s="535"/>
      <c r="AP106" s="18"/>
      <c r="AQ106" s="18"/>
      <c r="AR106" s="18"/>
    </row>
    <row r="107" spans="1:44">
      <c r="A107" s="15">
        <v>101</v>
      </c>
      <c r="B107" s="56" t="str">
        <f t="shared" si="67"/>
        <v>101 - Zuchtstraußenhenne - Mist</v>
      </c>
      <c r="C107" s="4" t="s">
        <v>408</v>
      </c>
      <c r="D107" s="59"/>
      <c r="E107" s="59"/>
      <c r="F107" s="53"/>
      <c r="G107" s="53"/>
      <c r="H107" s="122">
        <v>3.52</v>
      </c>
      <c r="I107" s="61"/>
      <c r="J107" s="3"/>
      <c r="K107" s="62"/>
      <c r="L107" s="61">
        <v>0.15</v>
      </c>
      <c r="M107" s="62">
        <v>1</v>
      </c>
      <c r="N107" s="61"/>
      <c r="O107" s="3"/>
      <c r="P107" s="473"/>
      <c r="Q107" s="473"/>
      <c r="R107" s="63">
        <v>3.52</v>
      </c>
      <c r="S107" s="49"/>
      <c r="T107" s="473"/>
      <c r="U107" s="473"/>
      <c r="V107" s="473"/>
      <c r="W107" s="63">
        <v>3.52</v>
      </c>
      <c r="X107" s="429"/>
      <c r="Y107" s="430"/>
      <c r="Z107" s="430"/>
      <c r="AA107" s="431"/>
      <c r="AB107" s="430"/>
      <c r="AC107" s="430"/>
      <c r="AD107" s="430"/>
      <c r="AE107" s="431"/>
      <c r="AF107" s="49"/>
      <c r="AG107" s="3"/>
      <c r="AH107" s="63">
        <v>3.2032000000000003</v>
      </c>
      <c r="AI107" s="64" t="s">
        <v>408</v>
      </c>
      <c r="AJ107" s="66"/>
      <c r="AK107" s="106">
        <f t="shared" si="68"/>
        <v>12.75</v>
      </c>
      <c r="AL107" s="342"/>
      <c r="AM107" s="535"/>
      <c r="AP107" s="18"/>
      <c r="AQ107" s="18"/>
      <c r="AR107" s="18"/>
    </row>
    <row r="108" spans="1:44">
      <c r="A108" s="15">
        <v>102</v>
      </c>
      <c r="B108" s="56" t="str">
        <f t="shared" si="67"/>
        <v>102 - Zuchtstraußenhahn - Gülle</v>
      </c>
      <c r="C108" s="4" t="s">
        <v>409</v>
      </c>
      <c r="D108" s="59"/>
      <c r="E108" s="59"/>
      <c r="F108" s="53">
        <v>4.9000000000000004</v>
      </c>
      <c r="G108" s="53"/>
      <c r="H108" s="122"/>
      <c r="I108" s="61"/>
      <c r="J108" s="3"/>
      <c r="K108" s="62"/>
      <c r="L108" s="61">
        <v>0.15</v>
      </c>
      <c r="M108" s="62">
        <v>1</v>
      </c>
      <c r="N108" s="61"/>
      <c r="O108" s="3"/>
      <c r="P108" s="473">
        <v>4.9000000000000004</v>
      </c>
      <c r="Q108" s="473"/>
      <c r="R108" s="63"/>
      <c r="S108" s="49"/>
      <c r="T108" s="473"/>
      <c r="U108" s="473">
        <v>4.9000000000000004</v>
      </c>
      <c r="V108" s="473"/>
      <c r="W108" s="63"/>
      <c r="X108" s="429"/>
      <c r="Y108" s="430"/>
      <c r="Z108" s="430"/>
      <c r="AA108" s="431"/>
      <c r="AB108" s="430"/>
      <c r="AC108" s="430"/>
      <c r="AD108" s="430"/>
      <c r="AE108" s="431"/>
      <c r="AF108" s="49">
        <v>4.2629999999999999</v>
      </c>
      <c r="AG108" s="3"/>
      <c r="AH108" s="63">
        <v>0</v>
      </c>
      <c r="AI108" s="64" t="s">
        <v>409</v>
      </c>
      <c r="AJ108" s="66"/>
      <c r="AK108" s="106">
        <f t="shared" si="68"/>
        <v>12.75</v>
      </c>
      <c r="AL108" s="342"/>
      <c r="AM108" s="535"/>
      <c r="AP108" s="18"/>
      <c r="AQ108" s="18"/>
      <c r="AR108" s="18"/>
    </row>
    <row r="109" spans="1:44">
      <c r="A109" s="15">
        <v>103</v>
      </c>
      <c r="B109" s="56" t="str">
        <f t="shared" si="67"/>
        <v>103 - Zuchtstraußenhahn - Mist</v>
      </c>
      <c r="C109" s="4" t="s">
        <v>410</v>
      </c>
      <c r="D109" s="59"/>
      <c r="E109" s="59"/>
      <c r="F109" s="53"/>
      <c r="G109" s="53"/>
      <c r="H109" s="122">
        <v>4.2</v>
      </c>
      <c r="I109" s="61"/>
      <c r="J109" s="3"/>
      <c r="K109" s="62"/>
      <c r="L109" s="61">
        <v>0.15</v>
      </c>
      <c r="M109" s="62">
        <v>1</v>
      </c>
      <c r="N109" s="61"/>
      <c r="O109" s="3"/>
      <c r="P109" s="473"/>
      <c r="Q109" s="473"/>
      <c r="R109" s="63">
        <v>4.2</v>
      </c>
      <c r="S109" s="49"/>
      <c r="T109" s="473"/>
      <c r="U109" s="473"/>
      <c r="V109" s="473"/>
      <c r="W109" s="63">
        <v>4.2</v>
      </c>
      <c r="X109" s="429"/>
      <c r="Y109" s="430"/>
      <c r="Z109" s="430"/>
      <c r="AA109" s="431"/>
      <c r="AB109" s="430"/>
      <c r="AC109" s="430"/>
      <c r="AD109" s="430"/>
      <c r="AE109" s="431"/>
      <c r="AF109" s="49"/>
      <c r="AG109" s="3"/>
      <c r="AH109" s="63">
        <v>3.8220000000000005</v>
      </c>
      <c r="AI109" s="64" t="s">
        <v>410</v>
      </c>
      <c r="AJ109" s="66"/>
      <c r="AK109" s="106">
        <f t="shared" si="68"/>
        <v>12.75</v>
      </c>
      <c r="AL109" s="342"/>
      <c r="AM109" s="535"/>
      <c r="AP109" s="18"/>
      <c r="AQ109" s="18"/>
      <c r="AR109" s="18"/>
    </row>
    <row r="110" spans="1:44">
      <c r="A110" s="15">
        <v>104</v>
      </c>
      <c r="B110" s="56" t="str">
        <f t="shared" si="67"/>
        <v>104 - Mastkaninchen - Gülle</v>
      </c>
      <c r="C110" s="4" t="s">
        <v>411</v>
      </c>
      <c r="D110" s="59"/>
      <c r="E110" s="59"/>
      <c r="F110" s="53">
        <v>0.72</v>
      </c>
      <c r="G110" s="53"/>
      <c r="H110" s="122"/>
      <c r="I110" s="61"/>
      <c r="J110" s="3"/>
      <c r="K110" s="62"/>
      <c r="L110" s="61">
        <v>2.5000000000000001E-3</v>
      </c>
      <c r="M110" s="62">
        <v>1</v>
      </c>
      <c r="N110" s="61"/>
      <c r="O110" s="3"/>
      <c r="P110" s="473">
        <v>0.72</v>
      </c>
      <c r="Q110" s="473"/>
      <c r="R110" s="63"/>
      <c r="S110" s="49"/>
      <c r="T110" s="473"/>
      <c r="U110" s="473">
        <v>0.72</v>
      </c>
      <c r="V110" s="473"/>
      <c r="W110" s="63"/>
      <c r="X110" s="429"/>
      <c r="Y110" s="430"/>
      <c r="Z110" s="430"/>
      <c r="AA110" s="431"/>
      <c r="AB110" s="430"/>
      <c r="AC110" s="430"/>
      <c r="AD110" s="430"/>
      <c r="AE110" s="431"/>
      <c r="AF110" s="49">
        <v>0.62639999999999996</v>
      </c>
      <c r="AG110" s="3"/>
      <c r="AH110" s="63">
        <v>0</v>
      </c>
      <c r="AI110" s="64" t="s">
        <v>411</v>
      </c>
      <c r="AJ110" s="66">
        <v>400</v>
      </c>
      <c r="AK110" s="106">
        <v>0.42499999999999999</v>
      </c>
      <c r="AL110" s="103"/>
      <c r="AM110" s="535"/>
      <c r="AP110" s="18"/>
      <c r="AQ110" s="18"/>
      <c r="AR110" s="18"/>
    </row>
    <row r="111" spans="1:44">
      <c r="A111" s="15">
        <v>105</v>
      </c>
      <c r="B111" s="56" t="str">
        <f t="shared" si="67"/>
        <v>105 - Mastkaninchen - Tiefstall</v>
      </c>
      <c r="C111" s="4" t="s">
        <v>412</v>
      </c>
      <c r="D111" s="59"/>
      <c r="E111" s="59"/>
      <c r="F111" s="53"/>
      <c r="G111" s="53"/>
      <c r="H111" s="122">
        <v>0.62</v>
      </c>
      <c r="I111" s="61"/>
      <c r="J111" s="3"/>
      <c r="K111" s="62"/>
      <c r="L111" s="61">
        <v>2.5000000000000001E-3</v>
      </c>
      <c r="M111" s="62">
        <v>1</v>
      </c>
      <c r="N111" s="61"/>
      <c r="O111" s="3"/>
      <c r="P111" s="473"/>
      <c r="Q111" s="473"/>
      <c r="R111" s="63">
        <v>0.62</v>
      </c>
      <c r="S111" s="49"/>
      <c r="T111" s="473"/>
      <c r="U111" s="473"/>
      <c r="V111" s="473"/>
      <c r="W111" s="63">
        <v>0.62</v>
      </c>
      <c r="X111" s="429"/>
      <c r="Y111" s="430"/>
      <c r="Z111" s="430"/>
      <c r="AA111" s="431"/>
      <c r="AB111" s="430"/>
      <c r="AC111" s="430"/>
      <c r="AD111" s="430"/>
      <c r="AE111" s="431"/>
      <c r="AF111" s="49"/>
      <c r="AG111" s="3"/>
      <c r="AH111" s="63">
        <v>0.56420000000000003</v>
      </c>
      <c r="AI111" s="64" t="s">
        <v>412</v>
      </c>
      <c r="AJ111" s="66">
        <v>400</v>
      </c>
      <c r="AK111" s="106">
        <v>0.42499999999999999</v>
      </c>
      <c r="AL111" s="103"/>
      <c r="AM111" s="535"/>
      <c r="AP111" s="18"/>
      <c r="AQ111" s="18"/>
      <c r="AR111" s="18"/>
    </row>
    <row r="112" spans="1:44">
      <c r="A112" s="15">
        <v>106</v>
      </c>
      <c r="B112" s="56" t="str">
        <f t="shared" si="67"/>
        <v>106 - Zuchtkaninchen - Gülle</v>
      </c>
      <c r="C112" s="4" t="s">
        <v>413</v>
      </c>
      <c r="D112" s="59"/>
      <c r="E112" s="59"/>
      <c r="F112" s="53">
        <v>1.57</v>
      </c>
      <c r="G112" s="53"/>
      <c r="H112" s="122"/>
      <c r="I112" s="61"/>
      <c r="J112" s="3"/>
      <c r="K112" s="62"/>
      <c r="L112" s="61">
        <v>2.5000000000000001E-2</v>
      </c>
      <c r="M112" s="62">
        <v>1</v>
      </c>
      <c r="N112" s="61"/>
      <c r="O112" s="3"/>
      <c r="P112" s="473">
        <v>1.57</v>
      </c>
      <c r="Q112" s="473"/>
      <c r="R112" s="63"/>
      <c r="S112" s="49"/>
      <c r="T112" s="473"/>
      <c r="U112" s="473">
        <v>1.57</v>
      </c>
      <c r="V112" s="473"/>
      <c r="W112" s="63"/>
      <c r="X112" s="429"/>
      <c r="Y112" s="430"/>
      <c r="Z112" s="430"/>
      <c r="AA112" s="431"/>
      <c r="AB112" s="430"/>
      <c r="AC112" s="430"/>
      <c r="AD112" s="430"/>
      <c r="AE112" s="431"/>
      <c r="AF112" s="49">
        <v>1.3659000000000001</v>
      </c>
      <c r="AG112" s="3"/>
      <c r="AH112" s="63">
        <v>0</v>
      </c>
      <c r="AI112" s="64" t="s">
        <v>413</v>
      </c>
      <c r="AJ112" s="66">
        <v>100</v>
      </c>
      <c r="AK112" s="106">
        <v>1.7000000000000002</v>
      </c>
      <c r="AL112" s="103"/>
      <c r="AM112" s="535"/>
      <c r="AP112" s="18"/>
      <c r="AQ112" s="18"/>
      <c r="AR112" s="18"/>
    </row>
    <row r="113" spans="1:44" ht="13.5" thickBot="1">
      <c r="A113" s="15">
        <v>107</v>
      </c>
      <c r="B113" s="56" t="str">
        <f t="shared" si="67"/>
        <v>107 - Zuchtkaninchen - Tiestall</v>
      </c>
      <c r="C113" s="107" t="s">
        <v>414</v>
      </c>
      <c r="D113" s="108"/>
      <c r="E113" s="108"/>
      <c r="F113" s="474"/>
      <c r="G113" s="474"/>
      <c r="H113" s="475">
        <v>1.34</v>
      </c>
      <c r="I113" s="109"/>
      <c r="J113" s="73"/>
      <c r="K113" s="110"/>
      <c r="L113" s="109">
        <v>2.5000000000000001E-2</v>
      </c>
      <c r="M113" s="110">
        <v>1</v>
      </c>
      <c r="N113" s="109"/>
      <c r="O113" s="73"/>
      <c r="P113" s="476"/>
      <c r="Q113" s="476"/>
      <c r="R113" s="477">
        <v>1.34</v>
      </c>
      <c r="S113" s="478"/>
      <c r="T113" s="476"/>
      <c r="U113" s="476"/>
      <c r="V113" s="476"/>
      <c r="W113" s="477">
        <v>1.34</v>
      </c>
      <c r="X113" s="429"/>
      <c r="Y113" s="430"/>
      <c r="Z113" s="430"/>
      <c r="AA113" s="431"/>
      <c r="AB113" s="430"/>
      <c r="AC113" s="430"/>
      <c r="AD113" s="430"/>
      <c r="AE113" s="431"/>
      <c r="AF113" s="61"/>
      <c r="AG113" s="3"/>
      <c r="AH113" s="63">
        <v>1.2194</v>
      </c>
      <c r="AI113" s="111" t="s">
        <v>414</v>
      </c>
      <c r="AJ113" s="66">
        <v>100</v>
      </c>
      <c r="AK113" s="106">
        <v>1.7000000000000002</v>
      </c>
      <c r="AL113" s="103"/>
      <c r="AM113" s="535"/>
      <c r="AP113" s="18"/>
      <c r="AQ113" s="18"/>
      <c r="AR113" s="18"/>
    </row>
    <row r="114" spans="1:44" ht="13.5" thickBot="1">
      <c r="A114"/>
      <c r="B114" s="454" t="s">
        <v>415</v>
      </c>
      <c r="C114" s="454" t="s">
        <v>415</v>
      </c>
      <c r="D114" s="414"/>
      <c r="E114" s="414"/>
      <c r="F114" s="414"/>
      <c r="G114" s="414"/>
      <c r="H114" s="420"/>
      <c r="I114" s="421"/>
      <c r="J114" s="422"/>
      <c r="K114" s="423"/>
      <c r="L114" s="421"/>
      <c r="M114" s="423"/>
      <c r="N114" s="421"/>
      <c r="O114" s="422"/>
      <c r="P114" s="422"/>
      <c r="Q114" s="422"/>
      <c r="R114" s="423"/>
      <c r="S114" s="421"/>
      <c r="T114" s="422"/>
      <c r="U114" s="422"/>
      <c r="V114" s="422"/>
      <c r="W114" s="423"/>
      <c r="X114" s="421"/>
      <c r="Y114" s="422"/>
      <c r="Z114" s="422"/>
      <c r="AA114" s="422"/>
      <c r="AB114" s="422"/>
      <c r="AC114" s="422"/>
      <c r="AD114" s="422"/>
      <c r="AE114" s="423"/>
      <c r="AF114" s="421"/>
      <c r="AG114" s="422"/>
      <c r="AH114" s="423"/>
      <c r="AI114" s="455" t="s">
        <v>415</v>
      </c>
      <c r="AJ114" s="105"/>
      <c r="AK114" s="125">
        <f t="shared" ref="AK114:AK153" si="69">85*L114</f>
        <v>0</v>
      </c>
      <c r="AL114" s="342"/>
      <c r="AM114" s="535"/>
      <c r="AP114" s="18"/>
      <c r="AQ114" s="18"/>
      <c r="AR114" s="18"/>
    </row>
    <row r="115" spans="1:44">
      <c r="A115" s="15">
        <v>108</v>
      </c>
      <c r="B115" s="56" t="str">
        <f t="shared" ref="B115:B153" si="70">A115&amp;" - "&amp;C115</f>
        <v>108 - Zwergrind - andere Kälber und Jungrinder unter 1/2 Jahr - Gülle = N abLager</v>
      </c>
      <c r="C115" s="112" t="s">
        <v>416</v>
      </c>
      <c r="D115" s="113">
        <v>6.35</v>
      </c>
      <c r="E115" s="114"/>
      <c r="F115" s="114"/>
      <c r="G115" s="114"/>
      <c r="H115" s="115"/>
      <c r="I115" s="116">
        <v>0.65</v>
      </c>
      <c r="J115" s="83">
        <v>0</v>
      </c>
      <c r="K115" s="100">
        <v>0</v>
      </c>
      <c r="L115" s="99">
        <v>0.2</v>
      </c>
      <c r="M115" s="100">
        <v>1</v>
      </c>
      <c r="N115" s="117">
        <v>3.55</v>
      </c>
      <c r="O115" s="83">
        <v>0</v>
      </c>
      <c r="P115" s="83">
        <v>0</v>
      </c>
      <c r="Q115" s="118">
        <v>0</v>
      </c>
      <c r="R115" s="119">
        <v>0</v>
      </c>
      <c r="S115" s="120">
        <v>5.45</v>
      </c>
      <c r="T115" s="118">
        <v>0</v>
      </c>
      <c r="U115" s="118">
        <v>0</v>
      </c>
      <c r="V115" s="118">
        <v>0</v>
      </c>
      <c r="W115" s="119">
        <v>0</v>
      </c>
      <c r="X115" s="429"/>
      <c r="Y115" s="430"/>
      <c r="Z115" s="430"/>
      <c r="AA115" s="431"/>
      <c r="AB115" s="430"/>
      <c r="AC115" s="430"/>
      <c r="AD115" s="430"/>
      <c r="AE115" s="431"/>
      <c r="AF115" s="49">
        <v>5.5244999999999997</v>
      </c>
      <c r="AG115" s="473"/>
      <c r="AH115" s="63"/>
      <c r="AI115" s="121" t="s">
        <v>417</v>
      </c>
      <c r="AJ115" s="66"/>
      <c r="AK115" s="106">
        <f t="shared" si="69"/>
        <v>17</v>
      </c>
      <c r="AL115" s="342"/>
      <c r="AM115" s="535"/>
      <c r="AP115" s="18"/>
      <c r="AQ115" s="18"/>
      <c r="AR115" s="18"/>
    </row>
    <row r="116" spans="1:44">
      <c r="A116" s="15">
        <v>109</v>
      </c>
      <c r="B116" s="56" t="str">
        <f t="shared" si="70"/>
        <v>109 - Zwergrind - andere Kälber und Jungrinder unter 1/2 Jahr - Mist/Jauche</v>
      </c>
      <c r="C116" s="4" t="s">
        <v>418</v>
      </c>
      <c r="D116" s="59"/>
      <c r="E116" s="59"/>
      <c r="F116" s="59"/>
      <c r="G116" s="53">
        <v>2.6</v>
      </c>
      <c r="H116" s="122">
        <v>2.6</v>
      </c>
      <c r="I116" s="123">
        <v>0</v>
      </c>
      <c r="J116" s="53">
        <v>0.35</v>
      </c>
      <c r="K116" s="62">
        <v>0.4</v>
      </c>
      <c r="L116" s="61">
        <v>0.2</v>
      </c>
      <c r="M116" s="62">
        <v>1</v>
      </c>
      <c r="N116" s="123">
        <v>0</v>
      </c>
      <c r="O116" s="3">
        <v>0</v>
      </c>
      <c r="P116" s="3">
        <v>0</v>
      </c>
      <c r="Q116" s="54">
        <v>0.17750000000000002</v>
      </c>
      <c r="R116" s="124">
        <v>3.3725000000000001</v>
      </c>
      <c r="S116" s="52">
        <v>0</v>
      </c>
      <c r="T116" s="54">
        <v>0</v>
      </c>
      <c r="U116" s="54">
        <v>0</v>
      </c>
      <c r="V116" s="54">
        <v>1.7985</v>
      </c>
      <c r="W116" s="124">
        <v>3.6515</v>
      </c>
      <c r="X116" s="429"/>
      <c r="Y116" s="430"/>
      <c r="Z116" s="430"/>
      <c r="AA116" s="431"/>
      <c r="AB116" s="430"/>
      <c r="AC116" s="430"/>
      <c r="AD116" s="430"/>
      <c r="AE116" s="431"/>
      <c r="AF116" s="49"/>
      <c r="AG116" s="473">
        <v>2.262</v>
      </c>
      <c r="AH116" s="63">
        <v>2.3660000000000001</v>
      </c>
      <c r="AI116" s="64" t="s">
        <v>418</v>
      </c>
      <c r="AJ116" s="66"/>
      <c r="AK116" s="106">
        <f t="shared" si="69"/>
        <v>17</v>
      </c>
      <c r="AL116" s="342"/>
      <c r="AM116" s="535"/>
      <c r="AP116" s="18"/>
      <c r="AQ116" s="18"/>
      <c r="AR116" s="18"/>
    </row>
    <row r="117" spans="1:44">
      <c r="A117" s="15">
        <v>110</v>
      </c>
      <c r="B117" s="56" t="str">
        <f t="shared" si="70"/>
        <v>110 - Zwergrind - andere Kälber und Jungrinder unter 1/2 Jahr - Tiefstallmist</v>
      </c>
      <c r="C117" s="4" t="s">
        <v>419</v>
      </c>
      <c r="D117" s="59"/>
      <c r="E117" s="59"/>
      <c r="F117" s="59"/>
      <c r="G117" s="53"/>
      <c r="H117" s="122">
        <v>5.2</v>
      </c>
      <c r="I117" s="123">
        <v>0</v>
      </c>
      <c r="J117" s="3">
        <v>0</v>
      </c>
      <c r="K117" s="55">
        <v>0.85</v>
      </c>
      <c r="L117" s="61">
        <v>0.2</v>
      </c>
      <c r="M117" s="62">
        <v>1</v>
      </c>
      <c r="N117" s="123">
        <v>0</v>
      </c>
      <c r="O117" s="3">
        <v>0</v>
      </c>
      <c r="P117" s="3">
        <v>0</v>
      </c>
      <c r="Q117" s="54">
        <v>0</v>
      </c>
      <c r="R117" s="124">
        <v>3.55</v>
      </c>
      <c r="S117" s="52">
        <v>0</v>
      </c>
      <c r="T117" s="54">
        <v>0</v>
      </c>
      <c r="U117" s="54">
        <v>0</v>
      </c>
      <c r="V117" s="54">
        <v>0</v>
      </c>
      <c r="W117" s="124">
        <v>5.45</v>
      </c>
      <c r="X117" s="429"/>
      <c r="Y117" s="430"/>
      <c r="Z117" s="430"/>
      <c r="AA117" s="431"/>
      <c r="AB117" s="430"/>
      <c r="AC117" s="430"/>
      <c r="AD117" s="430"/>
      <c r="AE117" s="431"/>
      <c r="AF117" s="49"/>
      <c r="AG117" s="473"/>
      <c r="AH117" s="63">
        <v>4.7320000000000002</v>
      </c>
      <c r="AI117" s="64" t="s">
        <v>419</v>
      </c>
      <c r="AJ117" s="66"/>
      <c r="AK117" s="106">
        <f t="shared" si="69"/>
        <v>17</v>
      </c>
      <c r="AL117" s="342"/>
      <c r="AM117" s="535"/>
      <c r="AP117" s="18"/>
      <c r="AQ117" s="18"/>
      <c r="AR117" s="18"/>
    </row>
    <row r="118" spans="1:44">
      <c r="A118" s="15">
        <v>111</v>
      </c>
      <c r="B118" s="56" t="str">
        <f t="shared" si="70"/>
        <v>111 - Zwergrind - Jungvieh 1/2 bis 1 Jahr - Gülle</v>
      </c>
      <c r="C118" s="4" t="s">
        <v>420</v>
      </c>
      <c r="D118" s="53">
        <v>17.2</v>
      </c>
      <c r="E118" s="59"/>
      <c r="F118" s="59"/>
      <c r="G118" s="53"/>
      <c r="H118" s="122"/>
      <c r="I118" s="123">
        <v>1.7000000000000002</v>
      </c>
      <c r="J118" s="3">
        <v>0</v>
      </c>
      <c r="K118" s="62">
        <v>0</v>
      </c>
      <c r="L118" s="61">
        <v>0.30000000000000004</v>
      </c>
      <c r="M118" s="62">
        <v>1</v>
      </c>
      <c r="N118" s="123">
        <v>6.75</v>
      </c>
      <c r="O118" s="3">
        <v>0</v>
      </c>
      <c r="P118" s="3">
        <v>0</v>
      </c>
      <c r="Q118" s="54">
        <v>0</v>
      </c>
      <c r="R118" s="124">
        <v>0</v>
      </c>
      <c r="S118" s="52">
        <v>21.55</v>
      </c>
      <c r="T118" s="54">
        <v>0</v>
      </c>
      <c r="U118" s="54">
        <v>0</v>
      </c>
      <c r="V118" s="54">
        <v>0</v>
      </c>
      <c r="W118" s="124">
        <v>0</v>
      </c>
      <c r="X118" s="429"/>
      <c r="Y118" s="430"/>
      <c r="Z118" s="430"/>
      <c r="AA118" s="431"/>
      <c r="AB118" s="430"/>
      <c r="AC118" s="430"/>
      <c r="AD118" s="430"/>
      <c r="AE118" s="431"/>
      <c r="AF118" s="49">
        <v>14.963999999999999</v>
      </c>
      <c r="AG118" s="473"/>
      <c r="AH118" s="63"/>
      <c r="AI118" s="64" t="s">
        <v>420</v>
      </c>
      <c r="AJ118" s="66"/>
      <c r="AK118" s="106">
        <f t="shared" si="69"/>
        <v>25.500000000000004</v>
      </c>
      <c r="AL118" s="342"/>
      <c r="AM118" s="535"/>
      <c r="AP118" s="18"/>
      <c r="AQ118" s="18"/>
      <c r="AR118" s="18"/>
    </row>
    <row r="119" spans="1:44">
      <c r="A119" s="15">
        <v>112</v>
      </c>
      <c r="B119" s="56" t="str">
        <f t="shared" si="70"/>
        <v>112 - Zwergrind - Jungvieh 1/2 bis 1 Jahr - Mist/Jauche</v>
      </c>
      <c r="C119" s="4" t="s">
        <v>421</v>
      </c>
      <c r="D119" s="59"/>
      <c r="E119" s="59"/>
      <c r="F119" s="59"/>
      <c r="G119" s="53">
        <v>7.1</v>
      </c>
      <c r="H119" s="122">
        <v>7.1</v>
      </c>
      <c r="I119" s="123">
        <v>0</v>
      </c>
      <c r="J119" s="53">
        <v>0.85</v>
      </c>
      <c r="K119" s="55">
        <v>0.9</v>
      </c>
      <c r="L119" s="61">
        <v>0.30000000000000004</v>
      </c>
      <c r="M119" s="62">
        <v>1</v>
      </c>
      <c r="N119" s="123">
        <v>0</v>
      </c>
      <c r="O119" s="3">
        <v>0</v>
      </c>
      <c r="P119" s="3">
        <v>0</v>
      </c>
      <c r="Q119" s="54">
        <v>0.33750000000000002</v>
      </c>
      <c r="R119" s="124">
        <v>6.4124999999999996</v>
      </c>
      <c r="S119" s="52">
        <v>0</v>
      </c>
      <c r="T119" s="54">
        <v>0</v>
      </c>
      <c r="U119" s="54">
        <v>0</v>
      </c>
      <c r="V119" s="54">
        <v>7.1115000000000004</v>
      </c>
      <c r="W119" s="124">
        <v>14.438499999999999</v>
      </c>
      <c r="X119" s="429"/>
      <c r="Y119" s="430"/>
      <c r="Z119" s="430"/>
      <c r="AA119" s="431"/>
      <c r="AB119" s="430"/>
      <c r="AC119" s="430"/>
      <c r="AD119" s="430"/>
      <c r="AE119" s="431"/>
      <c r="AF119" s="49"/>
      <c r="AG119" s="473">
        <v>6.1769999999999996</v>
      </c>
      <c r="AH119" s="63">
        <v>6.4610000000000003</v>
      </c>
      <c r="AI119" s="64" t="s">
        <v>421</v>
      </c>
      <c r="AJ119" s="66"/>
      <c r="AK119" s="106">
        <f t="shared" si="69"/>
        <v>25.500000000000004</v>
      </c>
      <c r="AL119" s="342"/>
      <c r="AM119" s="535"/>
      <c r="AP119" s="18"/>
      <c r="AQ119" s="18"/>
      <c r="AR119" s="18"/>
    </row>
    <row r="120" spans="1:44">
      <c r="A120" s="15">
        <v>113</v>
      </c>
      <c r="B120" s="56" t="str">
        <f t="shared" si="70"/>
        <v>113 - Zwergrind - Jungvieh 1/2 bis 1 Jahr - Tiefstallmist</v>
      </c>
      <c r="C120" s="4" t="s">
        <v>422</v>
      </c>
      <c r="D120" s="59"/>
      <c r="E120" s="59"/>
      <c r="F120" s="59"/>
      <c r="G120" s="53"/>
      <c r="H120" s="122">
        <v>14.2</v>
      </c>
      <c r="I120" s="123">
        <v>0</v>
      </c>
      <c r="J120" s="53">
        <v>0</v>
      </c>
      <c r="K120" s="55">
        <v>1.9500000000000002</v>
      </c>
      <c r="L120" s="61">
        <v>0.30000000000000004</v>
      </c>
      <c r="M120" s="62">
        <v>1</v>
      </c>
      <c r="N120" s="123">
        <v>0</v>
      </c>
      <c r="O120" s="3">
        <v>0</v>
      </c>
      <c r="P120" s="3">
        <v>0</v>
      </c>
      <c r="Q120" s="54">
        <v>0</v>
      </c>
      <c r="R120" s="124">
        <v>6.75</v>
      </c>
      <c r="S120" s="52">
        <v>0</v>
      </c>
      <c r="T120" s="54">
        <v>0</v>
      </c>
      <c r="U120" s="54">
        <v>0</v>
      </c>
      <c r="V120" s="54">
        <v>0</v>
      </c>
      <c r="W120" s="124">
        <v>21.55</v>
      </c>
      <c r="X120" s="429"/>
      <c r="Y120" s="430"/>
      <c r="Z120" s="430"/>
      <c r="AA120" s="431"/>
      <c r="AB120" s="430"/>
      <c r="AC120" s="430"/>
      <c r="AD120" s="430"/>
      <c r="AE120" s="431"/>
      <c r="AF120" s="49"/>
      <c r="AG120" s="473"/>
      <c r="AH120" s="63">
        <v>12.922000000000001</v>
      </c>
      <c r="AI120" s="64" t="s">
        <v>422</v>
      </c>
      <c r="AJ120" s="66"/>
      <c r="AK120" s="106">
        <f t="shared" si="69"/>
        <v>25.500000000000004</v>
      </c>
      <c r="AL120" s="342"/>
      <c r="AM120" s="535"/>
      <c r="AP120" s="18"/>
      <c r="AQ120" s="18"/>
      <c r="AR120" s="18"/>
    </row>
    <row r="121" spans="1:44">
      <c r="A121" s="15">
        <v>114</v>
      </c>
      <c r="B121" s="56" t="str">
        <f t="shared" si="70"/>
        <v>114 - Zwergrind - Jungvieh 1 bis 2 Jahr - Gülle</v>
      </c>
      <c r="C121" s="4" t="s">
        <v>423</v>
      </c>
      <c r="D121" s="53">
        <v>22.8</v>
      </c>
      <c r="E121" s="59"/>
      <c r="F121" s="59"/>
      <c r="G121" s="53"/>
      <c r="H121" s="122"/>
      <c r="I121" s="123">
        <v>2.9</v>
      </c>
      <c r="J121" s="53">
        <v>0</v>
      </c>
      <c r="K121" s="55">
        <v>0</v>
      </c>
      <c r="L121" s="61">
        <v>0.30000000000000004</v>
      </c>
      <c r="M121" s="62">
        <v>1</v>
      </c>
      <c r="N121" s="123">
        <v>9.8000000000000007</v>
      </c>
      <c r="O121" s="3">
        <v>0</v>
      </c>
      <c r="P121" s="3">
        <v>0</v>
      </c>
      <c r="Q121" s="54">
        <v>0</v>
      </c>
      <c r="R121" s="124">
        <v>0</v>
      </c>
      <c r="S121" s="52">
        <v>37.4</v>
      </c>
      <c r="T121" s="54">
        <v>0</v>
      </c>
      <c r="U121" s="54">
        <v>0</v>
      </c>
      <c r="V121" s="54">
        <v>0</v>
      </c>
      <c r="W121" s="124">
        <v>0</v>
      </c>
      <c r="X121" s="429"/>
      <c r="Y121" s="430"/>
      <c r="Z121" s="430"/>
      <c r="AA121" s="431"/>
      <c r="AB121" s="430"/>
      <c r="AC121" s="430"/>
      <c r="AD121" s="430"/>
      <c r="AE121" s="431"/>
      <c r="AF121" s="49">
        <v>19.836000000000002</v>
      </c>
      <c r="AG121" s="473"/>
      <c r="AH121" s="63"/>
      <c r="AI121" s="64" t="s">
        <v>423</v>
      </c>
      <c r="AJ121" s="66"/>
      <c r="AK121" s="106">
        <f t="shared" si="69"/>
        <v>25.500000000000004</v>
      </c>
      <c r="AL121" s="342"/>
      <c r="AM121" s="535"/>
      <c r="AP121" s="18"/>
      <c r="AQ121" s="18"/>
      <c r="AR121" s="18"/>
    </row>
    <row r="122" spans="1:44">
      <c r="A122" s="15">
        <v>115</v>
      </c>
      <c r="B122" s="56" t="str">
        <f t="shared" si="70"/>
        <v>115 - Zwergrind - Jungvieh 1 bis 2 Jahr - Mist/Jauche</v>
      </c>
      <c r="C122" s="4" t="s">
        <v>424</v>
      </c>
      <c r="D122" s="59"/>
      <c r="E122" s="59"/>
      <c r="F122" s="59"/>
      <c r="G122" s="53">
        <v>9.35</v>
      </c>
      <c r="H122" s="122">
        <v>9.4</v>
      </c>
      <c r="I122" s="123">
        <v>0</v>
      </c>
      <c r="J122" s="53">
        <v>1.45</v>
      </c>
      <c r="K122" s="55">
        <v>1.5</v>
      </c>
      <c r="L122" s="61">
        <v>0.30000000000000004</v>
      </c>
      <c r="M122" s="62">
        <v>1</v>
      </c>
      <c r="N122" s="123">
        <v>0</v>
      </c>
      <c r="O122" s="3">
        <v>0</v>
      </c>
      <c r="P122" s="3">
        <v>0</v>
      </c>
      <c r="Q122" s="54">
        <v>0.49</v>
      </c>
      <c r="R122" s="124">
        <v>9.31</v>
      </c>
      <c r="S122" s="52">
        <v>0</v>
      </c>
      <c r="T122" s="54">
        <v>0</v>
      </c>
      <c r="U122" s="54">
        <v>0</v>
      </c>
      <c r="V122" s="54">
        <v>12.342000000000001</v>
      </c>
      <c r="W122" s="124">
        <v>25.058</v>
      </c>
      <c r="X122" s="429"/>
      <c r="Y122" s="430"/>
      <c r="Z122" s="430"/>
      <c r="AA122" s="431"/>
      <c r="AB122" s="430"/>
      <c r="AC122" s="430"/>
      <c r="AD122" s="430"/>
      <c r="AE122" s="431"/>
      <c r="AF122" s="49"/>
      <c r="AG122" s="473">
        <v>8.1344999999999992</v>
      </c>
      <c r="AH122" s="63">
        <v>8.5540000000000003</v>
      </c>
      <c r="AI122" s="64" t="s">
        <v>424</v>
      </c>
      <c r="AJ122" s="66"/>
      <c r="AK122" s="106">
        <f t="shared" si="69"/>
        <v>25.500000000000004</v>
      </c>
      <c r="AL122" s="342"/>
      <c r="AM122" s="535"/>
      <c r="AP122" s="18"/>
      <c r="AQ122" s="18"/>
      <c r="AR122" s="18"/>
    </row>
    <row r="123" spans="1:44">
      <c r="A123" s="15">
        <v>116</v>
      </c>
      <c r="B123" s="56" t="str">
        <f t="shared" si="70"/>
        <v>116 - Zwergrind - Jungvieh 1 bis 2 Jahr - Tiefstallmist</v>
      </c>
      <c r="C123" s="4" t="s">
        <v>425</v>
      </c>
      <c r="D123" s="59"/>
      <c r="E123" s="59"/>
      <c r="F123" s="59"/>
      <c r="G123" s="53"/>
      <c r="H123" s="122">
        <v>18.75</v>
      </c>
      <c r="I123" s="123">
        <v>0</v>
      </c>
      <c r="J123" s="53">
        <v>0</v>
      </c>
      <c r="K123" s="55">
        <v>3.1</v>
      </c>
      <c r="L123" s="61">
        <v>0.30000000000000004</v>
      </c>
      <c r="M123" s="62">
        <v>1</v>
      </c>
      <c r="N123" s="123">
        <v>0</v>
      </c>
      <c r="O123" s="3">
        <v>0</v>
      </c>
      <c r="P123" s="3">
        <v>0</v>
      </c>
      <c r="Q123" s="54">
        <v>0</v>
      </c>
      <c r="R123" s="124">
        <v>9.8000000000000007</v>
      </c>
      <c r="S123" s="52">
        <v>0</v>
      </c>
      <c r="T123" s="54">
        <v>0</v>
      </c>
      <c r="U123" s="54">
        <v>0</v>
      </c>
      <c r="V123" s="54">
        <v>0</v>
      </c>
      <c r="W123" s="124">
        <v>37.4</v>
      </c>
      <c r="X123" s="429"/>
      <c r="Y123" s="430"/>
      <c r="Z123" s="430"/>
      <c r="AA123" s="431"/>
      <c r="AB123" s="430"/>
      <c r="AC123" s="430"/>
      <c r="AD123" s="430"/>
      <c r="AE123" s="431"/>
      <c r="AF123" s="49"/>
      <c r="AG123" s="473"/>
      <c r="AH123" s="63">
        <v>17.0625</v>
      </c>
      <c r="AI123" s="64" t="s">
        <v>425</v>
      </c>
      <c r="AJ123" s="66"/>
      <c r="AK123" s="106">
        <f t="shared" si="69"/>
        <v>25.500000000000004</v>
      </c>
      <c r="AL123" s="342"/>
      <c r="AM123" s="535"/>
      <c r="AP123" s="18"/>
      <c r="AQ123" s="18"/>
      <c r="AR123" s="18"/>
    </row>
    <row r="124" spans="1:44">
      <c r="A124" s="15">
        <v>117</v>
      </c>
      <c r="B124" s="56" t="str">
        <f t="shared" si="70"/>
        <v>117 - Zwergrind - Ochsen, Stiere - Gülle</v>
      </c>
      <c r="C124" s="4" t="s">
        <v>426</v>
      </c>
      <c r="D124" s="53">
        <v>27.35</v>
      </c>
      <c r="E124" s="59"/>
      <c r="F124" s="59"/>
      <c r="G124" s="53"/>
      <c r="H124" s="122"/>
      <c r="I124" s="123">
        <v>3.55</v>
      </c>
      <c r="J124" s="53">
        <v>0</v>
      </c>
      <c r="K124" s="55">
        <v>0</v>
      </c>
      <c r="L124" s="61">
        <v>0.5</v>
      </c>
      <c r="M124" s="62">
        <v>1</v>
      </c>
      <c r="N124" s="123">
        <v>12.4</v>
      </c>
      <c r="O124" s="3">
        <v>0</v>
      </c>
      <c r="P124" s="3">
        <v>0</v>
      </c>
      <c r="Q124" s="54">
        <v>0</v>
      </c>
      <c r="R124" s="124">
        <v>0</v>
      </c>
      <c r="S124" s="52">
        <v>42.45</v>
      </c>
      <c r="T124" s="54">
        <v>0</v>
      </c>
      <c r="U124" s="54">
        <v>0</v>
      </c>
      <c r="V124" s="54">
        <v>0</v>
      </c>
      <c r="W124" s="124">
        <v>0</v>
      </c>
      <c r="X124" s="429"/>
      <c r="Y124" s="430"/>
      <c r="Z124" s="430"/>
      <c r="AA124" s="431"/>
      <c r="AB124" s="430"/>
      <c r="AC124" s="430"/>
      <c r="AD124" s="430"/>
      <c r="AE124" s="431"/>
      <c r="AF124" s="49">
        <v>23.794500000000003</v>
      </c>
      <c r="AG124" s="473"/>
      <c r="AH124" s="63">
        <v>0</v>
      </c>
      <c r="AI124" s="64" t="s">
        <v>426</v>
      </c>
      <c r="AJ124" s="66"/>
      <c r="AK124" s="106">
        <f t="shared" si="69"/>
        <v>42.5</v>
      </c>
      <c r="AL124" s="342"/>
      <c r="AM124" s="535"/>
      <c r="AP124" s="18"/>
      <c r="AQ124" s="18"/>
      <c r="AR124" s="18"/>
    </row>
    <row r="125" spans="1:44">
      <c r="A125" s="15">
        <v>118</v>
      </c>
      <c r="B125" s="56" t="str">
        <f t="shared" si="70"/>
        <v>118 - Zwergrind - Ochsen, Stiere - Mist/Jauche</v>
      </c>
      <c r="C125" s="4" t="s">
        <v>427</v>
      </c>
      <c r="D125" s="59"/>
      <c r="E125" s="59"/>
      <c r="F125" s="59"/>
      <c r="G125" s="53">
        <v>11.25</v>
      </c>
      <c r="H125" s="122">
        <v>11.3</v>
      </c>
      <c r="I125" s="123">
        <v>0</v>
      </c>
      <c r="J125" s="53">
        <v>1.75</v>
      </c>
      <c r="K125" s="55">
        <v>1.75</v>
      </c>
      <c r="L125" s="61">
        <v>0.5</v>
      </c>
      <c r="M125" s="62">
        <v>1</v>
      </c>
      <c r="N125" s="123">
        <v>0</v>
      </c>
      <c r="O125" s="3">
        <v>0</v>
      </c>
      <c r="P125" s="3">
        <v>0</v>
      </c>
      <c r="Q125" s="54">
        <v>0.62</v>
      </c>
      <c r="R125" s="124">
        <v>11.78</v>
      </c>
      <c r="S125" s="52">
        <v>0</v>
      </c>
      <c r="T125" s="54">
        <v>0</v>
      </c>
      <c r="U125" s="54">
        <v>0</v>
      </c>
      <c r="V125" s="54">
        <v>14.0085</v>
      </c>
      <c r="W125" s="124">
        <v>28.441500000000001</v>
      </c>
      <c r="X125" s="429"/>
      <c r="Y125" s="430"/>
      <c r="Z125" s="430"/>
      <c r="AA125" s="431"/>
      <c r="AB125" s="430"/>
      <c r="AC125" s="430"/>
      <c r="AD125" s="430"/>
      <c r="AE125" s="431"/>
      <c r="AF125" s="49"/>
      <c r="AG125" s="473">
        <v>9.7874999999999996</v>
      </c>
      <c r="AH125" s="63">
        <v>10.283000000000001</v>
      </c>
      <c r="AI125" s="64" t="s">
        <v>427</v>
      </c>
      <c r="AJ125" s="66"/>
      <c r="AK125" s="106">
        <f t="shared" si="69"/>
        <v>42.5</v>
      </c>
      <c r="AL125" s="342"/>
      <c r="AM125" s="535"/>
      <c r="AP125" s="18"/>
      <c r="AQ125" s="18"/>
      <c r="AR125" s="18"/>
    </row>
    <row r="126" spans="1:44">
      <c r="A126" s="15">
        <v>119</v>
      </c>
      <c r="B126" s="56" t="str">
        <f t="shared" si="70"/>
        <v>119 - Zwergrind - Ochsen, Stiere - Tiefstallmist</v>
      </c>
      <c r="C126" s="4" t="s">
        <v>428</v>
      </c>
      <c r="D126" s="59"/>
      <c r="E126" s="59"/>
      <c r="F126" s="59"/>
      <c r="G126" s="53"/>
      <c r="H126" s="122">
        <v>22.55</v>
      </c>
      <c r="I126" s="123">
        <v>0</v>
      </c>
      <c r="J126" s="53">
        <v>0</v>
      </c>
      <c r="K126" s="55">
        <v>3.85</v>
      </c>
      <c r="L126" s="61">
        <v>0.5</v>
      </c>
      <c r="M126" s="62">
        <v>1</v>
      </c>
      <c r="N126" s="123">
        <v>0</v>
      </c>
      <c r="O126" s="3">
        <v>0</v>
      </c>
      <c r="P126" s="3">
        <v>0</v>
      </c>
      <c r="Q126" s="54">
        <v>0</v>
      </c>
      <c r="R126" s="124">
        <v>12.4</v>
      </c>
      <c r="S126" s="52">
        <v>0</v>
      </c>
      <c r="T126" s="54">
        <v>0</v>
      </c>
      <c r="U126" s="54">
        <v>0</v>
      </c>
      <c r="V126" s="54">
        <v>0</v>
      </c>
      <c r="W126" s="124">
        <v>42.45</v>
      </c>
      <c r="X126" s="429"/>
      <c r="Y126" s="430"/>
      <c r="Z126" s="430"/>
      <c r="AA126" s="431"/>
      <c r="AB126" s="430"/>
      <c r="AC126" s="430"/>
      <c r="AD126" s="430"/>
      <c r="AE126" s="431"/>
      <c r="AF126" s="49"/>
      <c r="AG126" s="473"/>
      <c r="AH126" s="63">
        <v>20.520500000000002</v>
      </c>
      <c r="AI126" s="64" t="s">
        <v>428</v>
      </c>
      <c r="AJ126" s="66"/>
      <c r="AK126" s="106">
        <f t="shared" si="69"/>
        <v>42.5</v>
      </c>
      <c r="AL126" s="342"/>
      <c r="AM126" s="535"/>
      <c r="AP126" s="18"/>
      <c r="AQ126" s="18"/>
      <c r="AR126" s="18"/>
    </row>
    <row r="127" spans="1:44">
      <c r="A127" s="15">
        <v>120</v>
      </c>
      <c r="B127" s="56" t="str">
        <f t="shared" si="70"/>
        <v>120 - Zwergrind - Kalbinnen - Gülle</v>
      </c>
      <c r="C127" s="4" t="s">
        <v>429</v>
      </c>
      <c r="D127" s="53">
        <v>29.45</v>
      </c>
      <c r="E127" s="53"/>
      <c r="F127" s="53"/>
      <c r="G127" s="53"/>
      <c r="H127" s="122"/>
      <c r="I127" s="123">
        <v>3.8250000000000002</v>
      </c>
      <c r="J127" s="53">
        <v>0</v>
      </c>
      <c r="K127" s="55">
        <v>0</v>
      </c>
      <c r="L127" s="61">
        <v>0.5</v>
      </c>
      <c r="M127" s="62">
        <v>1</v>
      </c>
      <c r="N127" s="123">
        <v>12.75</v>
      </c>
      <c r="O127" s="3">
        <v>0</v>
      </c>
      <c r="P127" s="3">
        <v>0</v>
      </c>
      <c r="Q127" s="54">
        <v>0</v>
      </c>
      <c r="R127" s="124">
        <v>0</v>
      </c>
      <c r="S127" s="52">
        <v>52.1</v>
      </c>
      <c r="T127" s="54">
        <v>0</v>
      </c>
      <c r="U127" s="54">
        <v>0</v>
      </c>
      <c r="V127" s="54">
        <v>0</v>
      </c>
      <c r="W127" s="124">
        <v>0</v>
      </c>
      <c r="X127" s="429"/>
      <c r="Y127" s="430"/>
      <c r="Z127" s="430"/>
      <c r="AA127" s="431"/>
      <c r="AB127" s="430"/>
      <c r="AC127" s="430"/>
      <c r="AD127" s="430"/>
      <c r="AE127" s="431"/>
      <c r="AF127" s="49">
        <v>25.621499999999997</v>
      </c>
      <c r="AG127" s="473"/>
      <c r="AH127" s="63"/>
      <c r="AI127" s="64" t="s">
        <v>429</v>
      </c>
      <c r="AJ127" s="66"/>
      <c r="AK127" s="106">
        <f t="shared" si="69"/>
        <v>42.5</v>
      </c>
      <c r="AL127" s="342"/>
      <c r="AM127" s="535"/>
      <c r="AP127" s="18"/>
      <c r="AQ127" s="18"/>
      <c r="AR127" s="18"/>
    </row>
    <row r="128" spans="1:44">
      <c r="A128" s="15">
        <v>121</v>
      </c>
      <c r="B128" s="56" t="str">
        <f t="shared" si="70"/>
        <v>121 - Zwergrind - Kalbinnen - Mist/Jauche</v>
      </c>
      <c r="C128" s="4" t="s">
        <v>430</v>
      </c>
      <c r="D128" s="53"/>
      <c r="E128" s="53"/>
      <c r="F128" s="53"/>
      <c r="G128" s="53">
        <v>12.1</v>
      </c>
      <c r="H128" s="122">
        <v>12.15</v>
      </c>
      <c r="I128" s="123">
        <v>0</v>
      </c>
      <c r="J128" s="53">
        <v>1.9</v>
      </c>
      <c r="K128" s="55">
        <v>1.9</v>
      </c>
      <c r="L128" s="61">
        <v>0.5</v>
      </c>
      <c r="M128" s="62">
        <v>1</v>
      </c>
      <c r="N128" s="123">
        <v>0</v>
      </c>
      <c r="O128" s="3">
        <v>0</v>
      </c>
      <c r="P128" s="3">
        <v>0</v>
      </c>
      <c r="Q128" s="54">
        <v>0.63750000000000007</v>
      </c>
      <c r="R128" s="124">
        <v>12.112500000000001</v>
      </c>
      <c r="S128" s="52">
        <v>0</v>
      </c>
      <c r="T128" s="54">
        <v>0</v>
      </c>
      <c r="U128" s="54">
        <v>0</v>
      </c>
      <c r="V128" s="54">
        <v>17.193000000000001</v>
      </c>
      <c r="W128" s="124">
        <v>34.906999999999996</v>
      </c>
      <c r="X128" s="429"/>
      <c r="Y128" s="430"/>
      <c r="Z128" s="430"/>
      <c r="AA128" s="431"/>
      <c r="AB128" s="430"/>
      <c r="AC128" s="430"/>
      <c r="AD128" s="430"/>
      <c r="AE128" s="431"/>
      <c r="AF128" s="49"/>
      <c r="AG128" s="473">
        <v>10.526999999999999</v>
      </c>
      <c r="AH128" s="63">
        <v>11.056500000000002</v>
      </c>
      <c r="AI128" s="64" t="s">
        <v>430</v>
      </c>
      <c r="AJ128" s="66"/>
      <c r="AK128" s="106">
        <f t="shared" si="69"/>
        <v>42.5</v>
      </c>
      <c r="AL128" s="342"/>
      <c r="AM128" s="535"/>
      <c r="AP128" s="18"/>
      <c r="AQ128" s="18"/>
      <c r="AR128" s="18"/>
    </row>
    <row r="129" spans="1:44">
      <c r="A129" s="15">
        <v>122</v>
      </c>
      <c r="B129" s="56" t="str">
        <f t="shared" si="70"/>
        <v>122 - Zwergrind - Kalbinnen - Tiefstallmist</v>
      </c>
      <c r="C129" s="4" t="s">
        <v>431</v>
      </c>
      <c r="D129" s="53"/>
      <c r="E129" s="53"/>
      <c r="F129" s="53"/>
      <c r="G129" s="53"/>
      <c r="H129" s="122">
        <v>24.25</v>
      </c>
      <c r="I129" s="123">
        <v>0</v>
      </c>
      <c r="J129" s="53">
        <v>0</v>
      </c>
      <c r="K129" s="55">
        <v>4.0999999999999996</v>
      </c>
      <c r="L129" s="61">
        <v>0.5</v>
      </c>
      <c r="M129" s="62">
        <v>1</v>
      </c>
      <c r="N129" s="123">
        <v>0</v>
      </c>
      <c r="O129" s="3">
        <v>0</v>
      </c>
      <c r="P129" s="3">
        <v>0</v>
      </c>
      <c r="Q129" s="54">
        <v>0</v>
      </c>
      <c r="R129" s="124">
        <v>12.75</v>
      </c>
      <c r="S129" s="52">
        <v>0</v>
      </c>
      <c r="T129" s="54">
        <v>0</v>
      </c>
      <c r="U129" s="54">
        <v>0</v>
      </c>
      <c r="V129" s="54">
        <v>0</v>
      </c>
      <c r="W129" s="124">
        <v>52.1</v>
      </c>
      <c r="X129" s="429"/>
      <c r="Y129" s="430"/>
      <c r="Z129" s="430"/>
      <c r="AA129" s="431"/>
      <c r="AB129" s="430"/>
      <c r="AC129" s="430"/>
      <c r="AD129" s="430"/>
      <c r="AE129" s="431"/>
      <c r="AF129" s="49"/>
      <c r="AG129" s="473"/>
      <c r="AH129" s="63">
        <v>22.067499999999999</v>
      </c>
      <c r="AI129" s="64" t="s">
        <v>431</v>
      </c>
      <c r="AJ129" s="66"/>
      <c r="AK129" s="106">
        <f t="shared" si="69"/>
        <v>42.5</v>
      </c>
      <c r="AL129" s="342"/>
      <c r="AM129" s="535"/>
      <c r="AP129" s="18"/>
      <c r="AQ129" s="18"/>
      <c r="AR129" s="18"/>
    </row>
    <row r="130" spans="1:44">
      <c r="A130" s="15">
        <v>123</v>
      </c>
      <c r="B130" s="56" t="str">
        <f t="shared" si="70"/>
        <v>123 - Zwergrind - Milch- bzw. Mutterkühe (3000 kg Milch)  - Gülle</v>
      </c>
      <c r="C130" s="4" t="s">
        <v>432</v>
      </c>
      <c r="D130" s="53">
        <v>29.55</v>
      </c>
      <c r="E130" s="53"/>
      <c r="F130" s="53"/>
      <c r="G130" s="53"/>
      <c r="H130" s="122"/>
      <c r="I130" s="123">
        <v>5.625</v>
      </c>
      <c r="J130" s="53">
        <v>0</v>
      </c>
      <c r="K130" s="55">
        <v>0</v>
      </c>
      <c r="L130" s="61">
        <v>0.5</v>
      </c>
      <c r="M130" s="62">
        <v>1</v>
      </c>
      <c r="N130" s="123">
        <v>9.5</v>
      </c>
      <c r="O130" s="3">
        <v>0</v>
      </c>
      <c r="P130" s="3">
        <v>0</v>
      </c>
      <c r="Q130" s="54">
        <v>0</v>
      </c>
      <c r="R130" s="124">
        <v>0</v>
      </c>
      <c r="S130" s="52">
        <v>59.55</v>
      </c>
      <c r="T130" s="54">
        <v>0</v>
      </c>
      <c r="U130" s="54">
        <v>0</v>
      </c>
      <c r="V130" s="54">
        <v>0</v>
      </c>
      <c r="W130" s="124">
        <v>0</v>
      </c>
      <c r="X130" s="429"/>
      <c r="Y130" s="430"/>
      <c r="Z130" s="430"/>
      <c r="AA130" s="431"/>
      <c r="AB130" s="430"/>
      <c r="AC130" s="430"/>
      <c r="AD130" s="430"/>
      <c r="AE130" s="431"/>
      <c r="AF130" s="49">
        <v>25.708500000000001</v>
      </c>
      <c r="AG130" s="473"/>
      <c r="AH130" s="63"/>
      <c r="AI130" s="64" t="s">
        <v>432</v>
      </c>
      <c r="AJ130" s="66"/>
      <c r="AK130" s="106">
        <f t="shared" si="69"/>
        <v>42.5</v>
      </c>
      <c r="AL130" s="342"/>
      <c r="AM130" s="535"/>
      <c r="AP130" s="18"/>
      <c r="AQ130" s="18"/>
      <c r="AR130" s="18"/>
    </row>
    <row r="131" spans="1:44">
      <c r="A131" s="15">
        <v>124</v>
      </c>
      <c r="B131" s="56" t="str">
        <f t="shared" si="70"/>
        <v>124 - Zwergrind - Milch- bzw. Mutterkühe (3000 kg Milch)  - Mist / Jauche</v>
      </c>
      <c r="C131" s="4" t="s">
        <v>433</v>
      </c>
      <c r="D131" s="53"/>
      <c r="E131" s="53"/>
      <c r="F131" s="53"/>
      <c r="G131" s="53">
        <v>8.1</v>
      </c>
      <c r="H131" s="122">
        <v>16.25</v>
      </c>
      <c r="I131" s="123">
        <v>0</v>
      </c>
      <c r="J131" s="53">
        <v>1.85</v>
      </c>
      <c r="K131" s="55">
        <v>3.6</v>
      </c>
      <c r="L131" s="61">
        <v>0.5</v>
      </c>
      <c r="M131" s="62">
        <v>1</v>
      </c>
      <c r="N131" s="123">
        <v>0</v>
      </c>
      <c r="O131" s="3">
        <v>0</v>
      </c>
      <c r="P131" s="3">
        <v>0</v>
      </c>
      <c r="Q131" s="54">
        <v>0.47500000000000003</v>
      </c>
      <c r="R131" s="124">
        <v>9.0250000000000004</v>
      </c>
      <c r="S131" s="52">
        <v>0</v>
      </c>
      <c r="T131" s="54">
        <v>0</v>
      </c>
      <c r="U131" s="54">
        <v>0</v>
      </c>
      <c r="V131" s="54">
        <v>19.651499999999999</v>
      </c>
      <c r="W131" s="124">
        <v>39.898499999999999</v>
      </c>
      <c r="X131" s="429"/>
      <c r="Y131" s="430"/>
      <c r="Z131" s="430"/>
      <c r="AA131" s="431"/>
      <c r="AB131" s="430"/>
      <c r="AC131" s="430"/>
      <c r="AD131" s="430"/>
      <c r="AE131" s="431"/>
      <c r="AF131" s="49"/>
      <c r="AG131" s="473">
        <v>7.0469999999999997</v>
      </c>
      <c r="AH131" s="63">
        <v>14.7875</v>
      </c>
      <c r="AI131" s="64" t="s">
        <v>433</v>
      </c>
      <c r="AJ131" s="66"/>
      <c r="AK131" s="106">
        <f t="shared" si="69"/>
        <v>42.5</v>
      </c>
      <c r="AL131" s="342"/>
      <c r="AM131" s="535"/>
      <c r="AP131" s="18"/>
      <c r="AQ131" s="18"/>
      <c r="AR131" s="18"/>
    </row>
    <row r="132" spans="1:44">
      <c r="A132" s="15">
        <v>125</v>
      </c>
      <c r="B132" s="56" t="str">
        <f t="shared" si="70"/>
        <v>125 - Zwergrind - Milch- bzw. Mutterkühe (3000 kg Milch)  - Tiefstallmist</v>
      </c>
      <c r="C132" s="4" t="s">
        <v>434</v>
      </c>
      <c r="D132" s="53"/>
      <c r="E132" s="53"/>
      <c r="F132" s="53"/>
      <c r="G132" s="53"/>
      <c r="H132" s="122">
        <v>24.35</v>
      </c>
      <c r="I132" s="123">
        <v>0</v>
      </c>
      <c r="J132" s="53">
        <v>0</v>
      </c>
      <c r="K132" s="55">
        <v>5.8</v>
      </c>
      <c r="L132" s="61">
        <v>0.5</v>
      </c>
      <c r="M132" s="62">
        <v>1</v>
      </c>
      <c r="N132" s="123">
        <v>0</v>
      </c>
      <c r="O132" s="3">
        <v>0</v>
      </c>
      <c r="P132" s="3">
        <v>0</v>
      </c>
      <c r="Q132" s="54">
        <v>0</v>
      </c>
      <c r="R132" s="124">
        <v>9.5</v>
      </c>
      <c r="S132" s="52">
        <v>0</v>
      </c>
      <c r="T132" s="54">
        <v>0</v>
      </c>
      <c r="U132" s="54">
        <v>0</v>
      </c>
      <c r="V132" s="54">
        <v>0</v>
      </c>
      <c r="W132" s="124">
        <v>59.55</v>
      </c>
      <c r="X132" s="429"/>
      <c r="Y132" s="430"/>
      <c r="Z132" s="430"/>
      <c r="AA132" s="431"/>
      <c r="AB132" s="430"/>
      <c r="AC132" s="430"/>
      <c r="AD132" s="430"/>
      <c r="AE132" s="431"/>
      <c r="AF132" s="49"/>
      <c r="AG132" s="473"/>
      <c r="AH132" s="63">
        <v>22.158500000000004</v>
      </c>
      <c r="AI132" s="64" t="s">
        <v>434</v>
      </c>
      <c r="AJ132" s="66"/>
      <c r="AK132" s="106">
        <f t="shared" si="69"/>
        <v>42.5</v>
      </c>
      <c r="AL132" s="342"/>
      <c r="AM132" s="535"/>
      <c r="AP132" s="18"/>
      <c r="AQ132" s="18"/>
      <c r="AR132" s="18"/>
    </row>
    <row r="133" spans="1:44">
      <c r="A133" s="15">
        <v>126</v>
      </c>
      <c r="B133" s="56" t="str">
        <f t="shared" si="70"/>
        <v>126 - Zwergrind - Milch- bzw. Ammenkühe (4000 kg Milch)  - Gülle</v>
      </c>
      <c r="C133" s="4" t="s">
        <v>435</v>
      </c>
      <c r="D133" s="53">
        <v>33.35</v>
      </c>
      <c r="E133" s="53"/>
      <c r="F133" s="53"/>
      <c r="G133" s="53"/>
      <c r="H133" s="122"/>
      <c r="I133" s="123">
        <v>5.625</v>
      </c>
      <c r="J133" s="53">
        <v>0</v>
      </c>
      <c r="K133" s="55">
        <v>0</v>
      </c>
      <c r="L133" s="61">
        <v>0.5</v>
      </c>
      <c r="M133" s="62">
        <v>1</v>
      </c>
      <c r="N133" s="123">
        <v>11.8</v>
      </c>
      <c r="O133" s="3">
        <v>0</v>
      </c>
      <c r="P133" s="3">
        <v>0</v>
      </c>
      <c r="Q133" s="54">
        <v>0</v>
      </c>
      <c r="R133" s="124">
        <v>0</v>
      </c>
      <c r="S133" s="52">
        <v>67</v>
      </c>
      <c r="T133" s="54">
        <v>0</v>
      </c>
      <c r="U133" s="54">
        <v>0</v>
      </c>
      <c r="V133" s="54">
        <v>0</v>
      </c>
      <c r="W133" s="124">
        <v>0</v>
      </c>
      <c r="X133" s="429"/>
      <c r="Y133" s="430"/>
      <c r="Z133" s="430"/>
      <c r="AA133" s="431"/>
      <c r="AB133" s="430"/>
      <c r="AC133" s="430"/>
      <c r="AD133" s="430"/>
      <c r="AE133" s="431"/>
      <c r="AF133" s="49">
        <v>29.014500000000002</v>
      </c>
      <c r="AG133" s="473"/>
      <c r="AH133" s="63"/>
      <c r="AI133" s="64" t="s">
        <v>435</v>
      </c>
      <c r="AJ133" s="66"/>
      <c r="AK133" s="106">
        <f t="shared" si="69"/>
        <v>42.5</v>
      </c>
      <c r="AL133" s="342"/>
      <c r="AM133" s="535"/>
      <c r="AP133" s="18"/>
      <c r="AQ133" s="18"/>
      <c r="AR133" s="18"/>
    </row>
    <row r="134" spans="1:44">
      <c r="A134" s="15">
        <v>127</v>
      </c>
      <c r="B134" s="56" t="str">
        <f t="shared" si="70"/>
        <v>127 - Zwergrind - Milch- bzw. Ammenkühe (4000 kg Milch)  - Mist / Jauche</v>
      </c>
      <c r="C134" s="4" t="s">
        <v>436</v>
      </c>
      <c r="D134" s="53"/>
      <c r="E134" s="53"/>
      <c r="F134" s="53"/>
      <c r="G134" s="53">
        <v>9.1999999999999993</v>
      </c>
      <c r="H134" s="122">
        <v>18.3</v>
      </c>
      <c r="I134" s="123">
        <v>0</v>
      </c>
      <c r="J134" s="53">
        <v>1.85</v>
      </c>
      <c r="K134" s="55">
        <v>3.6</v>
      </c>
      <c r="L134" s="61">
        <v>0.5</v>
      </c>
      <c r="M134" s="62">
        <v>1</v>
      </c>
      <c r="N134" s="123">
        <v>0</v>
      </c>
      <c r="O134" s="3">
        <v>0</v>
      </c>
      <c r="P134" s="3">
        <v>0</v>
      </c>
      <c r="Q134" s="54">
        <v>0.59</v>
      </c>
      <c r="R134" s="124">
        <v>11.21</v>
      </c>
      <c r="S134" s="52">
        <v>0</v>
      </c>
      <c r="T134" s="54">
        <v>0</v>
      </c>
      <c r="U134" s="54">
        <v>0</v>
      </c>
      <c r="V134" s="54">
        <v>22.11</v>
      </c>
      <c r="W134" s="124">
        <v>44.89</v>
      </c>
      <c r="X134" s="429"/>
      <c r="Y134" s="430"/>
      <c r="Z134" s="430"/>
      <c r="AA134" s="431"/>
      <c r="AB134" s="430"/>
      <c r="AC134" s="430"/>
      <c r="AD134" s="430"/>
      <c r="AE134" s="431"/>
      <c r="AF134" s="49"/>
      <c r="AG134" s="473">
        <v>8.0039999999999996</v>
      </c>
      <c r="AH134" s="63">
        <v>16.653000000000002</v>
      </c>
      <c r="AI134" s="64" t="s">
        <v>436</v>
      </c>
      <c r="AJ134" s="66"/>
      <c r="AK134" s="106">
        <f t="shared" si="69"/>
        <v>42.5</v>
      </c>
      <c r="AL134" s="342"/>
      <c r="AM134" s="535"/>
      <c r="AP134" s="18"/>
      <c r="AQ134" s="18"/>
      <c r="AR134" s="18"/>
    </row>
    <row r="135" spans="1:44">
      <c r="A135" s="15">
        <v>128</v>
      </c>
      <c r="B135" s="56" t="str">
        <f t="shared" si="70"/>
        <v>128 - Zwergrind - Milch- bzw. Ammenkühe (4000 kg Milch)  - Tiefstallmist</v>
      </c>
      <c r="C135" s="4" t="s">
        <v>437</v>
      </c>
      <c r="D135" s="53"/>
      <c r="E135" s="53"/>
      <c r="F135" s="53"/>
      <c r="G135" s="53"/>
      <c r="H135" s="122">
        <v>27.5</v>
      </c>
      <c r="I135" s="123">
        <v>0</v>
      </c>
      <c r="J135" s="53">
        <v>0</v>
      </c>
      <c r="K135" s="55">
        <v>5.8</v>
      </c>
      <c r="L135" s="61">
        <v>0.5</v>
      </c>
      <c r="M135" s="62">
        <v>1</v>
      </c>
      <c r="N135" s="123">
        <v>0</v>
      </c>
      <c r="O135" s="3">
        <v>0</v>
      </c>
      <c r="P135" s="3">
        <v>0</v>
      </c>
      <c r="Q135" s="54">
        <v>0</v>
      </c>
      <c r="R135" s="124">
        <v>11.8</v>
      </c>
      <c r="S135" s="52">
        <v>0</v>
      </c>
      <c r="T135" s="54">
        <v>0</v>
      </c>
      <c r="U135" s="54">
        <v>0</v>
      </c>
      <c r="V135" s="54">
        <v>0</v>
      </c>
      <c r="W135" s="124">
        <v>67</v>
      </c>
      <c r="X135" s="429"/>
      <c r="Y135" s="430"/>
      <c r="Z135" s="430"/>
      <c r="AA135" s="431"/>
      <c r="AB135" s="430"/>
      <c r="AC135" s="430"/>
      <c r="AD135" s="430"/>
      <c r="AE135" s="431"/>
      <c r="AF135" s="49"/>
      <c r="AG135" s="473"/>
      <c r="AH135" s="63">
        <v>25.025000000000002</v>
      </c>
      <c r="AI135" s="64" t="s">
        <v>437</v>
      </c>
      <c r="AJ135" s="66"/>
      <c r="AK135" s="106">
        <f t="shared" si="69"/>
        <v>42.5</v>
      </c>
      <c r="AL135" s="342"/>
      <c r="AM135" s="535"/>
      <c r="AP135" s="18"/>
      <c r="AQ135" s="18"/>
      <c r="AR135" s="18"/>
    </row>
    <row r="136" spans="1:44">
      <c r="A136" s="15">
        <v>129</v>
      </c>
      <c r="B136" s="56" t="str">
        <f t="shared" si="70"/>
        <v>129 - Zwergrind - Milchkühe (5000 kg Milch) - Gülle</v>
      </c>
      <c r="C136" s="4" t="s">
        <v>438</v>
      </c>
      <c r="D136" s="53">
        <v>37.200000000000003</v>
      </c>
      <c r="E136" s="53"/>
      <c r="F136" s="53"/>
      <c r="G136" s="53"/>
      <c r="H136" s="122"/>
      <c r="I136" s="123">
        <v>5.75</v>
      </c>
      <c r="J136" s="53">
        <v>0</v>
      </c>
      <c r="K136" s="55">
        <v>0</v>
      </c>
      <c r="L136" s="61">
        <v>0.5</v>
      </c>
      <c r="M136" s="62">
        <v>1</v>
      </c>
      <c r="N136" s="123">
        <v>14.1</v>
      </c>
      <c r="O136" s="3">
        <v>0</v>
      </c>
      <c r="P136" s="3">
        <v>0</v>
      </c>
      <c r="Q136" s="54">
        <v>0</v>
      </c>
      <c r="R136" s="124">
        <v>0</v>
      </c>
      <c r="S136" s="52">
        <v>74.45</v>
      </c>
      <c r="T136" s="54">
        <v>0</v>
      </c>
      <c r="U136" s="54">
        <v>0</v>
      </c>
      <c r="V136" s="54">
        <v>0</v>
      </c>
      <c r="W136" s="124">
        <v>0</v>
      </c>
      <c r="X136" s="429"/>
      <c r="Y136" s="430"/>
      <c r="Z136" s="430"/>
      <c r="AA136" s="431"/>
      <c r="AB136" s="430"/>
      <c r="AC136" s="430"/>
      <c r="AD136" s="430"/>
      <c r="AE136" s="431"/>
      <c r="AF136" s="49">
        <v>32.364000000000004</v>
      </c>
      <c r="AG136" s="473"/>
      <c r="AH136" s="63"/>
      <c r="AI136" s="64" t="s">
        <v>438</v>
      </c>
      <c r="AJ136" s="66"/>
      <c r="AK136" s="106">
        <f t="shared" si="69"/>
        <v>42.5</v>
      </c>
      <c r="AL136" s="342"/>
      <c r="AM136" s="535"/>
      <c r="AP136" s="18"/>
      <c r="AQ136" s="18"/>
      <c r="AR136" s="18"/>
    </row>
    <row r="137" spans="1:44">
      <c r="A137" s="15">
        <v>130</v>
      </c>
      <c r="B137" s="56" t="str">
        <f t="shared" si="70"/>
        <v>130 - Zwergrind - Milchkühe (5000 kg Milch) - Mist/Jauche</v>
      </c>
      <c r="C137" s="4" t="s">
        <v>439</v>
      </c>
      <c r="D137" s="53"/>
      <c r="E137" s="53"/>
      <c r="F137" s="53"/>
      <c r="G137" s="53">
        <v>10.199999999999999</v>
      </c>
      <c r="H137" s="122">
        <v>20.45</v>
      </c>
      <c r="I137" s="123">
        <v>0</v>
      </c>
      <c r="J137" s="53">
        <v>1.9</v>
      </c>
      <c r="K137" s="55">
        <v>3.7</v>
      </c>
      <c r="L137" s="61">
        <v>0.5</v>
      </c>
      <c r="M137" s="62">
        <v>1</v>
      </c>
      <c r="N137" s="123">
        <v>0</v>
      </c>
      <c r="O137" s="3">
        <v>0</v>
      </c>
      <c r="P137" s="3">
        <v>0</v>
      </c>
      <c r="Q137" s="54">
        <v>0.70499999999999996</v>
      </c>
      <c r="R137" s="124">
        <v>13.395</v>
      </c>
      <c r="S137" s="52">
        <v>0</v>
      </c>
      <c r="T137" s="54">
        <v>0</v>
      </c>
      <c r="U137" s="54">
        <v>0</v>
      </c>
      <c r="V137" s="54">
        <v>24.5685</v>
      </c>
      <c r="W137" s="124">
        <v>49.881500000000003</v>
      </c>
      <c r="X137" s="429"/>
      <c r="Y137" s="430"/>
      <c r="Z137" s="430"/>
      <c r="AA137" s="431"/>
      <c r="AB137" s="430"/>
      <c r="AC137" s="430"/>
      <c r="AD137" s="430"/>
      <c r="AE137" s="431"/>
      <c r="AF137" s="49">
        <v>0</v>
      </c>
      <c r="AG137" s="473">
        <v>8.8739999999999988</v>
      </c>
      <c r="AH137" s="63">
        <v>18.609500000000001</v>
      </c>
      <c r="AI137" s="64" t="s">
        <v>439</v>
      </c>
      <c r="AJ137" s="66"/>
      <c r="AK137" s="106">
        <f t="shared" si="69"/>
        <v>42.5</v>
      </c>
      <c r="AL137" s="342"/>
      <c r="AM137" s="535"/>
      <c r="AP137" s="18"/>
      <c r="AQ137" s="18"/>
      <c r="AR137" s="18"/>
    </row>
    <row r="138" spans="1:44">
      <c r="A138" s="15">
        <v>131</v>
      </c>
      <c r="B138" s="56" t="str">
        <f t="shared" si="70"/>
        <v>131 - Zwergrind - Milchkühe (5000 kg Milch) - Tiefstallmist</v>
      </c>
      <c r="C138" s="4" t="s">
        <v>440</v>
      </c>
      <c r="D138" s="53"/>
      <c r="E138" s="53"/>
      <c r="F138" s="53"/>
      <c r="G138" s="53"/>
      <c r="H138" s="122">
        <v>30.65</v>
      </c>
      <c r="I138" s="123">
        <v>0</v>
      </c>
      <c r="J138" s="53">
        <v>0</v>
      </c>
      <c r="K138" s="55">
        <v>5.95</v>
      </c>
      <c r="L138" s="61">
        <v>0.5</v>
      </c>
      <c r="M138" s="62">
        <v>1</v>
      </c>
      <c r="N138" s="123">
        <v>0</v>
      </c>
      <c r="O138" s="3">
        <v>0</v>
      </c>
      <c r="P138" s="3">
        <v>0</v>
      </c>
      <c r="Q138" s="54">
        <v>0</v>
      </c>
      <c r="R138" s="124">
        <v>14.1</v>
      </c>
      <c r="S138" s="52">
        <v>0</v>
      </c>
      <c r="T138" s="54">
        <v>0</v>
      </c>
      <c r="U138" s="54">
        <v>0</v>
      </c>
      <c r="V138" s="54">
        <v>0</v>
      </c>
      <c r="W138" s="124">
        <v>74.45</v>
      </c>
      <c r="X138" s="429"/>
      <c r="Y138" s="430"/>
      <c r="Z138" s="430"/>
      <c r="AA138" s="431"/>
      <c r="AB138" s="430"/>
      <c r="AC138" s="430"/>
      <c r="AD138" s="430"/>
      <c r="AE138" s="431"/>
      <c r="AF138" s="49"/>
      <c r="AG138" s="473"/>
      <c r="AH138" s="63">
        <v>27.891500000000001</v>
      </c>
      <c r="AI138" s="64" t="s">
        <v>440</v>
      </c>
      <c r="AJ138" s="66"/>
      <c r="AK138" s="106">
        <f t="shared" si="69"/>
        <v>42.5</v>
      </c>
      <c r="AL138" s="342"/>
      <c r="AM138" s="535"/>
      <c r="AP138" s="18"/>
      <c r="AQ138" s="18"/>
      <c r="AR138" s="18"/>
    </row>
    <row r="139" spans="1:44">
      <c r="A139" s="15">
        <v>132</v>
      </c>
      <c r="B139" s="56" t="str">
        <f t="shared" si="70"/>
        <v>132 - Zwergrind - Milchkühe (6000 kg Milch) - Gülle</v>
      </c>
      <c r="C139" s="4" t="s">
        <v>441</v>
      </c>
      <c r="D139" s="53">
        <v>41</v>
      </c>
      <c r="E139" s="53"/>
      <c r="F139" s="53"/>
      <c r="G139" s="53"/>
      <c r="H139" s="122"/>
      <c r="I139" s="123">
        <v>5.9</v>
      </c>
      <c r="J139" s="53">
        <v>0</v>
      </c>
      <c r="K139" s="55">
        <v>0</v>
      </c>
      <c r="L139" s="61">
        <v>0.5</v>
      </c>
      <c r="M139" s="62">
        <v>1</v>
      </c>
      <c r="N139" s="123">
        <v>16.399999999999999</v>
      </c>
      <c r="O139" s="3">
        <v>0</v>
      </c>
      <c r="P139" s="3">
        <v>0</v>
      </c>
      <c r="Q139" s="54">
        <v>0</v>
      </c>
      <c r="R139" s="124">
        <v>0</v>
      </c>
      <c r="S139" s="52">
        <v>81.900000000000006</v>
      </c>
      <c r="T139" s="54">
        <v>0</v>
      </c>
      <c r="U139" s="54">
        <v>0</v>
      </c>
      <c r="V139" s="54">
        <v>0</v>
      </c>
      <c r="W139" s="124">
        <v>0</v>
      </c>
      <c r="X139" s="429"/>
      <c r="Y139" s="430"/>
      <c r="Z139" s="430"/>
      <c r="AA139" s="431"/>
      <c r="AB139" s="430"/>
      <c r="AC139" s="430"/>
      <c r="AD139" s="430"/>
      <c r="AE139" s="431"/>
      <c r="AF139" s="49">
        <v>35.67</v>
      </c>
      <c r="AG139" s="473"/>
      <c r="AH139" s="63">
        <v>0</v>
      </c>
      <c r="AI139" s="64" t="s">
        <v>441</v>
      </c>
      <c r="AJ139" s="66"/>
      <c r="AK139" s="106">
        <f t="shared" si="69"/>
        <v>42.5</v>
      </c>
      <c r="AL139" s="342"/>
      <c r="AM139" s="535"/>
      <c r="AP139" s="18"/>
      <c r="AQ139" s="18"/>
      <c r="AR139" s="18"/>
    </row>
    <row r="140" spans="1:44">
      <c r="A140" s="15">
        <v>133</v>
      </c>
      <c r="B140" s="56" t="str">
        <f t="shared" si="70"/>
        <v>133 - Zwergrind - Milchkühe (6000 kg Milch) - Mist/Jauche</v>
      </c>
      <c r="C140" s="4" t="s">
        <v>442</v>
      </c>
      <c r="D140" s="53"/>
      <c r="E140" s="53"/>
      <c r="F140" s="53"/>
      <c r="G140" s="53">
        <v>11.25</v>
      </c>
      <c r="H140" s="122">
        <v>22.55</v>
      </c>
      <c r="I140" s="123">
        <v>0</v>
      </c>
      <c r="J140" s="53">
        <v>1.9500000000000002</v>
      </c>
      <c r="K140" s="55">
        <v>3.8</v>
      </c>
      <c r="L140" s="61">
        <v>0.5</v>
      </c>
      <c r="M140" s="62">
        <v>1</v>
      </c>
      <c r="N140" s="123">
        <v>0</v>
      </c>
      <c r="O140" s="3">
        <v>0</v>
      </c>
      <c r="P140" s="3">
        <v>0</v>
      </c>
      <c r="Q140" s="54">
        <v>0.82</v>
      </c>
      <c r="R140" s="124">
        <v>15.58</v>
      </c>
      <c r="S140" s="52">
        <v>0</v>
      </c>
      <c r="T140" s="54">
        <v>0</v>
      </c>
      <c r="U140" s="54">
        <v>0</v>
      </c>
      <c r="V140" s="54">
        <v>27.027000000000001</v>
      </c>
      <c r="W140" s="124">
        <v>54.872999999999998</v>
      </c>
      <c r="X140" s="429"/>
      <c r="Y140" s="430"/>
      <c r="Z140" s="430"/>
      <c r="AA140" s="431"/>
      <c r="AB140" s="430"/>
      <c r="AC140" s="430"/>
      <c r="AD140" s="430"/>
      <c r="AE140" s="431"/>
      <c r="AF140" s="49"/>
      <c r="AG140" s="473">
        <v>9.7874999999999996</v>
      </c>
      <c r="AH140" s="63">
        <v>20.520500000000002</v>
      </c>
      <c r="AI140" s="64" t="s">
        <v>442</v>
      </c>
      <c r="AJ140" s="66"/>
      <c r="AK140" s="106">
        <f t="shared" si="69"/>
        <v>42.5</v>
      </c>
      <c r="AL140" s="342"/>
      <c r="AM140" s="535"/>
      <c r="AP140" s="18"/>
      <c r="AQ140" s="18"/>
      <c r="AR140" s="18"/>
    </row>
    <row r="141" spans="1:44">
      <c r="A141" s="15">
        <v>134</v>
      </c>
      <c r="B141" s="56" t="str">
        <f t="shared" si="70"/>
        <v>134 - Zwergrind - Milchkühe (6000 kg Milch) - Tiefstallmist</v>
      </c>
      <c r="C141" s="4" t="s">
        <v>443</v>
      </c>
      <c r="D141" s="53"/>
      <c r="E141" s="53"/>
      <c r="F141" s="53"/>
      <c r="G141" s="53"/>
      <c r="H141" s="122">
        <v>33.799999999999997</v>
      </c>
      <c r="I141" s="123">
        <v>0</v>
      </c>
      <c r="J141" s="53">
        <v>0</v>
      </c>
      <c r="K141" s="55">
        <v>6.05</v>
      </c>
      <c r="L141" s="61">
        <v>0.5</v>
      </c>
      <c r="M141" s="62">
        <v>1</v>
      </c>
      <c r="N141" s="123">
        <v>0</v>
      </c>
      <c r="O141" s="3">
        <v>0</v>
      </c>
      <c r="P141" s="3">
        <v>0</v>
      </c>
      <c r="Q141" s="54">
        <v>0</v>
      </c>
      <c r="R141" s="124">
        <v>16.399999999999999</v>
      </c>
      <c r="S141" s="52">
        <v>0</v>
      </c>
      <c r="T141" s="54">
        <v>0</v>
      </c>
      <c r="U141" s="54">
        <v>0</v>
      </c>
      <c r="V141" s="54">
        <v>0</v>
      </c>
      <c r="W141" s="124">
        <v>81.900000000000006</v>
      </c>
      <c r="X141" s="429"/>
      <c r="Y141" s="430"/>
      <c r="Z141" s="430"/>
      <c r="AA141" s="431"/>
      <c r="AB141" s="430"/>
      <c r="AC141" s="430"/>
      <c r="AD141" s="430"/>
      <c r="AE141" s="431"/>
      <c r="AF141" s="49"/>
      <c r="AG141" s="49"/>
      <c r="AH141" s="49">
        <v>30.757999999999999</v>
      </c>
      <c r="AI141" s="64" t="s">
        <v>443</v>
      </c>
      <c r="AJ141" s="66"/>
      <c r="AK141" s="106">
        <f t="shared" si="69"/>
        <v>42.5</v>
      </c>
      <c r="AL141" s="342"/>
      <c r="AM141" s="535"/>
      <c r="AP141" s="18"/>
      <c r="AQ141" s="18"/>
      <c r="AR141" s="18"/>
    </row>
    <row r="142" spans="1:44">
      <c r="A142" s="15">
        <v>135</v>
      </c>
      <c r="B142" s="56" t="str">
        <f t="shared" si="70"/>
        <v>135 - Zwergrind - Milchkühe (7000 kg Milch) - Gülle</v>
      </c>
      <c r="C142" s="4" t="s">
        <v>444</v>
      </c>
      <c r="D142" s="53">
        <v>44.85</v>
      </c>
      <c r="E142" s="53"/>
      <c r="F142" s="53"/>
      <c r="G142" s="53"/>
      <c r="H142" s="122"/>
      <c r="I142" s="123">
        <v>5.8250000000000002</v>
      </c>
      <c r="J142" s="53">
        <v>0</v>
      </c>
      <c r="K142" s="55">
        <v>0</v>
      </c>
      <c r="L142" s="61">
        <v>0.5</v>
      </c>
      <c r="M142" s="62">
        <v>1</v>
      </c>
      <c r="N142" s="123">
        <v>18.7</v>
      </c>
      <c r="O142" s="3">
        <v>0</v>
      </c>
      <c r="P142" s="3">
        <v>0</v>
      </c>
      <c r="Q142" s="54">
        <v>0</v>
      </c>
      <c r="R142" s="124">
        <v>0</v>
      </c>
      <c r="S142" s="52">
        <v>89.35</v>
      </c>
      <c r="T142" s="54">
        <v>0</v>
      </c>
      <c r="U142" s="54">
        <v>0</v>
      </c>
      <c r="V142" s="54">
        <v>0</v>
      </c>
      <c r="W142" s="124">
        <v>0</v>
      </c>
      <c r="X142" s="429"/>
      <c r="Y142" s="430"/>
      <c r="Z142" s="430"/>
      <c r="AA142" s="431"/>
      <c r="AB142" s="430"/>
      <c r="AC142" s="430"/>
      <c r="AD142" s="430"/>
      <c r="AE142" s="431"/>
      <c r="AF142" s="49">
        <v>39.019500000000001</v>
      </c>
      <c r="AG142" s="49"/>
      <c r="AH142" s="49"/>
      <c r="AI142" s="64" t="s">
        <v>444</v>
      </c>
      <c r="AJ142" s="66"/>
      <c r="AK142" s="106">
        <f t="shared" si="69"/>
        <v>42.5</v>
      </c>
      <c r="AL142" s="342"/>
      <c r="AM142" s="535"/>
      <c r="AP142" s="18"/>
      <c r="AQ142" s="18"/>
      <c r="AR142" s="18"/>
    </row>
    <row r="143" spans="1:44">
      <c r="A143" s="15">
        <v>136</v>
      </c>
      <c r="B143" s="56" t="str">
        <f t="shared" si="70"/>
        <v>136 - Zwergrind - Milchkühe (7000 kg Milch) - Mist/Jauche</v>
      </c>
      <c r="C143" s="4" t="s">
        <v>445</v>
      </c>
      <c r="D143" s="53"/>
      <c r="E143" s="53"/>
      <c r="F143" s="53"/>
      <c r="G143" s="53">
        <v>12.3</v>
      </c>
      <c r="H143" s="122">
        <v>24.65</v>
      </c>
      <c r="I143" s="123">
        <v>0</v>
      </c>
      <c r="J143" s="53">
        <v>1.925</v>
      </c>
      <c r="K143" s="55">
        <v>3.75</v>
      </c>
      <c r="L143" s="61">
        <v>0.5</v>
      </c>
      <c r="M143" s="62">
        <v>1</v>
      </c>
      <c r="N143" s="123">
        <v>0</v>
      </c>
      <c r="O143" s="3">
        <v>0</v>
      </c>
      <c r="P143" s="3">
        <v>0</v>
      </c>
      <c r="Q143" s="54">
        <v>0.93500000000000005</v>
      </c>
      <c r="R143" s="124">
        <v>17.765000000000001</v>
      </c>
      <c r="S143" s="52">
        <v>0</v>
      </c>
      <c r="T143" s="54">
        <v>0</v>
      </c>
      <c r="U143" s="54">
        <v>0</v>
      </c>
      <c r="V143" s="54">
        <v>29.485500000000002</v>
      </c>
      <c r="W143" s="124">
        <v>59.8645</v>
      </c>
      <c r="X143" s="429"/>
      <c r="Y143" s="430"/>
      <c r="Z143" s="430"/>
      <c r="AA143" s="431"/>
      <c r="AB143" s="430"/>
      <c r="AC143" s="430"/>
      <c r="AD143" s="430"/>
      <c r="AE143" s="431"/>
      <c r="AF143" s="49"/>
      <c r="AG143" s="49">
        <v>10.701000000000001</v>
      </c>
      <c r="AH143" s="49">
        <v>22.4315</v>
      </c>
      <c r="AI143" s="64" t="s">
        <v>445</v>
      </c>
      <c r="AJ143" s="66"/>
      <c r="AK143" s="106">
        <f t="shared" si="69"/>
        <v>42.5</v>
      </c>
      <c r="AL143" s="342"/>
      <c r="AM143" s="535"/>
      <c r="AP143" s="18"/>
      <c r="AQ143" s="18"/>
      <c r="AR143" s="18"/>
    </row>
    <row r="144" spans="1:44">
      <c r="A144" s="15">
        <v>137</v>
      </c>
      <c r="B144" s="56" t="str">
        <f t="shared" si="70"/>
        <v>137 - Zwergrind - Milchkühe (7000 kg Milch) - Tiefstallmist</v>
      </c>
      <c r="C144" s="4" t="s">
        <v>446</v>
      </c>
      <c r="D144" s="53"/>
      <c r="E144" s="53"/>
      <c r="F144" s="53"/>
      <c r="G144" s="53"/>
      <c r="H144" s="122">
        <v>36.950000000000003</v>
      </c>
      <c r="I144" s="123">
        <v>0</v>
      </c>
      <c r="J144" s="53">
        <v>0</v>
      </c>
      <c r="K144" s="55">
        <v>6</v>
      </c>
      <c r="L144" s="61">
        <v>0.5</v>
      </c>
      <c r="M144" s="62">
        <v>1</v>
      </c>
      <c r="N144" s="123">
        <v>0</v>
      </c>
      <c r="O144" s="3">
        <v>0</v>
      </c>
      <c r="P144" s="3">
        <v>0</v>
      </c>
      <c r="Q144" s="54">
        <v>0</v>
      </c>
      <c r="R144" s="124">
        <v>18.7</v>
      </c>
      <c r="S144" s="52">
        <v>0</v>
      </c>
      <c r="T144" s="54">
        <v>0</v>
      </c>
      <c r="U144" s="54">
        <v>0</v>
      </c>
      <c r="V144" s="54">
        <v>0</v>
      </c>
      <c r="W144" s="124">
        <v>89.35</v>
      </c>
      <c r="X144" s="429"/>
      <c r="Y144" s="430"/>
      <c r="Z144" s="430"/>
      <c r="AA144" s="431"/>
      <c r="AB144" s="430"/>
      <c r="AC144" s="430"/>
      <c r="AD144" s="430"/>
      <c r="AE144" s="431"/>
      <c r="AF144" s="49"/>
      <c r="AG144" s="49"/>
      <c r="AH144" s="49">
        <v>33.624500000000005</v>
      </c>
      <c r="AI144" s="64" t="s">
        <v>446</v>
      </c>
      <c r="AJ144" s="66"/>
      <c r="AK144" s="106">
        <f t="shared" si="69"/>
        <v>42.5</v>
      </c>
      <c r="AL144" s="342"/>
      <c r="AM144" s="535"/>
      <c r="AP144" s="18"/>
      <c r="AQ144" s="18"/>
      <c r="AR144" s="18"/>
    </row>
    <row r="145" spans="1:44">
      <c r="A145" s="15">
        <v>138</v>
      </c>
      <c r="B145" s="56" t="str">
        <f t="shared" si="70"/>
        <v>138 - Zwergrind - Milchkühe (8000 kg Milch) - Gülle</v>
      </c>
      <c r="C145" s="4" t="s">
        <v>447</v>
      </c>
      <c r="D145" s="53">
        <v>48.65</v>
      </c>
      <c r="E145" s="53"/>
      <c r="F145" s="53"/>
      <c r="G145" s="53"/>
      <c r="H145" s="122"/>
      <c r="I145" s="123">
        <v>5.9749999999999996</v>
      </c>
      <c r="J145" s="53">
        <v>0</v>
      </c>
      <c r="K145" s="55">
        <v>0</v>
      </c>
      <c r="L145" s="61">
        <v>0.5</v>
      </c>
      <c r="M145" s="62">
        <v>1</v>
      </c>
      <c r="N145" s="123">
        <v>20.95</v>
      </c>
      <c r="O145" s="3">
        <v>0</v>
      </c>
      <c r="P145" s="3">
        <v>0</v>
      </c>
      <c r="Q145" s="54">
        <v>0</v>
      </c>
      <c r="R145" s="124">
        <v>0</v>
      </c>
      <c r="S145" s="52">
        <v>96.8</v>
      </c>
      <c r="T145" s="54">
        <v>0</v>
      </c>
      <c r="U145" s="54">
        <v>0</v>
      </c>
      <c r="V145" s="54">
        <v>0</v>
      </c>
      <c r="W145" s="124">
        <v>0</v>
      </c>
      <c r="X145" s="429"/>
      <c r="Y145" s="430"/>
      <c r="Z145" s="430"/>
      <c r="AA145" s="431"/>
      <c r="AB145" s="430"/>
      <c r="AC145" s="430"/>
      <c r="AD145" s="430"/>
      <c r="AE145" s="431"/>
      <c r="AF145" s="49">
        <v>42.325499999999998</v>
      </c>
      <c r="AG145" s="49"/>
      <c r="AH145" s="49"/>
      <c r="AI145" s="64" t="s">
        <v>447</v>
      </c>
      <c r="AJ145" s="66"/>
      <c r="AK145" s="106">
        <f t="shared" si="69"/>
        <v>42.5</v>
      </c>
      <c r="AL145" s="342"/>
      <c r="AM145" s="535"/>
      <c r="AP145" s="18"/>
      <c r="AQ145" s="18"/>
      <c r="AR145" s="18"/>
    </row>
    <row r="146" spans="1:44">
      <c r="A146" s="15">
        <v>139</v>
      </c>
      <c r="B146" s="56" t="str">
        <f t="shared" si="70"/>
        <v>139 - Zwergrind - Milchkühe (8000 kg Milch) - Mist/Jauche</v>
      </c>
      <c r="C146" s="4" t="s">
        <v>448</v>
      </c>
      <c r="D146" s="53"/>
      <c r="E146" s="53"/>
      <c r="F146" s="53"/>
      <c r="G146" s="53">
        <v>13.35</v>
      </c>
      <c r="H146" s="122">
        <v>26.75</v>
      </c>
      <c r="I146" s="123">
        <v>0</v>
      </c>
      <c r="J146" s="53">
        <v>1.9750000000000001</v>
      </c>
      <c r="K146" s="55">
        <v>3.8</v>
      </c>
      <c r="L146" s="61">
        <v>0.5</v>
      </c>
      <c r="M146" s="62">
        <v>1</v>
      </c>
      <c r="N146" s="123">
        <v>0</v>
      </c>
      <c r="O146" s="3">
        <v>0</v>
      </c>
      <c r="P146" s="3">
        <v>0</v>
      </c>
      <c r="Q146" s="54">
        <v>1.0475000000000001</v>
      </c>
      <c r="R146" s="124">
        <v>19.9025</v>
      </c>
      <c r="S146" s="52">
        <v>0</v>
      </c>
      <c r="T146" s="54">
        <v>0</v>
      </c>
      <c r="U146" s="54">
        <v>0</v>
      </c>
      <c r="V146" s="54">
        <v>31.943999999999999</v>
      </c>
      <c r="W146" s="124">
        <v>64.855999999999995</v>
      </c>
      <c r="X146" s="429"/>
      <c r="Y146" s="430"/>
      <c r="Z146" s="430"/>
      <c r="AA146" s="431"/>
      <c r="AB146" s="430"/>
      <c r="AC146" s="430"/>
      <c r="AD146" s="430"/>
      <c r="AE146" s="431"/>
      <c r="AF146" s="49"/>
      <c r="AG146" s="49">
        <v>11.6145</v>
      </c>
      <c r="AH146" s="49">
        <v>24.342500000000001</v>
      </c>
      <c r="AI146" s="64" t="s">
        <v>448</v>
      </c>
      <c r="AJ146" s="66"/>
      <c r="AK146" s="106">
        <f t="shared" si="69"/>
        <v>42.5</v>
      </c>
      <c r="AL146" s="342"/>
      <c r="AM146" s="535"/>
      <c r="AP146" s="18"/>
      <c r="AQ146" s="18"/>
      <c r="AR146" s="18"/>
    </row>
    <row r="147" spans="1:44">
      <c r="A147" s="15">
        <v>140</v>
      </c>
      <c r="B147" s="56" t="str">
        <f t="shared" si="70"/>
        <v>140 - Zwergrind - Milchkühe (8000 kg Milch) - Tiefstallmist</v>
      </c>
      <c r="C147" s="4" t="s">
        <v>449</v>
      </c>
      <c r="D147" s="53"/>
      <c r="E147" s="53"/>
      <c r="F147" s="53"/>
      <c r="G147" s="53"/>
      <c r="H147" s="122">
        <v>40.1</v>
      </c>
      <c r="I147" s="123">
        <v>0</v>
      </c>
      <c r="J147" s="53">
        <v>0</v>
      </c>
      <c r="K147" s="55">
        <v>6.15</v>
      </c>
      <c r="L147" s="61">
        <v>0.5</v>
      </c>
      <c r="M147" s="62">
        <v>1</v>
      </c>
      <c r="N147" s="123">
        <v>0</v>
      </c>
      <c r="O147" s="3">
        <v>0</v>
      </c>
      <c r="P147" s="3">
        <v>0</v>
      </c>
      <c r="Q147" s="54">
        <v>0</v>
      </c>
      <c r="R147" s="124">
        <v>20.95</v>
      </c>
      <c r="S147" s="52">
        <v>0</v>
      </c>
      <c r="T147" s="54">
        <v>0</v>
      </c>
      <c r="U147" s="54">
        <v>0</v>
      </c>
      <c r="V147" s="54">
        <v>0</v>
      </c>
      <c r="W147" s="124">
        <v>96.8</v>
      </c>
      <c r="X147" s="429"/>
      <c r="Y147" s="430"/>
      <c r="Z147" s="430"/>
      <c r="AA147" s="431"/>
      <c r="AB147" s="430"/>
      <c r="AC147" s="430"/>
      <c r="AD147" s="430"/>
      <c r="AE147" s="431"/>
      <c r="AF147" s="49"/>
      <c r="AG147" s="49"/>
      <c r="AH147" s="49">
        <v>36.491</v>
      </c>
      <c r="AI147" s="64" t="s">
        <v>449</v>
      </c>
      <c r="AJ147" s="66"/>
      <c r="AK147" s="106">
        <f t="shared" si="69"/>
        <v>42.5</v>
      </c>
      <c r="AL147" s="342"/>
      <c r="AM147" s="535"/>
      <c r="AP147" s="18"/>
      <c r="AQ147" s="18"/>
      <c r="AR147" s="18"/>
    </row>
    <row r="148" spans="1:44">
      <c r="A148" s="15">
        <v>141</v>
      </c>
      <c r="B148" s="56" t="str">
        <f t="shared" si="70"/>
        <v>141 - Zwergrind - Milchkühe (9000 kg Milch) - Gülle</v>
      </c>
      <c r="C148" s="4" t="s">
        <v>450</v>
      </c>
      <c r="D148" s="53">
        <v>52.5</v>
      </c>
      <c r="E148" s="53"/>
      <c r="F148" s="53"/>
      <c r="G148" s="53"/>
      <c r="H148" s="122"/>
      <c r="I148" s="123">
        <v>6.15</v>
      </c>
      <c r="J148" s="53">
        <v>0</v>
      </c>
      <c r="K148" s="55">
        <v>0</v>
      </c>
      <c r="L148" s="61">
        <v>0.5</v>
      </c>
      <c r="M148" s="62">
        <v>1</v>
      </c>
      <c r="N148" s="123">
        <v>23.25</v>
      </c>
      <c r="O148" s="3">
        <v>0</v>
      </c>
      <c r="P148" s="3">
        <v>0</v>
      </c>
      <c r="Q148" s="54">
        <v>0</v>
      </c>
      <c r="R148" s="124">
        <v>0</v>
      </c>
      <c r="S148" s="52">
        <v>104.25</v>
      </c>
      <c r="T148" s="54">
        <v>0</v>
      </c>
      <c r="U148" s="54">
        <v>0</v>
      </c>
      <c r="V148" s="54">
        <v>0</v>
      </c>
      <c r="W148" s="124">
        <v>0</v>
      </c>
      <c r="X148" s="429"/>
      <c r="Y148" s="430"/>
      <c r="Z148" s="430"/>
      <c r="AA148" s="431"/>
      <c r="AB148" s="430"/>
      <c r="AC148" s="430"/>
      <c r="AD148" s="430"/>
      <c r="AE148" s="431"/>
      <c r="AF148" s="49">
        <v>45.674999999999997</v>
      </c>
      <c r="AG148" s="49"/>
      <c r="AH148" s="49"/>
      <c r="AI148" s="64" t="s">
        <v>450</v>
      </c>
      <c r="AJ148" s="66"/>
      <c r="AK148" s="106">
        <f t="shared" si="69"/>
        <v>42.5</v>
      </c>
      <c r="AL148" s="342"/>
      <c r="AM148" s="535"/>
      <c r="AP148" s="18"/>
      <c r="AQ148" s="18"/>
      <c r="AR148" s="18"/>
    </row>
    <row r="149" spans="1:44">
      <c r="A149" s="15">
        <v>142</v>
      </c>
      <c r="B149" s="56" t="str">
        <f t="shared" si="70"/>
        <v>142 - Zwergrind - Milchkühe (9000 kg Milch) - Mist/Jauche</v>
      </c>
      <c r="C149" s="4" t="s">
        <v>451</v>
      </c>
      <c r="D149" s="53"/>
      <c r="E149" s="53"/>
      <c r="F149" s="53"/>
      <c r="G149" s="53">
        <v>14.4</v>
      </c>
      <c r="H149" s="122">
        <v>28.85</v>
      </c>
      <c r="I149" s="123">
        <v>0</v>
      </c>
      <c r="J149" s="53">
        <v>2.0249999999999999</v>
      </c>
      <c r="K149" s="55">
        <v>3.95</v>
      </c>
      <c r="L149" s="61">
        <v>0.5</v>
      </c>
      <c r="M149" s="62">
        <v>1</v>
      </c>
      <c r="N149" s="123">
        <v>0</v>
      </c>
      <c r="O149" s="3">
        <v>0</v>
      </c>
      <c r="P149" s="3">
        <v>0</v>
      </c>
      <c r="Q149" s="54">
        <v>1.1625000000000001</v>
      </c>
      <c r="R149" s="124">
        <v>22.087499999999999</v>
      </c>
      <c r="S149" s="52">
        <v>0</v>
      </c>
      <c r="T149" s="54">
        <v>0</v>
      </c>
      <c r="U149" s="54">
        <v>0</v>
      </c>
      <c r="V149" s="54">
        <v>34.402500000000003</v>
      </c>
      <c r="W149" s="124">
        <v>69.847499999999997</v>
      </c>
      <c r="X149" s="429"/>
      <c r="Y149" s="430"/>
      <c r="Z149" s="430"/>
      <c r="AA149" s="431"/>
      <c r="AB149" s="430"/>
      <c r="AC149" s="430"/>
      <c r="AD149" s="430"/>
      <c r="AE149" s="431"/>
      <c r="AF149" s="49"/>
      <c r="AG149" s="49">
        <v>12.528</v>
      </c>
      <c r="AH149" s="49">
        <v>26.253500000000003</v>
      </c>
      <c r="AI149" s="64" t="s">
        <v>451</v>
      </c>
      <c r="AJ149" s="66"/>
      <c r="AK149" s="106">
        <f t="shared" si="69"/>
        <v>42.5</v>
      </c>
      <c r="AL149" s="342"/>
      <c r="AM149" s="535"/>
      <c r="AP149" s="18"/>
      <c r="AQ149" s="18"/>
      <c r="AR149" s="18"/>
    </row>
    <row r="150" spans="1:44">
      <c r="A150" s="15">
        <v>143</v>
      </c>
      <c r="B150" s="56" t="str">
        <f t="shared" si="70"/>
        <v>143 - Zwergrind - Milchkühe (9000 kg Milch) - Tiefstallmist</v>
      </c>
      <c r="C150" s="4" t="s">
        <v>452</v>
      </c>
      <c r="D150" s="53"/>
      <c r="E150" s="53"/>
      <c r="F150" s="53"/>
      <c r="G150" s="53"/>
      <c r="H150" s="122">
        <v>43.25</v>
      </c>
      <c r="I150" s="123">
        <v>0</v>
      </c>
      <c r="J150" s="53">
        <v>0</v>
      </c>
      <c r="K150" s="55">
        <v>6.3</v>
      </c>
      <c r="L150" s="61">
        <v>0.5</v>
      </c>
      <c r="M150" s="62">
        <v>1</v>
      </c>
      <c r="N150" s="123">
        <v>0</v>
      </c>
      <c r="O150" s="3">
        <v>0</v>
      </c>
      <c r="P150" s="3">
        <v>0</v>
      </c>
      <c r="Q150" s="54">
        <v>0</v>
      </c>
      <c r="R150" s="124">
        <v>23.25</v>
      </c>
      <c r="S150" s="52">
        <v>0</v>
      </c>
      <c r="T150" s="54">
        <v>0</v>
      </c>
      <c r="U150" s="54">
        <v>0</v>
      </c>
      <c r="V150" s="54">
        <v>0</v>
      </c>
      <c r="W150" s="124">
        <v>104.25</v>
      </c>
      <c r="X150" s="429"/>
      <c r="Y150" s="430"/>
      <c r="Z150" s="430"/>
      <c r="AA150" s="431"/>
      <c r="AB150" s="430"/>
      <c r="AC150" s="430"/>
      <c r="AD150" s="430"/>
      <c r="AE150" s="431"/>
      <c r="AF150" s="49"/>
      <c r="AG150" s="49"/>
      <c r="AH150" s="49">
        <v>39.357500000000002</v>
      </c>
      <c r="AI150" s="64" t="s">
        <v>452</v>
      </c>
      <c r="AJ150" s="66"/>
      <c r="AK150" s="106">
        <f t="shared" si="69"/>
        <v>42.5</v>
      </c>
      <c r="AL150" s="342"/>
      <c r="AM150" s="535"/>
      <c r="AP150" s="18"/>
      <c r="AQ150" s="18"/>
      <c r="AR150" s="18"/>
    </row>
    <row r="151" spans="1:44">
      <c r="A151" s="15">
        <v>144</v>
      </c>
      <c r="B151" s="56" t="str">
        <f t="shared" si="70"/>
        <v>144 - Zwergrind - Milchkühe (&gt; 10.000 kg Milch) - Gülle</v>
      </c>
      <c r="C151" s="4" t="s">
        <v>453</v>
      </c>
      <c r="D151" s="53">
        <v>56.3</v>
      </c>
      <c r="E151" s="53"/>
      <c r="F151" s="53"/>
      <c r="G151" s="53"/>
      <c r="H151" s="122"/>
      <c r="I151" s="123">
        <v>6.35</v>
      </c>
      <c r="J151" s="53">
        <v>0</v>
      </c>
      <c r="K151" s="55">
        <v>0</v>
      </c>
      <c r="L151" s="61">
        <v>0.5</v>
      </c>
      <c r="M151" s="62">
        <v>1</v>
      </c>
      <c r="N151" s="123">
        <v>25.55</v>
      </c>
      <c r="O151" s="3">
        <v>0</v>
      </c>
      <c r="P151" s="3">
        <v>0</v>
      </c>
      <c r="Q151" s="54">
        <v>0</v>
      </c>
      <c r="R151" s="124">
        <v>0</v>
      </c>
      <c r="S151" s="52">
        <v>111.7</v>
      </c>
      <c r="T151" s="54">
        <v>0</v>
      </c>
      <c r="U151" s="54">
        <v>0</v>
      </c>
      <c r="V151" s="54">
        <v>0</v>
      </c>
      <c r="W151" s="124">
        <v>0</v>
      </c>
      <c r="X151" s="429"/>
      <c r="Y151" s="430"/>
      <c r="Z151" s="430"/>
      <c r="AA151" s="431"/>
      <c r="AB151" s="430"/>
      <c r="AC151" s="430"/>
      <c r="AD151" s="430"/>
      <c r="AE151" s="431"/>
      <c r="AF151" s="49">
        <v>48.980999999999995</v>
      </c>
      <c r="AG151" s="49"/>
      <c r="AH151" s="49"/>
      <c r="AI151" s="64" t="s">
        <v>453</v>
      </c>
      <c r="AJ151" s="66"/>
      <c r="AK151" s="106">
        <f t="shared" si="69"/>
        <v>42.5</v>
      </c>
      <c r="AL151" s="342"/>
      <c r="AM151" s="535"/>
      <c r="AP151" s="18"/>
      <c r="AQ151" s="18"/>
      <c r="AR151" s="18"/>
    </row>
    <row r="152" spans="1:44">
      <c r="A152" s="15">
        <v>145</v>
      </c>
      <c r="B152" s="56" t="str">
        <f t="shared" si="70"/>
        <v>145 - Zwergrind - Milchkühe (&gt; 10.000 kg Milch) - Mist/Jauche</v>
      </c>
      <c r="C152" s="4" t="s">
        <v>454</v>
      </c>
      <c r="D152" s="53"/>
      <c r="E152" s="53"/>
      <c r="F152" s="53"/>
      <c r="G152" s="53">
        <v>15.45</v>
      </c>
      <c r="H152" s="122">
        <v>30.95</v>
      </c>
      <c r="I152" s="123">
        <v>0</v>
      </c>
      <c r="J152" s="53">
        <v>2.1</v>
      </c>
      <c r="K152" s="55">
        <v>4.05</v>
      </c>
      <c r="L152" s="61">
        <v>0.5</v>
      </c>
      <c r="M152" s="62">
        <v>1</v>
      </c>
      <c r="N152" s="123">
        <v>0</v>
      </c>
      <c r="O152" s="3">
        <v>0</v>
      </c>
      <c r="P152" s="3">
        <v>0</v>
      </c>
      <c r="Q152" s="54">
        <v>1.2775000000000001</v>
      </c>
      <c r="R152" s="124">
        <v>24.272500000000001</v>
      </c>
      <c r="S152" s="52">
        <v>0</v>
      </c>
      <c r="T152" s="54">
        <v>0</v>
      </c>
      <c r="U152" s="54">
        <v>0</v>
      </c>
      <c r="V152" s="54">
        <v>36.860999999999997</v>
      </c>
      <c r="W152" s="124">
        <v>74.838999999999999</v>
      </c>
      <c r="X152" s="429"/>
      <c r="Y152" s="430"/>
      <c r="Z152" s="430"/>
      <c r="AA152" s="431"/>
      <c r="AB152" s="430"/>
      <c r="AC152" s="430"/>
      <c r="AD152" s="430"/>
      <c r="AE152" s="431"/>
      <c r="AF152" s="49"/>
      <c r="AG152" s="49">
        <v>13.4415</v>
      </c>
      <c r="AH152" s="49">
        <v>28.1645</v>
      </c>
      <c r="AI152" s="64" t="s">
        <v>454</v>
      </c>
      <c r="AJ152" s="66"/>
      <c r="AK152" s="106">
        <f t="shared" si="69"/>
        <v>42.5</v>
      </c>
      <c r="AL152" s="342"/>
      <c r="AM152" s="535"/>
      <c r="AP152" s="18"/>
      <c r="AQ152" s="18"/>
      <c r="AR152" s="18"/>
    </row>
    <row r="153" spans="1:44" ht="13.5" thickBot="1">
      <c r="A153" s="15">
        <v>146</v>
      </c>
      <c r="B153" s="56" t="str">
        <f t="shared" si="70"/>
        <v>146 - Zwergrind - Milchkühe (&gt; 10.000 kg Milch) - Tiefstallmist</v>
      </c>
      <c r="C153" s="4" t="s">
        <v>455</v>
      </c>
      <c r="D153" s="53"/>
      <c r="E153" s="53"/>
      <c r="F153" s="53"/>
      <c r="G153" s="53"/>
      <c r="H153" s="122">
        <v>46.4</v>
      </c>
      <c r="I153" s="123">
        <v>0</v>
      </c>
      <c r="J153" s="53">
        <v>0</v>
      </c>
      <c r="K153" s="55">
        <v>6.5</v>
      </c>
      <c r="L153" s="61">
        <v>0.5</v>
      </c>
      <c r="M153" s="62">
        <v>1</v>
      </c>
      <c r="N153" s="123">
        <v>0</v>
      </c>
      <c r="O153" s="3">
        <v>0</v>
      </c>
      <c r="P153" s="3">
        <v>0</v>
      </c>
      <c r="Q153" s="54">
        <v>0</v>
      </c>
      <c r="R153" s="124">
        <v>25.55</v>
      </c>
      <c r="S153" s="52">
        <v>0</v>
      </c>
      <c r="T153" s="54">
        <v>0</v>
      </c>
      <c r="U153" s="54">
        <v>0</v>
      </c>
      <c r="V153" s="54">
        <v>0</v>
      </c>
      <c r="W153" s="124">
        <v>111.7</v>
      </c>
      <c r="X153" s="429"/>
      <c r="Y153" s="430"/>
      <c r="Z153" s="430"/>
      <c r="AA153" s="431"/>
      <c r="AB153" s="430"/>
      <c r="AC153" s="430"/>
      <c r="AD153" s="430"/>
      <c r="AE153" s="431"/>
      <c r="AF153" s="49"/>
      <c r="AG153" s="49"/>
      <c r="AH153" s="49">
        <v>42.223999999999997</v>
      </c>
      <c r="AI153" s="64" t="s">
        <v>455</v>
      </c>
      <c r="AJ153" s="66"/>
      <c r="AK153" s="106">
        <f t="shared" si="69"/>
        <v>42.5</v>
      </c>
      <c r="AL153" s="342"/>
      <c r="AM153" s="535"/>
      <c r="AP153" s="18"/>
      <c r="AQ153" s="18"/>
      <c r="AR153" s="18"/>
    </row>
    <row r="154" spans="1:44" ht="13.5" thickBot="1">
      <c r="A154"/>
      <c r="B154" s="20"/>
      <c r="C154" s="101"/>
      <c r="D154" s="23">
        <v>3</v>
      </c>
      <c r="E154" s="23">
        <v>4</v>
      </c>
      <c r="F154" s="23">
        <v>5</v>
      </c>
      <c r="G154" s="23">
        <v>6</v>
      </c>
      <c r="H154" s="28">
        <v>7</v>
      </c>
      <c r="I154" s="24">
        <v>8</v>
      </c>
      <c r="J154" s="25">
        <v>9</v>
      </c>
      <c r="K154" s="26">
        <v>10</v>
      </c>
      <c r="L154" s="24">
        <v>14</v>
      </c>
      <c r="M154" s="26">
        <v>15</v>
      </c>
      <c r="N154" s="24"/>
      <c r="O154" s="25"/>
      <c r="P154" s="25"/>
      <c r="Q154" s="25"/>
      <c r="R154" s="26"/>
      <c r="S154" s="24"/>
      <c r="T154" s="25"/>
      <c r="U154" s="25"/>
      <c r="V154" s="25"/>
      <c r="W154" s="26"/>
      <c r="X154" s="421"/>
      <c r="Y154" s="422"/>
      <c r="Z154" s="422"/>
      <c r="AA154" s="422"/>
      <c r="AB154" s="422"/>
      <c r="AC154" s="422"/>
      <c r="AD154" s="422"/>
      <c r="AE154" s="423"/>
      <c r="AF154" s="24">
        <v>11</v>
      </c>
      <c r="AG154" s="25">
        <v>12</v>
      </c>
      <c r="AH154" s="26">
        <v>13</v>
      </c>
      <c r="AI154" s="102"/>
      <c r="AJ154" s="105"/>
      <c r="AK154" s="106"/>
      <c r="AL154" s="342"/>
      <c r="AM154" s="535"/>
      <c r="AP154" s="18"/>
      <c r="AQ154" s="18"/>
      <c r="AR154" s="18"/>
    </row>
    <row r="155" spans="1:44">
      <c r="A155"/>
      <c r="B155" s="375"/>
      <c r="C155" s="375"/>
      <c r="D155" s="531"/>
      <c r="E155" s="531"/>
      <c r="F155" s="531"/>
      <c r="G155" s="531"/>
      <c r="H155" s="531"/>
      <c r="I155" s="532"/>
      <c r="J155" s="532"/>
      <c r="K155" s="532"/>
      <c r="L155" s="532"/>
      <c r="M155" s="532"/>
      <c r="N155" s="532" t="s">
        <v>456</v>
      </c>
      <c r="O155" s="532"/>
      <c r="P155" s="532"/>
      <c r="Q155" s="532"/>
      <c r="R155" s="532"/>
      <c r="S155" s="532"/>
      <c r="T155" s="532"/>
      <c r="U155" s="532"/>
      <c r="V155" s="532"/>
      <c r="W155" s="532"/>
      <c r="X155" s="532"/>
      <c r="Y155" s="532"/>
      <c r="Z155" s="532"/>
      <c r="AA155" s="532"/>
      <c r="AB155" s="532"/>
      <c r="AC155" s="532"/>
      <c r="AD155" s="532"/>
      <c r="AE155" s="532"/>
      <c r="AF155" s="532"/>
      <c r="AG155" s="532"/>
      <c r="AH155" s="532"/>
      <c r="AI155" s="533"/>
      <c r="AJ155" s="18"/>
      <c r="AK155" s="126"/>
      <c r="AL155" s="342"/>
      <c r="AM155" s="535"/>
      <c r="AP155" s="18"/>
      <c r="AQ155" s="18"/>
      <c r="AR155" s="18"/>
    </row>
    <row r="156" spans="1:44" ht="13.5" thickBot="1">
      <c r="A156" s="342"/>
      <c r="B156" s="172"/>
      <c r="C156" s="172"/>
      <c r="D156" s="498"/>
      <c r="E156" s="498"/>
      <c r="F156" s="498"/>
      <c r="G156" s="498"/>
      <c r="H156" s="498"/>
      <c r="I156" s="519"/>
      <c r="J156" s="519"/>
      <c r="K156" s="519"/>
      <c r="L156" s="519"/>
      <c r="M156" s="519"/>
      <c r="N156" s="519"/>
      <c r="O156" s="519"/>
      <c r="P156" s="519"/>
      <c r="Q156" s="519"/>
      <c r="R156" s="519"/>
      <c r="S156" s="519"/>
      <c r="T156" s="519"/>
      <c r="U156" s="519"/>
      <c r="V156" s="519"/>
      <c r="W156" s="519"/>
      <c r="X156" s="519"/>
      <c r="Y156" s="519"/>
      <c r="Z156" s="519"/>
      <c r="AA156" s="519"/>
      <c r="AB156" s="519"/>
      <c r="AC156" s="519"/>
      <c r="AD156" s="519"/>
      <c r="AE156" s="519"/>
      <c r="AF156" s="519"/>
      <c r="AG156" s="519"/>
      <c r="AH156" s="519"/>
      <c r="AI156" s="519"/>
      <c r="AJ156" s="534"/>
      <c r="AK156" s="17"/>
      <c r="AL156" s="342"/>
      <c r="AM156" s="535"/>
      <c r="AP156" s="18"/>
      <c r="AQ156" s="18"/>
      <c r="AR156" s="18"/>
    </row>
    <row r="157" spans="1:44" ht="42.75" customHeight="1">
      <c r="A157"/>
      <c r="B157" s="479"/>
      <c r="C157" s="480" t="s">
        <v>457</v>
      </c>
      <c r="D157" s="481" t="s">
        <v>109</v>
      </c>
      <c r="E157" s="482" t="s">
        <v>458</v>
      </c>
      <c r="F157" s="481" t="s">
        <v>261</v>
      </c>
      <c r="G157" s="483" t="s">
        <v>459</v>
      </c>
      <c r="H157" s="484" t="s">
        <v>460</v>
      </c>
      <c r="I157" s="485" t="s">
        <v>113</v>
      </c>
      <c r="J157" s="486" t="s">
        <v>114</v>
      </c>
      <c r="K157" s="487" t="s">
        <v>461</v>
      </c>
      <c r="L157" s="481" t="s">
        <v>462</v>
      </c>
      <c r="M157" s="1396" t="s">
        <v>463</v>
      </c>
      <c r="N157" s="1400" t="s">
        <v>464</v>
      </c>
      <c r="O157" s="1401" t="s">
        <v>465</v>
      </c>
      <c r="P157" s="1402" t="s">
        <v>466</v>
      </c>
      <c r="Q157" s="1369"/>
      <c r="R157" s="172"/>
      <c r="S157" s="127" t="s">
        <v>467</v>
      </c>
      <c r="T157" s="42"/>
      <c r="U157" s="128" t="s">
        <v>109</v>
      </c>
      <c r="V157" s="128" t="s">
        <v>468</v>
      </c>
      <c r="W157" s="129" t="s">
        <v>458</v>
      </c>
      <c r="X157" s="130" t="s">
        <v>261</v>
      </c>
      <c r="Y157" s="131" t="s">
        <v>469</v>
      </c>
      <c r="Z157" s="132" t="s">
        <v>470</v>
      </c>
      <c r="AA157" s="133" t="s">
        <v>471</v>
      </c>
      <c r="AB157" s="134" t="s">
        <v>472</v>
      </c>
      <c r="AC157" s="130" t="s">
        <v>461</v>
      </c>
      <c r="AD157" s="135" t="s">
        <v>462</v>
      </c>
      <c r="AE157" s="131" t="s">
        <v>463</v>
      </c>
      <c r="AF157" s="522" t="s">
        <v>464</v>
      </c>
      <c r="AG157" s="523" t="s">
        <v>465</v>
      </c>
      <c r="AH157" s="524" t="s">
        <v>466</v>
      </c>
      <c r="AI157" s="80"/>
      <c r="AJ157" s="18"/>
      <c r="AK157"/>
      <c r="AO157" s="18"/>
      <c r="AQ157" s="18"/>
      <c r="AR157" s="18"/>
    </row>
    <row r="158" spans="1:44">
      <c r="A158"/>
      <c r="B158" s="458"/>
      <c r="C158" s="488">
        <v>1</v>
      </c>
      <c r="D158" s="489">
        <v>2</v>
      </c>
      <c r="E158" s="488">
        <v>3</v>
      </c>
      <c r="F158" s="489">
        <v>4</v>
      </c>
      <c r="G158" s="488">
        <v>5</v>
      </c>
      <c r="H158" s="489">
        <v>6</v>
      </c>
      <c r="I158" s="488">
        <v>7</v>
      </c>
      <c r="J158" s="489">
        <v>8</v>
      </c>
      <c r="K158" s="488">
        <v>9</v>
      </c>
      <c r="L158" s="489">
        <v>10</v>
      </c>
      <c r="M158" s="1397">
        <v>11</v>
      </c>
      <c r="N158" s="1403">
        <v>12</v>
      </c>
      <c r="O158" s="1404">
        <v>13</v>
      </c>
      <c r="P158" s="1405">
        <v>14</v>
      </c>
      <c r="Q158" s="1369"/>
      <c r="R158" s="172"/>
      <c r="S158"/>
      <c r="T158" s="18">
        <v>1</v>
      </c>
      <c r="U158" s="18">
        <v>2</v>
      </c>
      <c r="V158" s="18">
        <v>3</v>
      </c>
      <c r="W158" s="91">
        <v>4</v>
      </c>
      <c r="X158" s="18">
        <v>5</v>
      </c>
      <c r="Y158" s="18">
        <v>6</v>
      </c>
      <c r="Z158" s="67">
        <v>7</v>
      </c>
      <c r="AA158" s="68">
        <v>8</v>
      </c>
      <c r="AB158" s="69">
        <v>9</v>
      </c>
      <c r="AC158" s="18">
        <v>10</v>
      </c>
      <c r="AD158" s="18">
        <v>11</v>
      </c>
      <c r="AE158" s="18">
        <v>12</v>
      </c>
      <c r="AF158" s="525"/>
      <c r="AG158" s="526"/>
      <c r="AH158" s="527"/>
      <c r="AI158" s="80"/>
      <c r="AJ158" s="18"/>
      <c r="AK158"/>
      <c r="AO158" s="18"/>
      <c r="AQ158" s="18"/>
      <c r="AR158" s="18"/>
    </row>
    <row r="159" spans="1:44">
      <c r="A159"/>
      <c r="B159" s="458"/>
      <c r="C159" s="488" t="str">
        <f>IF(ISBLANK(Hofdung!C14),Hofdung!B14,Hofdung!C14)</f>
        <v>Gülle/Jauche Grube 1</v>
      </c>
      <c r="D159" s="30">
        <f>Hofdung!G14</f>
        <v>0</v>
      </c>
      <c r="E159" s="30">
        <f>Hofdung!G14-Hofdung!H14</f>
        <v>0</v>
      </c>
      <c r="F159" s="490">
        <f>Hofdung!I14</f>
        <v>0</v>
      </c>
      <c r="G159" s="491">
        <f>Hofdung!J14</f>
        <v>0</v>
      </c>
      <c r="H159" s="492">
        <f>Hofdung!K14</f>
        <v>0</v>
      </c>
      <c r="I159" s="490">
        <f>Hofdung!L14</f>
        <v>0</v>
      </c>
      <c r="J159" s="493">
        <f>Hofdung!M14</f>
        <v>0</v>
      </c>
      <c r="K159" s="494">
        <f>Hofdung!N14</f>
        <v>0</v>
      </c>
      <c r="L159" s="490">
        <f>Hofdung!O14</f>
        <v>1</v>
      </c>
      <c r="M159" s="1398" t="str">
        <f>Hofdung!P14</f>
        <v>WD</v>
      </c>
      <c r="N159" s="1406">
        <f t="shared" ref="N159:N174" si="71">$E159*H159</f>
        <v>0</v>
      </c>
      <c r="O159" s="1407">
        <f t="shared" ref="O159:O174" si="72">$E159*I159</f>
        <v>0</v>
      </c>
      <c r="P159" s="1408">
        <f t="shared" ref="P159:P174" si="73">$E159*J159</f>
        <v>0</v>
      </c>
      <c r="Q159" s="1369"/>
      <c r="R159" s="172"/>
      <c r="S159" s="86"/>
      <c r="T159" s="136">
        <f>'meine Dünger'!C5</f>
        <v>0</v>
      </c>
      <c r="U159" s="137">
        <f t="shared" ref="U159:U171" si="74">IF($T159=0,0,VLOOKUP($T159,$C$158:$P$201,2,0))</f>
        <v>0</v>
      </c>
      <c r="V159" s="138">
        <f t="shared" ref="V159:V171" si="75">IF(ISNA($U159),0,U159)</f>
        <v>0</v>
      </c>
      <c r="W159" s="139">
        <f t="shared" ref="W159:W171" si="76">IF($V159=0,0,VLOOKUP($T159,$C$158:$P$201,3,0))</f>
        <v>0</v>
      </c>
      <c r="X159" s="137">
        <f t="shared" ref="X159:X171" si="77">IF($V159=0,0,VLOOKUP($T159,$C$158:$P$201,4,0))</f>
        <v>0</v>
      </c>
      <c r="Y159" s="138">
        <f t="shared" ref="Y159:Y171" si="78">IF($V159=0,0,VLOOKUP($T159,$C$158:$P$201,5,0))</f>
        <v>0</v>
      </c>
      <c r="Z159" s="140">
        <f t="shared" ref="Z159:Z171" si="79">IF($V159=0,0,VLOOKUP($T159,$C$158:$P$201,6,0))</f>
        <v>0</v>
      </c>
      <c r="AA159" s="141">
        <f t="shared" ref="AA159:AA171" si="80">IF($V159=0,0,VLOOKUP($T159,$C$158:$P$201,7,0))</f>
        <v>0</v>
      </c>
      <c r="AB159" s="142">
        <f t="shared" ref="AB159:AB171" si="81">IF($V159=0,0,VLOOKUP($T159,$C$158:$P$201,8,0))</f>
        <v>0</v>
      </c>
      <c r="AC159" s="138">
        <f t="shared" ref="AC159:AC171" si="82">IF($V159=0,0,VLOOKUP($T159,$C$158:$P$201,9,0))</f>
        <v>0</v>
      </c>
      <c r="AD159" s="143">
        <f t="shared" ref="AD159:AD171" si="83">IF($V159=0,0,VLOOKUP($T159,$C$158:$P$201,10,0))</f>
        <v>0</v>
      </c>
      <c r="AE159" s="138">
        <f t="shared" ref="AE159:AE171" si="84">IF($V159=0,0,VLOOKUP($T159,$C$158:$P$201,11,0))</f>
        <v>0</v>
      </c>
      <c r="AF159" s="528">
        <f t="shared" ref="AF159:AF171" si="85">$W159*Z159</f>
        <v>0</v>
      </c>
      <c r="AG159" s="529">
        <f t="shared" ref="AG159:AG171" si="86">$W159*AA159</f>
        <v>0</v>
      </c>
      <c r="AH159" s="530">
        <f t="shared" ref="AH159:AH171" si="87">$W159*AB159</f>
        <v>0</v>
      </c>
      <c r="AI159" s="80"/>
      <c r="AJ159" s="18"/>
      <c r="AK159"/>
      <c r="AO159" s="18"/>
      <c r="AQ159" s="18"/>
      <c r="AR159" s="18"/>
    </row>
    <row r="160" spans="1:44">
      <c r="A160"/>
      <c r="B160" s="458"/>
      <c r="C160" s="488" t="str">
        <f>IF(ISBLANK(Hofdung!C15),Hofdung!B15,Hofdung!C15)</f>
        <v>Gülle/Jauche Grube 2</v>
      </c>
      <c r="D160" s="30">
        <f>Hofdung!G15</f>
        <v>0</v>
      </c>
      <c r="E160" s="30">
        <f>Hofdung!G15-Hofdung!H15</f>
        <v>0</v>
      </c>
      <c r="F160" s="490">
        <f>Hofdung!I15</f>
        <v>0</v>
      </c>
      <c r="G160" s="491">
        <f>Hofdung!J15</f>
        <v>0</v>
      </c>
      <c r="H160" s="492">
        <f>Hofdung!K15</f>
        <v>0</v>
      </c>
      <c r="I160" s="490">
        <f>Hofdung!L15</f>
        <v>0</v>
      </c>
      <c r="J160" s="493">
        <f>Hofdung!M15</f>
        <v>0</v>
      </c>
      <c r="K160" s="494">
        <f>Hofdung!N15</f>
        <v>0</v>
      </c>
      <c r="L160" s="490">
        <f>Hofdung!O15</f>
        <v>1</v>
      </c>
      <c r="M160" s="1399" t="s">
        <v>473</v>
      </c>
      <c r="N160" s="1406">
        <f t="shared" si="71"/>
        <v>0</v>
      </c>
      <c r="O160" s="1407">
        <f t="shared" si="72"/>
        <v>0</v>
      </c>
      <c r="P160" s="1408">
        <f t="shared" si="73"/>
        <v>0</v>
      </c>
      <c r="Q160" s="1369"/>
      <c r="R160" s="172"/>
      <c r="S160" s="86"/>
      <c r="T160" s="136">
        <f>'meine Dünger'!C6</f>
        <v>0</v>
      </c>
      <c r="U160" s="137">
        <f t="shared" si="74"/>
        <v>0</v>
      </c>
      <c r="V160" s="138">
        <f t="shared" si="75"/>
        <v>0</v>
      </c>
      <c r="W160" s="139">
        <f t="shared" si="76"/>
        <v>0</v>
      </c>
      <c r="X160" s="137">
        <f t="shared" si="77"/>
        <v>0</v>
      </c>
      <c r="Y160" s="138">
        <f t="shared" si="78"/>
        <v>0</v>
      </c>
      <c r="Z160" s="140">
        <f t="shared" si="79"/>
        <v>0</v>
      </c>
      <c r="AA160" s="141">
        <f t="shared" si="80"/>
        <v>0</v>
      </c>
      <c r="AB160" s="142">
        <f t="shared" si="81"/>
        <v>0</v>
      </c>
      <c r="AC160" s="138">
        <f t="shared" si="82"/>
        <v>0</v>
      </c>
      <c r="AD160" s="143">
        <f t="shared" si="83"/>
        <v>0</v>
      </c>
      <c r="AE160" s="138">
        <f t="shared" si="84"/>
        <v>0</v>
      </c>
      <c r="AF160" s="528">
        <f t="shared" si="85"/>
        <v>0</v>
      </c>
      <c r="AG160" s="529">
        <f t="shared" si="86"/>
        <v>0</v>
      </c>
      <c r="AH160" s="530">
        <f t="shared" si="87"/>
        <v>0</v>
      </c>
      <c r="AI160" s="80"/>
      <c r="AJ160" s="18"/>
      <c r="AK160"/>
      <c r="AO160" s="18"/>
      <c r="AQ160" s="18"/>
      <c r="AR160" s="18"/>
    </row>
    <row r="161" spans="1:44">
      <c r="A161"/>
      <c r="B161" s="458"/>
      <c r="C161" s="488" t="str">
        <f>IF(ISBLANK(Hofdung!C16),Hofdung!B16,Hofdung!C16)</f>
        <v>Gülle/Jauche Grube 3</v>
      </c>
      <c r="D161" s="30">
        <f>Hofdung!G16</f>
        <v>0</v>
      </c>
      <c r="E161" s="30">
        <f>Hofdung!G16-Hofdung!H16</f>
        <v>0</v>
      </c>
      <c r="F161" s="490">
        <f>Hofdung!I16</f>
        <v>0</v>
      </c>
      <c r="G161" s="491">
        <f>Hofdung!J16</f>
        <v>0</v>
      </c>
      <c r="H161" s="492">
        <f>Hofdung!K16</f>
        <v>0</v>
      </c>
      <c r="I161" s="490">
        <f>Hofdung!L16</f>
        <v>0</v>
      </c>
      <c r="J161" s="493">
        <f>Hofdung!M16</f>
        <v>0</v>
      </c>
      <c r="K161" s="494">
        <f>Hofdung!N16</f>
        <v>0</v>
      </c>
      <c r="L161" s="490">
        <f>Hofdung!O16</f>
        <v>1</v>
      </c>
      <c r="M161" s="1399" t="s">
        <v>473</v>
      </c>
      <c r="N161" s="1406">
        <f t="shared" si="71"/>
        <v>0</v>
      </c>
      <c r="O161" s="1407">
        <f t="shared" si="72"/>
        <v>0</v>
      </c>
      <c r="P161" s="1408">
        <f t="shared" si="73"/>
        <v>0</v>
      </c>
      <c r="Q161" s="1369"/>
      <c r="R161" s="172"/>
      <c r="S161" s="86"/>
      <c r="T161" s="136">
        <f>'meine Dünger'!C7</f>
        <v>0</v>
      </c>
      <c r="U161" s="137">
        <f t="shared" si="74"/>
        <v>0</v>
      </c>
      <c r="V161" s="138">
        <f t="shared" si="75"/>
        <v>0</v>
      </c>
      <c r="W161" s="139">
        <f t="shared" si="76"/>
        <v>0</v>
      </c>
      <c r="X161" s="137">
        <f t="shared" si="77"/>
        <v>0</v>
      </c>
      <c r="Y161" s="138">
        <f t="shared" si="78"/>
        <v>0</v>
      </c>
      <c r="Z161" s="140">
        <f t="shared" si="79"/>
        <v>0</v>
      </c>
      <c r="AA161" s="141">
        <f t="shared" si="80"/>
        <v>0</v>
      </c>
      <c r="AB161" s="142">
        <f t="shared" si="81"/>
        <v>0</v>
      </c>
      <c r="AC161" s="138">
        <f t="shared" si="82"/>
        <v>0</v>
      </c>
      <c r="AD161" s="143">
        <f t="shared" si="83"/>
        <v>0</v>
      </c>
      <c r="AE161" s="138">
        <f t="shared" si="84"/>
        <v>0</v>
      </c>
      <c r="AF161" s="528">
        <f t="shared" si="85"/>
        <v>0</v>
      </c>
      <c r="AG161" s="529">
        <f t="shared" si="86"/>
        <v>0</v>
      </c>
      <c r="AH161" s="530">
        <f t="shared" si="87"/>
        <v>0</v>
      </c>
      <c r="AI161" s="80"/>
      <c r="AJ161" s="18"/>
      <c r="AK161"/>
      <c r="AO161" s="18"/>
      <c r="AQ161" s="18"/>
      <c r="AR161" s="18"/>
    </row>
    <row r="162" spans="1:44">
      <c r="A162"/>
      <c r="B162" s="458"/>
      <c r="C162" s="488" t="str">
        <f>IF(ISBLANK(Hofdung!C17),Hofdung!B17,Hofdung!C17)</f>
        <v>Gülle/Jauche Grube 4</v>
      </c>
      <c r="D162" s="30">
        <f>Hofdung!G17</f>
        <v>0</v>
      </c>
      <c r="E162" s="30">
        <f>Hofdung!G17-Hofdung!H17</f>
        <v>0</v>
      </c>
      <c r="F162" s="490">
        <f>Hofdung!I17</f>
        <v>0</v>
      </c>
      <c r="G162" s="491">
        <f>Hofdung!J17</f>
        <v>0</v>
      </c>
      <c r="H162" s="492">
        <f>Hofdung!K17</f>
        <v>0</v>
      </c>
      <c r="I162" s="490">
        <f>Hofdung!L17</f>
        <v>0</v>
      </c>
      <c r="J162" s="493">
        <f>Hofdung!M17</f>
        <v>0</v>
      </c>
      <c r="K162" s="494">
        <f>Hofdung!N17</f>
        <v>0</v>
      </c>
      <c r="L162" s="490">
        <f>Hofdung!O17</f>
        <v>1</v>
      </c>
      <c r="M162" s="1399" t="s">
        <v>473</v>
      </c>
      <c r="N162" s="1406">
        <f t="shared" si="71"/>
        <v>0</v>
      </c>
      <c r="O162" s="1407">
        <f t="shared" si="72"/>
        <v>0</v>
      </c>
      <c r="P162" s="1408">
        <f t="shared" si="73"/>
        <v>0</v>
      </c>
      <c r="Q162" s="1369"/>
      <c r="R162" s="172"/>
      <c r="S162" s="86"/>
      <c r="T162" s="136">
        <f>'meine Dünger'!C8</f>
        <v>0</v>
      </c>
      <c r="U162" s="137">
        <f t="shared" si="74"/>
        <v>0</v>
      </c>
      <c r="V162" s="138">
        <f t="shared" si="75"/>
        <v>0</v>
      </c>
      <c r="W162" s="139">
        <f t="shared" si="76"/>
        <v>0</v>
      </c>
      <c r="X162" s="137">
        <f t="shared" si="77"/>
        <v>0</v>
      </c>
      <c r="Y162" s="138">
        <f t="shared" si="78"/>
        <v>0</v>
      </c>
      <c r="Z162" s="140">
        <f t="shared" si="79"/>
        <v>0</v>
      </c>
      <c r="AA162" s="141">
        <f t="shared" si="80"/>
        <v>0</v>
      </c>
      <c r="AB162" s="142">
        <f t="shared" si="81"/>
        <v>0</v>
      </c>
      <c r="AC162" s="138">
        <f t="shared" si="82"/>
        <v>0</v>
      </c>
      <c r="AD162" s="143">
        <f t="shared" si="83"/>
        <v>0</v>
      </c>
      <c r="AE162" s="138">
        <f t="shared" si="84"/>
        <v>0</v>
      </c>
      <c r="AF162" s="528">
        <f t="shared" si="85"/>
        <v>0</v>
      </c>
      <c r="AG162" s="529">
        <f t="shared" si="86"/>
        <v>0</v>
      </c>
      <c r="AH162" s="530">
        <f t="shared" si="87"/>
        <v>0</v>
      </c>
      <c r="AI162" s="80"/>
      <c r="AJ162" s="18"/>
      <c r="AK162"/>
      <c r="AO162" s="18"/>
      <c r="AQ162" s="18"/>
      <c r="AR162" s="18"/>
    </row>
    <row r="163" spans="1:44">
      <c r="A163"/>
      <c r="B163" s="458"/>
      <c r="C163" s="488" t="str">
        <f>IF(ISBLANK(Hofdung!C18),Hofdung!B18,Hofdung!C18)</f>
        <v>Mistlager</v>
      </c>
      <c r="D163" s="30">
        <f>Hofdung!G18</f>
        <v>0</v>
      </c>
      <c r="E163" s="30">
        <f>Hofdung!G18-Hofdung!H18</f>
        <v>0</v>
      </c>
      <c r="F163" s="490">
        <f>Hofdung!I18</f>
        <v>0</v>
      </c>
      <c r="G163" s="491">
        <f>Hofdung!J18</f>
        <v>0</v>
      </c>
      <c r="H163" s="492">
        <f>Hofdung!K18</f>
        <v>0</v>
      </c>
      <c r="I163" s="490">
        <f>Hofdung!L18</f>
        <v>0</v>
      </c>
      <c r="J163" s="493">
        <f>Hofdung!M18</f>
        <v>0</v>
      </c>
      <c r="K163" s="497">
        <f>Hofdung!N18</f>
        <v>0.15</v>
      </c>
      <c r="L163" s="490">
        <f>Hofdung!O18</f>
        <v>1</v>
      </c>
      <c r="M163" s="1399" t="s">
        <v>473</v>
      </c>
      <c r="N163" s="1406">
        <f t="shared" si="71"/>
        <v>0</v>
      </c>
      <c r="O163" s="1407">
        <f t="shared" si="72"/>
        <v>0</v>
      </c>
      <c r="P163" s="1408">
        <f t="shared" si="73"/>
        <v>0</v>
      </c>
      <c r="Q163" s="1369"/>
      <c r="R163" s="172"/>
      <c r="S163" s="86"/>
      <c r="T163" s="136">
        <f>'meine Dünger'!C9</f>
        <v>0</v>
      </c>
      <c r="U163" s="137">
        <f t="shared" si="74"/>
        <v>0</v>
      </c>
      <c r="V163" s="138">
        <f t="shared" si="75"/>
        <v>0</v>
      </c>
      <c r="W163" s="139">
        <f t="shared" si="76"/>
        <v>0</v>
      </c>
      <c r="X163" s="137">
        <f t="shared" si="77"/>
        <v>0</v>
      </c>
      <c r="Y163" s="138">
        <f t="shared" si="78"/>
        <v>0</v>
      </c>
      <c r="Z163" s="140">
        <f t="shared" si="79"/>
        <v>0</v>
      </c>
      <c r="AA163" s="141">
        <f t="shared" si="80"/>
        <v>0</v>
      </c>
      <c r="AB163" s="142">
        <f t="shared" si="81"/>
        <v>0</v>
      </c>
      <c r="AC163" s="138">
        <f t="shared" si="82"/>
        <v>0</v>
      </c>
      <c r="AD163" s="143">
        <f t="shared" si="83"/>
        <v>0</v>
      </c>
      <c r="AE163" s="138">
        <f t="shared" si="84"/>
        <v>0</v>
      </c>
      <c r="AF163" s="528">
        <f t="shared" si="85"/>
        <v>0</v>
      </c>
      <c r="AG163" s="529">
        <f t="shared" si="86"/>
        <v>0</v>
      </c>
      <c r="AH163" s="530">
        <f t="shared" si="87"/>
        <v>0</v>
      </c>
      <c r="AI163" s="80"/>
      <c r="AJ163" s="18"/>
      <c r="AK163"/>
      <c r="AO163" s="18"/>
      <c r="AQ163" s="18"/>
      <c r="AR163" s="18"/>
    </row>
    <row r="164" spans="1:44">
      <c r="A164"/>
      <c r="B164" s="458"/>
      <c r="C164" s="488" t="str">
        <f>IF(ISBLANK(Hofdung!C19),Hofdung!B19,Hofdung!C19)</f>
        <v>extra Mistlager</v>
      </c>
      <c r="D164" s="30">
        <f>Hofdung!G19</f>
        <v>0</v>
      </c>
      <c r="E164" s="30">
        <f>Hofdung!G19-Hofdung!H19</f>
        <v>0</v>
      </c>
      <c r="F164" s="490">
        <f>Hofdung!I19</f>
        <v>0</v>
      </c>
      <c r="G164" s="491">
        <f>Hofdung!J19</f>
        <v>0</v>
      </c>
      <c r="H164" s="492">
        <f>Hofdung!K19</f>
        <v>0</v>
      </c>
      <c r="I164" s="490">
        <f>Hofdung!L19</f>
        <v>0</v>
      </c>
      <c r="J164" s="493">
        <f>Hofdung!M19</f>
        <v>0</v>
      </c>
      <c r="K164" s="497">
        <f>Hofdung!N19</f>
        <v>0.15</v>
      </c>
      <c r="L164" s="490">
        <f>Hofdung!O19</f>
        <v>1</v>
      </c>
      <c r="M164" s="1399" t="s">
        <v>473</v>
      </c>
      <c r="N164" s="1406">
        <f t="shared" si="71"/>
        <v>0</v>
      </c>
      <c r="O164" s="1407">
        <f t="shared" si="72"/>
        <v>0</v>
      </c>
      <c r="P164" s="1408">
        <f t="shared" si="73"/>
        <v>0</v>
      </c>
      <c r="Q164" s="1369"/>
      <c r="R164" s="172"/>
      <c r="S164" s="86"/>
      <c r="T164" s="136">
        <f>'meine Dünger'!C10</f>
        <v>0</v>
      </c>
      <c r="U164" s="137">
        <f t="shared" si="74"/>
        <v>0</v>
      </c>
      <c r="V164" s="138">
        <f t="shared" si="75"/>
        <v>0</v>
      </c>
      <c r="W164" s="139">
        <f t="shared" si="76"/>
        <v>0</v>
      </c>
      <c r="X164" s="137">
        <f t="shared" si="77"/>
        <v>0</v>
      </c>
      <c r="Y164" s="138">
        <f t="shared" si="78"/>
        <v>0</v>
      </c>
      <c r="Z164" s="140">
        <f t="shared" si="79"/>
        <v>0</v>
      </c>
      <c r="AA164" s="141">
        <f t="shared" si="80"/>
        <v>0</v>
      </c>
      <c r="AB164" s="142">
        <f t="shared" si="81"/>
        <v>0</v>
      </c>
      <c r="AC164" s="138">
        <f t="shared" si="82"/>
        <v>0</v>
      </c>
      <c r="AD164" s="143">
        <f t="shared" si="83"/>
        <v>0</v>
      </c>
      <c r="AE164" s="138">
        <f t="shared" si="84"/>
        <v>0</v>
      </c>
      <c r="AF164" s="528">
        <f t="shared" si="85"/>
        <v>0</v>
      </c>
      <c r="AG164" s="529">
        <f t="shared" si="86"/>
        <v>0</v>
      </c>
      <c r="AH164" s="530">
        <f t="shared" si="87"/>
        <v>0</v>
      </c>
      <c r="AI164" s="80"/>
      <c r="AJ164" s="18"/>
      <c r="AK164"/>
      <c r="AO164" s="18"/>
      <c r="AQ164" s="18"/>
      <c r="AR164" s="18"/>
    </row>
    <row r="165" spans="1:44">
      <c r="A165" s="15">
        <v>4</v>
      </c>
      <c r="B165" s="458"/>
      <c r="C165" s="488" t="str">
        <f>IF(ISTEXT(Hofdung!C22),Hofdung!C22,Hofdung!B22)</f>
        <v>Biogasgülle 1</v>
      </c>
      <c r="D165" s="30">
        <f>Hofdung!G22</f>
        <v>0</v>
      </c>
      <c r="E165" s="30">
        <f t="shared" ref="E165:E200" si="88">D165</f>
        <v>0</v>
      </c>
      <c r="F165" s="490">
        <f>Hofdung!I22</f>
        <v>0</v>
      </c>
      <c r="G165" s="491">
        <f>Hofdung!J22</f>
        <v>0</v>
      </c>
      <c r="H165" s="492">
        <f>Hofdung!K22</f>
        <v>0</v>
      </c>
      <c r="I165" s="490">
        <f>Hofdung!L22</f>
        <v>0</v>
      </c>
      <c r="J165" s="493">
        <f>Hofdung!M22</f>
        <v>0</v>
      </c>
      <c r="K165" s="494">
        <f>Hofdung!N22</f>
        <v>0</v>
      </c>
      <c r="L165" s="490">
        <f>Hofdung!O22</f>
        <v>0</v>
      </c>
      <c r="M165" s="1398" t="str">
        <f>Hofdung!P22</f>
        <v>WD</v>
      </c>
      <c r="N165" s="1406">
        <f t="shared" si="71"/>
        <v>0</v>
      </c>
      <c r="O165" s="1407">
        <f t="shared" si="72"/>
        <v>0</v>
      </c>
      <c r="P165" s="1408">
        <f t="shared" si="73"/>
        <v>0</v>
      </c>
      <c r="Q165" s="1369"/>
      <c r="R165" s="498"/>
      <c r="S165" s="86"/>
      <c r="T165" s="136">
        <f>'meine Dünger'!C11</f>
        <v>0</v>
      </c>
      <c r="U165" s="137">
        <f t="shared" si="74"/>
        <v>0</v>
      </c>
      <c r="V165" s="138">
        <f t="shared" si="75"/>
        <v>0</v>
      </c>
      <c r="W165" s="139">
        <f t="shared" si="76"/>
        <v>0</v>
      </c>
      <c r="X165" s="137">
        <f t="shared" si="77"/>
        <v>0</v>
      </c>
      <c r="Y165" s="138">
        <f t="shared" si="78"/>
        <v>0</v>
      </c>
      <c r="Z165" s="140">
        <f t="shared" si="79"/>
        <v>0</v>
      </c>
      <c r="AA165" s="141">
        <f t="shared" si="80"/>
        <v>0</v>
      </c>
      <c r="AB165" s="142">
        <f t="shared" si="81"/>
        <v>0</v>
      </c>
      <c r="AC165" s="138">
        <f t="shared" si="82"/>
        <v>0</v>
      </c>
      <c r="AD165" s="143">
        <f t="shared" si="83"/>
        <v>0</v>
      </c>
      <c r="AE165" s="138">
        <f t="shared" si="84"/>
        <v>0</v>
      </c>
      <c r="AF165" s="528">
        <f t="shared" si="85"/>
        <v>0</v>
      </c>
      <c r="AG165" s="529">
        <f t="shared" si="86"/>
        <v>0</v>
      </c>
      <c r="AH165" s="530">
        <f t="shared" si="87"/>
        <v>0</v>
      </c>
      <c r="AI165" s="80"/>
      <c r="AJ165" s="18"/>
      <c r="AK165"/>
      <c r="AO165" s="18"/>
      <c r="AQ165" s="18"/>
      <c r="AR165" s="18"/>
    </row>
    <row r="166" spans="1:44" ht="12.75" customHeight="1">
      <c r="A166" s="15">
        <v>5</v>
      </c>
      <c r="B166" s="458"/>
      <c r="C166" s="488" t="str">
        <f>IF(ISTEXT(Hofdung!C23),Hofdung!C23,Hofdung!B23)</f>
        <v>Biogasgülle 2</v>
      </c>
      <c r="D166" s="30">
        <f>Hofdung!G23</f>
        <v>0</v>
      </c>
      <c r="E166" s="30">
        <f t="shared" si="88"/>
        <v>0</v>
      </c>
      <c r="F166" s="490">
        <f>Hofdung!I23</f>
        <v>0</v>
      </c>
      <c r="G166" s="491">
        <f>Hofdung!J23</f>
        <v>0</v>
      </c>
      <c r="H166" s="492">
        <f>Hofdung!K23</f>
        <v>0</v>
      </c>
      <c r="I166" s="490">
        <f>Hofdung!L23</f>
        <v>0</v>
      </c>
      <c r="J166" s="493">
        <f>Hofdung!M23</f>
        <v>0</v>
      </c>
      <c r="K166" s="494">
        <f>Hofdung!N23</f>
        <v>0</v>
      </c>
      <c r="L166" s="490">
        <f>Hofdung!O23</f>
        <v>0</v>
      </c>
      <c r="M166" s="1398" t="str">
        <f>Hofdung!P23</f>
        <v>WD</v>
      </c>
      <c r="N166" s="1406">
        <f t="shared" si="71"/>
        <v>0</v>
      </c>
      <c r="O166" s="1407">
        <f t="shared" si="72"/>
        <v>0</v>
      </c>
      <c r="P166" s="1408">
        <f t="shared" si="73"/>
        <v>0</v>
      </c>
      <c r="Q166" s="1369"/>
      <c r="R166" s="498"/>
      <c r="S166" s="86"/>
      <c r="T166" s="136">
        <f>'meine Dünger'!C12</f>
        <v>0</v>
      </c>
      <c r="U166" s="137">
        <f t="shared" si="74"/>
        <v>0</v>
      </c>
      <c r="V166" s="138">
        <f t="shared" si="75"/>
        <v>0</v>
      </c>
      <c r="W166" s="139">
        <f t="shared" si="76"/>
        <v>0</v>
      </c>
      <c r="X166" s="137">
        <f t="shared" si="77"/>
        <v>0</v>
      </c>
      <c r="Y166" s="138">
        <f t="shared" si="78"/>
        <v>0</v>
      </c>
      <c r="Z166" s="140">
        <f t="shared" si="79"/>
        <v>0</v>
      </c>
      <c r="AA166" s="141">
        <f t="shared" si="80"/>
        <v>0</v>
      </c>
      <c r="AB166" s="142">
        <f t="shared" si="81"/>
        <v>0</v>
      </c>
      <c r="AC166" s="138">
        <f t="shared" si="82"/>
        <v>0</v>
      </c>
      <c r="AD166" s="143">
        <f t="shared" si="83"/>
        <v>0</v>
      </c>
      <c r="AE166" s="138">
        <f t="shared" si="84"/>
        <v>0</v>
      </c>
      <c r="AF166" s="528">
        <f t="shared" si="85"/>
        <v>0</v>
      </c>
      <c r="AG166" s="529">
        <f t="shared" si="86"/>
        <v>0</v>
      </c>
      <c r="AH166" s="530">
        <f t="shared" si="87"/>
        <v>0</v>
      </c>
      <c r="AI166" s="80"/>
      <c r="AJ166" s="18"/>
      <c r="AK166"/>
      <c r="AO166" s="18"/>
      <c r="AQ166" s="18"/>
      <c r="AR166" s="18"/>
    </row>
    <row r="167" spans="1:44">
      <c r="A167" s="15">
        <v>6</v>
      </c>
      <c r="B167" s="458"/>
      <c r="C167" s="488" t="str">
        <f>IF(ISTEXT(Hofdung!C24),Hofdung!C24,Hofdung!B24)</f>
        <v>Biogasfeststoff 1</v>
      </c>
      <c r="D167" s="30">
        <f>Hofdung!G24</f>
        <v>0</v>
      </c>
      <c r="E167" s="30">
        <f t="shared" si="88"/>
        <v>0</v>
      </c>
      <c r="F167" s="490">
        <f>Hofdung!I24</f>
        <v>0</v>
      </c>
      <c r="G167" s="491">
        <f>Hofdung!J24</f>
        <v>0</v>
      </c>
      <c r="H167" s="492">
        <f>Hofdung!K24</f>
        <v>0</v>
      </c>
      <c r="I167" s="490">
        <f>Hofdung!L24</f>
        <v>0</v>
      </c>
      <c r="J167" s="493">
        <f>Hofdung!M24</f>
        <v>0</v>
      </c>
      <c r="K167" s="494">
        <f>Hofdung!N24</f>
        <v>0</v>
      </c>
      <c r="L167" s="490">
        <f>Hofdung!O24</f>
        <v>0</v>
      </c>
      <c r="M167" s="1398" t="str">
        <f>Hofdung!P24</f>
        <v>WD</v>
      </c>
      <c r="N167" s="1406">
        <f t="shared" si="71"/>
        <v>0</v>
      </c>
      <c r="O167" s="1407">
        <f t="shared" si="72"/>
        <v>0</v>
      </c>
      <c r="P167" s="1408">
        <f t="shared" si="73"/>
        <v>0</v>
      </c>
      <c r="Q167" s="1369"/>
      <c r="R167" s="498"/>
      <c r="S167" s="86"/>
      <c r="T167" s="136">
        <f>'meine Dünger'!C13</f>
        <v>0</v>
      </c>
      <c r="U167" s="137">
        <f t="shared" si="74"/>
        <v>0</v>
      </c>
      <c r="V167" s="138">
        <f t="shared" si="75"/>
        <v>0</v>
      </c>
      <c r="W167" s="139">
        <f t="shared" si="76"/>
        <v>0</v>
      </c>
      <c r="X167" s="137">
        <f t="shared" si="77"/>
        <v>0</v>
      </c>
      <c r="Y167" s="138">
        <f t="shared" si="78"/>
        <v>0</v>
      </c>
      <c r="Z167" s="140">
        <f t="shared" si="79"/>
        <v>0</v>
      </c>
      <c r="AA167" s="141">
        <f t="shared" si="80"/>
        <v>0</v>
      </c>
      <c r="AB167" s="142">
        <f t="shared" si="81"/>
        <v>0</v>
      </c>
      <c r="AC167" s="138">
        <f t="shared" si="82"/>
        <v>0</v>
      </c>
      <c r="AD167" s="143">
        <f t="shared" si="83"/>
        <v>0</v>
      </c>
      <c r="AE167" s="138">
        <f t="shared" si="84"/>
        <v>0</v>
      </c>
      <c r="AF167" s="528">
        <f t="shared" si="85"/>
        <v>0</v>
      </c>
      <c r="AG167" s="529">
        <f t="shared" si="86"/>
        <v>0</v>
      </c>
      <c r="AH167" s="530">
        <f t="shared" si="87"/>
        <v>0</v>
      </c>
      <c r="AI167" s="80"/>
      <c r="AJ167" s="18"/>
      <c r="AK167"/>
      <c r="AO167" s="18"/>
      <c r="AQ167" s="18"/>
      <c r="AR167" s="18"/>
    </row>
    <row r="168" spans="1:44">
      <c r="A168" s="15">
        <v>7</v>
      </c>
      <c r="B168" s="458"/>
      <c r="C168" s="488" t="str">
        <f>IF(ISTEXT(Hofdung!C25),Hofdung!C25,Hofdung!B25)</f>
        <v>Biogasfeststoff 2</v>
      </c>
      <c r="D168" s="30">
        <f>Hofdung!G25</f>
        <v>0</v>
      </c>
      <c r="E168" s="30">
        <f t="shared" si="88"/>
        <v>0</v>
      </c>
      <c r="F168" s="490">
        <f>Hofdung!I25</f>
        <v>0</v>
      </c>
      <c r="G168" s="491">
        <f>Hofdung!J25</f>
        <v>0</v>
      </c>
      <c r="H168" s="492">
        <f>Hofdung!K25</f>
        <v>0</v>
      </c>
      <c r="I168" s="490">
        <f>Hofdung!L25</f>
        <v>0</v>
      </c>
      <c r="J168" s="493">
        <f>Hofdung!M25</f>
        <v>0</v>
      </c>
      <c r="K168" s="494">
        <f>Hofdung!N25</f>
        <v>0</v>
      </c>
      <c r="L168" s="490">
        <f>Hofdung!O25</f>
        <v>0</v>
      </c>
      <c r="M168" s="1398" t="str">
        <f>Hofdung!P25</f>
        <v>WD</v>
      </c>
      <c r="N168" s="1406">
        <f t="shared" si="71"/>
        <v>0</v>
      </c>
      <c r="O168" s="1407">
        <f t="shared" si="72"/>
        <v>0</v>
      </c>
      <c r="P168" s="1408">
        <f t="shared" si="73"/>
        <v>0</v>
      </c>
      <c r="Q168" s="1369"/>
      <c r="R168" s="498"/>
      <c r="S168" s="86"/>
      <c r="T168" s="136">
        <f>'meine Dünger'!C14</f>
        <v>0</v>
      </c>
      <c r="U168" s="137">
        <f t="shared" si="74"/>
        <v>0</v>
      </c>
      <c r="V168" s="138">
        <f t="shared" si="75"/>
        <v>0</v>
      </c>
      <c r="W168" s="139">
        <f t="shared" si="76"/>
        <v>0</v>
      </c>
      <c r="X168" s="137">
        <f t="shared" si="77"/>
        <v>0</v>
      </c>
      <c r="Y168" s="138">
        <f t="shared" si="78"/>
        <v>0</v>
      </c>
      <c r="Z168" s="140">
        <f t="shared" si="79"/>
        <v>0</v>
      </c>
      <c r="AA168" s="141">
        <f t="shared" si="80"/>
        <v>0</v>
      </c>
      <c r="AB168" s="142">
        <f t="shared" si="81"/>
        <v>0</v>
      </c>
      <c r="AC168" s="138">
        <f t="shared" si="82"/>
        <v>0</v>
      </c>
      <c r="AD168" s="143">
        <f t="shared" si="83"/>
        <v>0</v>
      </c>
      <c r="AE168" s="138">
        <f t="shared" si="84"/>
        <v>0</v>
      </c>
      <c r="AF168" s="528">
        <f t="shared" si="85"/>
        <v>0</v>
      </c>
      <c r="AG168" s="529">
        <f t="shared" si="86"/>
        <v>0</v>
      </c>
      <c r="AH168" s="530">
        <f t="shared" si="87"/>
        <v>0</v>
      </c>
      <c r="AI168" s="80"/>
      <c r="AJ168" s="18"/>
      <c r="AK168"/>
      <c r="AO168" s="18"/>
      <c r="AQ168" s="18"/>
      <c r="AR168" s="18"/>
    </row>
    <row r="169" spans="1:44">
      <c r="A169" s="15">
        <v>8</v>
      </c>
      <c r="B169" s="458"/>
      <c r="C169" s="488" t="str">
        <f>IF(ISTEXT(Hofdung!C26),Hofdung!C26,Hofdung!B26)</f>
        <v>Sek. Rohstoffe 1</v>
      </c>
      <c r="D169" s="30">
        <f>Hofdung!G26</f>
        <v>0</v>
      </c>
      <c r="E169" s="30">
        <f t="shared" si="88"/>
        <v>0</v>
      </c>
      <c r="F169" s="490">
        <f>Hofdung!I26</f>
        <v>0</v>
      </c>
      <c r="G169" s="491">
        <f>Hofdung!J26</f>
        <v>0</v>
      </c>
      <c r="H169" s="492">
        <f>Hofdung!K26</f>
        <v>0</v>
      </c>
      <c r="I169" s="490">
        <f>Hofdung!L26</f>
        <v>0</v>
      </c>
      <c r="J169" s="493">
        <f>Hofdung!M26</f>
        <v>0</v>
      </c>
      <c r="K169" s="494">
        <f>Hofdung!N26</f>
        <v>0</v>
      </c>
      <c r="L169" s="490">
        <f>Hofdung!O26</f>
        <v>0</v>
      </c>
      <c r="M169" s="1398" t="str">
        <f>Hofdung!P26</f>
        <v>WD</v>
      </c>
      <c r="N169" s="1406">
        <f t="shared" si="71"/>
        <v>0</v>
      </c>
      <c r="O169" s="1407">
        <f t="shared" si="72"/>
        <v>0</v>
      </c>
      <c r="P169" s="1408">
        <f t="shared" si="73"/>
        <v>0</v>
      </c>
      <c r="Q169" s="1369"/>
      <c r="R169" s="498"/>
      <c r="S169" s="86"/>
      <c r="T169" s="136">
        <f>'meine Dünger'!C15</f>
        <v>0</v>
      </c>
      <c r="U169" s="137">
        <f t="shared" si="74"/>
        <v>0</v>
      </c>
      <c r="V169" s="138">
        <f t="shared" si="75"/>
        <v>0</v>
      </c>
      <c r="W169" s="139">
        <f t="shared" si="76"/>
        <v>0</v>
      </c>
      <c r="X169" s="137">
        <f t="shared" si="77"/>
        <v>0</v>
      </c>
      <c r="Y169" s="138">
        <f t="shared" si="78"/>
        <v>0</v>
      </c>
      <c r="Z169" s="140">
        <f t="shared" si="79"/>
        <v>0</v>
      </c>
      <c r="AA169" s="141">
        <f t="shared" si="80"/>
        <v>0</v>
      </c>
      <c r="AB169" s="142">
        <f t="shared" si="81"/>
        <v>0</v>
      </c>
      <c r="AC169" s="138">
        <f t="shared" si="82"/>
        <v>0</v>
      </c>
      <c r="AD169" s="143">
        <f t="shared" si="83"/>
        <v>0</v>
      </c>
      <c r="AE169" s="138">
        <f t="shared" si="84"/>
        <v>0</v>
      </c>
      <c r="AF169" s="528">
        <f t="shared" si="85"/>
        <v>0</v>
      </c>
      <c r="AG169" s="529">
        <f t="shared" si="86"/>
        <v>0</v>
      </c>
      <c r="AH169" s="530">
        <f t="shared" si="87"/>
        <v>0</v>
      </c>
      <c r="AI169" s="80"/>
      <c r="AJ169" s="18"/>
      <c r="AK169"/>
      <c r="AO169" s="18"/>
      <c r="AQ169" s="18"/>
      <c r="AR169" s="18"/>
    </row>
    <row r="170" spans="1:44">
      <c r="A170" s="15">
        <v>9</v>
      </c>
      <c r="B170" s="458"/>
      <c r="C170" s="488" t="str">
        <f>IF(ISTEXT(Hofdung!C27),Hofdung!C27,Hofdung!B27)</f>
        <v>Sek. Rohstoffe 2</v>
      </c>
      <c r="D170" s="30">
        <f>Hofdung!G27</f>
        <v>0</v>
      </c>
      <c r="E170" s="30">
        <f t="shared" si="88"/>
        <v>0</v>
      </c>
      <c r="F170" s="490">
        <f>Hofdung!I27</f>
        <v>0</v>
      </c>
      <c r="G170" s="491">
        <f>Hofdung!J27</f>
        <v>0</v>
      </c>
      <c r="H170" s="492">
        <f>Hofdung!K27</f>
        <v>0</v>
      </c>
      <c r="I170" s="490">
        <f>Hofdung!L27</f>
        <v>0</v>
      </c>
      <c r="J170" s="493">
        <f>Hofdung!M27</f>
        <v>0</v>
      </c>
      <c r="K170" s="494">
        <f>Hofdung!N27</f>
        <v>0</v>
      </c>
      <c r="L170" s="490">
        <f>Hofdung!O27</f>
        <v>0</v>
      </c>
      <c r="M170" s="1398" t="str">
        <f>Hofdung!P27</f>
        <v>WD</v>
      </c>
      <c r="N170" s="1406">
        <f t="shared" si="71"/>
        <v>0</v>
      </c>
      <c r="O170" s="1407">
        <f t="shared" si="72"/>
        <v>0</v>
      </c>
      <c r="P170" s="1408">
        <f t="shared" si="73"/>
        <v>0</v>
      </c>
      <c r="Q170" s="1369"/>
      <c r="S170" s="86"/>
      <c r="T170" s="136">
        <f>'meine Dünger'!C16</f>
        <v>0</v>
      </c>
      <c r="U170" s="137">
        <f t="shared" si="74"/>
        <v>0</v>
      </c>
      <c r="V170" s="138">
        <f t="shared" si="75"/>
        <v>0</v>
      </c>
      <c r="W170" s="139">
        <f t="shared" si="76"/>
        <v>0</v>
      </c>
      <c r="X170" s="137">
        <f t="shared" si="77"/>
        <v>0</v>
      </c>
      <c r="Y170" s="138">
        <f t="shared" si="78"/>
        <v>0</v>
      </c>
      <c r="Z170" s="140">
        <f t="shared" si="79"/>
        <v>0</v>
      </c>
      <c r="AA170" s="141">
        <f t="shared" si="80"/>
        <v>0</v>
      </c>
      <c r="AB170" s="142">
        <f t="shared" si="81"/>
        <v>0</v>
      </c>
      <c r="AC170" s="138">
        <f t="shared" si="82"/>
        <v>0</v>
      </c>
      <c r="AD170" s="143">
        <f t="shared" si="83"/>
        <v>0</v>
      </c>
      <c r="AE170" s="138">
        <f t="shared" si="84"/>
        <v>0</v>
      </c>
      <c r="AF170" s="528">
        <f t="shared" si="85"/>
        <v>0</v>
      </c>
      <c r="AG170" s="529">
        <f t="shared" si="86"/>
        <v>0</v>
      </c>
      <c r="AH170" s="530">
        <f t="shared" si="87"/>
        <v>0</v>
      </c>
      <c r="AI170" s="80"/>
      <c r="AJ170" s="18"/>
      <c r="AK170"/>
      <c r="AO170" s="18"/>
      <c r="AQ170" s="18"/>
      <c r="AR170" s="18"/>
    </row>
    <row r="171" spans="1:44">
      <c r="A171" s="15">
        <v>10</v>
      </c>
      <c r="B171" s="458"/>
      <c r="C171" s="488" t="str">
        <f>CONCATENATE(A171,"_",Hofdung!C28)</f>
        <v>10_0</v>
      </c>
      <c r="D171" s="30">
        <f>Hofdung!G28</f>
        <v>0</v>
      </c>
      <c r="E171" s="30">
        <f t="shared" si="88"/>
        <v>0</v>
      </c>
      <c r="F171" s="490">
        <f>Hofdung!I28</f>
        <v>0</v>
      </c>
      <c r="G171" s="491">
        <f>Hofdung!J28</f>
        <v>0</v>
      </c>
      <c r="H171" s="492">
        <f>Hofdung!K28</f>
        <v>0</v>
      </c>
      <c r="I171" s="490">
        <f>Hofdung!L28</f>
        <v>0</v>
      </c>
      <c r="J171" s="493">
        <f>Hofdung!M28</f>
        <v>0</v>
      </c>
      <c r="K171" s="497">
        <f>Hofdung!N28</f>
        <v>0.5</v>
      </c>
      <c r="L171" s="490">
        <f>Hofdung!O28</f>
        <v>0</v>
      </c>
      <c r="M171" s="1398" t="str">
        <f>Hofdung!P28</f>
        <v>WD</v>
      </c>
      <c r="N171" s="1406">
        <f t="shared" si="71"/>
        <v>0</v>
      </c>
      <c r="O171" s="1407">
        <f t="shared" si="72"/>
        <v>0</v>
      </c>
      <c r="P171" s="1408">
        <f t="shared" si="73"/>
        <v>0</v>
      </c>
      <c r="Q171" s="1369"/>
      <c r="S171" s="86"/>
      <c r="T171" s="136">
        <f>'meine Dünger'!C17</f>
        <v>0</v>
      </c>
      <c r="U171" s="137">
        <f t="shared" si="74"/>
        <v>0</v>
      </c>
      <c r="V171" s="138">
        <f t="shared" si="75"/>
        <v>0</v>
      </c>
      <c r="W171" s="139">
        <f t="shared" si="76"/>
        <v>0</v>
      </c>
      <c r="X171" s="137">
        <f t="shared" si="77"/>
        <v>0</v>
      </c>
      <c r="Y171" s="138">
        <f t="shared" si="78"/>
        <v>0</v>
      </c>
      <c r="Z171" s="140">
        <f t="shared" si="79"/>
        <v>0</v>
      </c>
      <c r="AA171" s="141">
        <f t="shared" si="80"/>
        <v>0</v>
      </c>
      <c r="AB171" s="142">
        <f t="shared" si="81"/>
        <v>0</v>
      </c>
      <c r="AC171" s="138">
        <f t="shared" si="82"/>
        <v>0</v>
      </c>
      <c r="AD171" s="143">
        <f t="shared" si="83"/>
        <v>0</v>
      </c>
      <c r="AE171" s="138">
        <f t="shared" si="84"/>
        <v>0</v>
      </c>
      <c r="AF171" s="528">
        <f t="shared" si="85"/>
        <v>0</v>
      </c>
      <c r="AG171" s="529">
        <f t="shared" si="86"/>
        <v>0</v>
      </c>
      <c r="AH171" s="530">
        <f t="shared" si="87"/>
        <v>0</v>
      </c>
      <c r="AI171" s="80"/>
      <c r="AJ171" s="18"/>
      <c r="AK171"/>
      <c r="AO171" s="18"/>
      <c r="AQ171" s="18"/>
      <c r="AR171" s="18"/>
    </row>
    <row r="172" spans="1:44" ht="13.5" thickBot="1">
      <c r="A172" s="15">
        <v>11</v>
      </c>
      <c r="B172" s="458"/>
      <c r="C172" s="488" t="str">
        <f>CONCATENATE(A172,"_",Hofdung!C29)</f>
        <v>11_0</v>
      </c>
      <c r="D172" s="30">
        <f>Hofdung!G29</f>
        <v>0</v>
      </c>
      <c r="E172" s="30">
        <f t="shared" si="88"/>
        <v>0</v>
      </c>
      <c r="F172" s="490">
        <f>Hofdung!I29</f>
        <v>0</v>
      </c>
      <c r="G172" s="491">
        <f>Hofdung!J29</f>
        <v>0</v>
      </c>
      <c r="H172" s="492">
        <f>Hofdung!K29</f>
        <v>0</v>
      </c>
      <c r="I172" s="490">
        <f>Hofdung!L29</f>
        <v>0</v>
      </c>
      <c r="J172" s="493">
        <f>Hofdung!M29</f>
        <v>0</v>
      </c>
      <c r="K172" s="497">
        <f>Hofdung!N29</f>
        <v>0.15</v>
      </c>
      <c r="L172" s="490">
        <f>Hofdung!O29</f>
        <v>0</v>
      </c>
      <c r="M172" s="1398" t="str">
        <f>Hofdung!P29</f>
        <v>WD</v>
      </c>
      <c r="N172" s="1406">
        <f t="shared" si="71"/>
        <v>0</v>
      </c>
      <c r="O172" s="1407">
        <f t="shared" si="72"/>
        <v>0</v>
      </c>
      <c r="P172" s="1408">
        <f t="shared" si="73"/>
        <v>0</v>
      </c>
      <c r="Q172" s="1369"/>
      <c r="S172"/>
      <c r="T172"/>
      <c r="Y172"/>
      <c r="Z172"/>
      <c r="AA172"/>
      <c r="AB172"/>
      <c r="AC172"/>
      <c r="AD172"/>
      <c r="AE172" s="85" t="s">
        <v>212</v>
      </c>
      <c r="AF172" s="145">
        <f>SUM(AF159:AF171)</f>
        <v>0</v>
      </c>
      <c r="AG172" s="145">
        <f>SUM(AG159:AG171)</f>
        <v>0</v>
      </c>
      <c r="AH172" s="145">
        <f>SUM(AH159:AH171)</f>
        <v>0</v>
      </c>
      <c r="AI172" s="80"/>
      <c r="AJ172" s="18"/>
      <c r="AK172"/>
      <c r="AO172" s="18"/>
      <c r="AQ172" s="18"/>
      <c r="AR172" s="18"/>
    </row>
    <row r="173" spans="1:44" ht="16.5" thickBot="1">
      <c r="A173" s="15">
        <v>12</v>
      </c>
      <c r="B173" s="458"/>
      <c r="C173" s="488" t="str">
        <f>CONCATENATE(A173,"_",Hofdung!C30)</f>
        <v>12_0</v>
      </c>
      <c r="D173" s="30">
        <f>Hofdung!G30</f>
        <v>0</v>
      </c>
      <c r="E173" s="30">
        <f t="shared" si="88"/>
        <v>0</v>
      </c>
      <c r="F173" s="490">
        <f>Hofdung!I30</f>
        <v>0</v>
      </c>
      <c r="G173" s="491">
        <f>Hofdung!J30</f>
        <v>0</v>
      </c>
      <c r="H173" s="492">
        <f>Hofdung!K30</f>
        <v>0</v>
      </c>
      <c r="I173" s="490">
        <f>Hofdung!L30</f>
        <v>0</v>
      </c>
      <c r="J173" s="493">
        <f>Hofdung!M30</f>
        <v>0</v>
      </c>
      <c r="K173" s="497">
        <f>Hofdung!N30</f>
        <v>0.15</v>
      </c>
      <c r="L173" s="490">
        <f>Hofdung!O30</f>
        <v>0</v>
      </c>
      <c r="M173" s="1398" t="str">
        <f>Hofdung!P30</f>
        <v>WD</v>
      </c>
      <c r="N173" s="1406">
        <f t="shared" si="71"/>
        <v>0</v>
      </c>
      <c r="O173" s="1407">
        <f t="shared" si="72"/>
        <v>0</v>
      </c>
      <c r="P173" s="1408">
        <f t="shared" si="73"/>
        <v>0</v>
      </c>
      <c r="Q173" s="1369"/>
      <c r="S173" s="500" t="s">
        <v>474</v>
      </c>
      <c r="T173" s="501" t="s">
        <v>475</v>
      </c>
      <c r="Y173" s="146" t="s">
        <v>477</v>
      </c>
      <c r="Z173" s="147"/>
      <c r="AA173" s="147"/>
      <c r="AB173" s="147"/>
      <c r="AC173" s="147"/>
      <c r="AD173" s="147"/>
      <c r="AE173" s="148" t="s">
        <v>478</v>
      </c>
      <c r="AF173" s="149">
        <f>IF(AF172&lt;N203,-10,IF(AF172=N203,0,IF(AF172&gt;N203,3)))</f>
        <v>0</v>
      </c>
      <c r="AG173" s="149">
        <f>IF(AG172&lt;O203,-10,IF(AG172=O203,0,IF(AG172&gt;O203,3)))</f>
        <v>0</v>
      </c>
      <c r="AH173" s="149">
        <f>IF(AH172&lt;P203,-10,IF(AH172=P203,0,IF(AH172&gt;P203,3)))</f>
        <v>0</v>
      </c>
      <c r="AI173" s="150">
        <f>SUM(AF173:AH173)</f>
        <v>0</v>
      </c>
      <c r="AJ173" s="18"/>
      <c r="AK173"/>
      <c r="AO173" s="18"/>
      <c r="AQ173" s="18"/>
      <c r="AR173" s="18"/>
    </row>
    <row r="174" spans="1:44" ht="15.75" thickBot="1">
      <c r="A174" s="15">
        <v>13</v>
      </c>
      <c r="B174" s="458"/>
      <c r="C174" s="488" t="str">
        <f>CONCATENATE(A174,"_",Hofdung!C31)</f>
        <v>13_0</v>
      </c>
      <c r="D174" s="30">
        <f>Hofdung!G31</f>
        <v>0</v>
      </c>
      <c r="E174" s="30">
        <f t="shared" si="88"/>
        <v>0</v>
      </c>
      <c r="F174" s="490">
        <f>Hofdung!I31</f>
        <v>0</v>
      </c>
      <c r="G174" s="491">
        <f>Hofdung!J31</f>
        <v>0</v>
      </c>
      <c r="H174" s="492">
        <f>Hofdung!K31</f>
        <v>0</v>
      </c>
      <c r="I174" s="490">
        <f>Hofdung!L31</f>
        <v>0</v>
      </c>
      <c r="J174" s="493">
        <f>Hofdung!M31</f>
        <v>0</v>
      </c>
      <c r="K174" s="497">
        <f>Hofdung!N31</f>
        <v>0.01</v>
      </c>
      <c r="L174" s="490">
        <f>Hofdung!O31</f>
        <v>0</v>
      </c>
      <c r="M174" s="1398" t="str">
        <f>Hofdung!P31</f>
        <v>WD</v>
      </c>
      <c r="N174" s="1406">
        <f t="shared" si="71"/>
        <v>0</v>
      </c>
      <c r="O174" s="1407">
        <f t="shared" si="72"/>
        <v>0</v>
      </c>
      <c r="P174" s="1408">
        <f t="shared" si="73"/>
        <v>0</v>
      </c>
      <c r="Q174" s="1369"/>
      <c r="S174" s="2415" t="s">
        <v>736</v>
      </c>
      <c r="T174" s="2416"/>
      <c r="Y174" s="147"/>
      <c r="Z174" s="147"/>
      <c r="AA174" s="147"/>
      <c r="AB174" s="147"/>
      <c r="AC174" s="147"/>
      <c r="AD174" s="147"/>
      <c r="AE174" s="148" t="s">
        <v>479</v>
      </c>
      <c r="AF174" s="152">
        <f>AF172-N203</f>
        <v>0</v>
      </c>
      <c r="AG174" s="152">
        <f>AG172-O203</f>
        <v>0</v>
      </c>
      <c r="AH174" s="152">
        <f>AH172-P203</f>
        <v>0</v>
      </c>
      <c r="AI174" s="80"/>
      <c r="AJ174" s="18"/>
      <c r="AK174"/>
      <c r="AO174" s="18"/>
      <c r="AQ174" s="18"/>
      <c r="AR174" s="18"/>
    </row>
    <row r="175" spans="1:44" ht="15">
      <c r="A175" s="15">
        <v>14</v>
      </c>
      <c r="B175" s="458"/>
      <c r="C175" s="488" t="str">
        <f>Mineral_Dü!B3</f>
        <v>NAC - Kalkammonsalp.</v>
      </c>
      <c r="D175" s="462">
        <f>Mineral_Dü!C3</f>
        <v>0</v>
      </c>
      <c r="E175" s="489">
        <f t="shared" si="88"/>
        <v>0</v>
      </c>
      <c r="F175" s="504">
        <f t="shared" ref="F175:F200" si="89">H175</f>
        <v>0.27</v>
      </c>
      <c r="G175" s="505">
        <f t="shared" ref="G175:G200" si="90">H175</f>
        <v>0.27</v>
      </c>
      <c r="H175" s="506">
        <f>Mineral_Dü!D3</f>
        <v>0.27</v>
      </c>
      <c r="I175" s="507">
        <f>Mineral_Dü!E3</f>
        <v>0</v>
      </c>
      <c r="J175" s="508">
        <f>Mineral_Dü!F3</f>
        <v>0</v>
      </c>
      <c r="K175" s="509">
        <v>1</v>
      </c>
      <c r="L175" s="489"/>
      <c r="M175" s="1399" t="s">
        <v>476</v>
      </c>
      <c r="N175" s="1406">
        <f t="shared" ref="N175:N200" si="91">$D175*H175</f>
        <v>0</v>
      </c>
      <c r="O175" s="1409">
        <f t="shared" ref="O175:O200" si="92">$D175*I175</f>
        <v>0</v>
      </c>
      <c r="P175" s="1405">
        <f t="shared" ref="P175:P200" si="93">$D175*J175</f>
        <v>0</v>
      </c>
      <c r="Q175" s="1369"/>
      <c r="R175" s="172"/>
      <c r="S175" s="2417"/>
      <c r="T175" s="2418"/>
      <c r="Y175" s="147"/>
      <c r="Z175" s="147"/>
      <c r="AA175" s="147"/>
      <c r="AB175" s="147"/>
      <c r="AC175" s="147"/>
      <c r="AD175" s="147"/>
      <c r="AE175" s="153" t="s">
        <v>480</v>
      </c>
      <c r="AF175" s="149">
        <f>AX79-AF172</f>
        <v>0</v>
      </c>
      <c r="AG175" s="154" t="s">
        <v>481</v>
      </c>
      <c r="AH175"/>
      <c r="AI175" s="80"/>
      <c r="AJ175" s="18"/>
      <c r="AK175"/>
      <c r="AO175" s="18"/>
      <c r="AQ175" s="18"/>
      <c r="AR175" s="18"/>
    </row>
    <row r="176" spans="1:44">
      <c r="A176" s="15">
        <v>15</v>
      </c>
      <c r="B176" s="458"/>
      <c r="C176" s="488" t="str">
        <f>Mineral_Dü!B4</f>
        <v>Harnstoff (Urea 46)</v>
      </c>
      <c r="D176" s="462">
        <f>Mineral_Dü!C4</f>
        <v>0</v>
      </c>
      <c r="E176" s="489">
        <f t="shared" si="88"/>
        <v>0</v>
      </c>
      <c r="F176" s="504">
        <f t="shared" si="89"/>
        <v>0.46</v>
      </c>
      <c r="G176" s="505">
        <f t="shared" si="90"/>
        <v>0.46</v>
      </c>
      <c r="H176" s="506">
        <f>Mineral_Dü!D4</f>
        <v>0.46</v>
      </c>
      <c r="I176" s="507">
        <f>Mineral_Dü!E4</f>
        <v>0</v>
      </c>
      <c r="J176" s="508">
        <f>Mineral_Dü!F4</f>
        <v>0</v>
      </c>
      <c r="K176" s="509">
        <v>1</v>
      </c>
      <c r="L176" s="489"/>
      <c r="M176" s="1399" t="s">
        <v>476</v>
      </c>
      <c r="N176" s="1406">
        <f t="shared" si="91"/>
        <v>0</v>
      </c>
      <c r="O176" s="1409">
        <f t="shared" si="92"/>
        <v>0</v>
      </c>
      <c r="P176" s="1405">
        <f t="shared" si="93"/>
        <v>0</v>
      </c>
      <c r="Q176" s="1369"/>
      <c r="R176" s="172"/>
      <c r="S176" s="2417"/>
      <c r="T176" s="2418"/>
      <c r="AE176" s="85" t="s">
        <v>482</v>
      </c>
      <c r="AF176" s="34">
        <f>AF172+CA22</f>
        <v>0</v>
      </c>
      <c r="AG176" s="34">
        <f>AG172+CI22</f>
        <v>0</v>
      </c>
      <c r="AH176" s="34">
        <f>AH172+CN22</f>
        <v>0</v>
      </c>
      <c r="AI176" s="80"/>
      <c r="AJ176" s="18"/>
      <c r="AK176"/>
      <c r="AO176" s="18"/>
      <c r="AQ176" s="18"/>
      <c r="AR176" s="18"/>
    </row>
    <row r="177" spans="1:44" ht="15.75" thickBot="1">
      <c r="A177" s="15">
        <v>16</v>
      </c>
      <c r="B177" s="458"/>
      <c r="C177" s="488" t="str">
        <f>Mineral_Dü!B5</f>
        <v>AHL in kg   (34,3 % je 100 lt)*</v>
      </c>
      <c r="D177" s="462">
        <f>Mineral_Dü!C5</f>
        <v>0</v>
      </c>
      <c r="E177" s="489">
        <f t="shared" si="88"/>
        <v>0</v>
      </c>
      <c r="F177" s="504">
        <f t="shared" si="89"/>
        <v>0.27</v>
      </c>
      <c r="G177" s="505">
        <f t="shared" si="90"/>
        <v>0.27</v>
      </c>
      <c r="H177" s="506">
        <f>Mineral_Dü!D5</f>
        <v>0.27</v>
      </c>
      <c r="I177" s="507">
        <f>Mineral_Dü!E5</f>
        <v>0</v>
      </c>
      <c r="J177" s="508">
        <f>Mineral_Dü!F5</f>
        <v>0</v>
      </c>
      <c r="K177" s="509">
        <v>1</v>
      </c>
      <c r="L177" s="489"/>
      <c r="M177" s="1399" t="s">
        <v>476</v>
      </c>
      <c r="N177" s="1406">
        <f t="shared" si="91"/>
        <v>0</v>
      </c>
      <c r="O177" s="1409">
        <f t="shared" si="92"/>
        <v>0</v>
      </c>
      <c r="P177" s="1405">
        <f t="shared" si="93"/>
        <v>0</v>
      </c>
      <c r="Q177" s="1369"/>
      <c r="R177" s="172"/>
      <c r="S177" s="502">
        <f>SUM(O165:O174)</f>
        <v>0</v>
      </c>
      <c r="T177" s="503">
        <f>SUM(P165:P174)</f>
        <v>0</v>
      </c>
      <c r="AE177" s="155">
        <f>IF(AF176=AX78,1,0)</f>
        <v>1</v>
      </c>
      <c r="AF177" s="156">
        <f>AX78-AF176</f>
        <v>0</v>
      </c>
      <c r="AI177" s="80"/>
      <c r="AJ177" s="18"/>
      <c r="AK177"/>
      <c r="AO177" s="18"/>
      <c r="AQ177" s="18"/>
      <c r="AR177" s="18"/>
    </row>
    <row r="178" spans="1:44">
      <c r="A178" s="15">
        <v>17</v>
      </c>
      <c r="B178" s="458"/>
      <c r="C178" s="488" t="str">
        <f>Mineral_Dü!B6</f>
        <v>AHL in kg   aus Bayern</v>
      </c>
      <c r="D178" s="462">
        <f>Mineral_Dü!C6</f>
        <v>0</v>
      </c>
      <c r="E178" s="489">
        <f t="shared" si="88"/>
        <v>0</v>
      </c>
      <c r="F178" s="504">
        <f t="shared" si="89"/>
        <v>0.30000000000000004</v>
      </c>
      <c r="G178" s="505">
        <f t="shared" si="90"/>
        <v>0.30000000000000004</v>
      </c>
      <c r="H178" s="506">
        <f>Mineral_Dü!D6</f>
        <v>0.30000000000000004</v>
      </c>
      <c r="I178" s="507">
        <f>Mineral_Dü!E6</f>
        <v>0</v>
      </c>
      <c r="J178" s="508">
        <f>Mineral_Dü!F6</f>
        <v>0</v>
      </c>
      <c r="K178" s="509">
        <v>1</v>
      </c>
      <c r="L178" s="489"/>
      <c r="M178" s="1399" t="s">
        <v>476</v>
      </c>
      <c r="N178" s="1406">
        <f t="shared" si="91"/>
        <v>0</v>
      </c>
      <c r="O178" s="1409">
        <f t="shared" si="92"/>
        <v>0</v>
      </c>
      <c r="P178" s="1405">
        <f t="shared" si="93"/>
        <v>0</v>
      </c>
      <c r="Q178" s="1369"/>
      <c r="R178" s="172"/>
      <c r="S178"/>
      <c r="T178"/>
      <c r="AE178" s="18" t="s">
        <v>262</v>
      </c>
      <c r="AI178" s="80"/>
      <c r="AJ178" s="18"/>
      <c r="AK178"/>
      <c r="AO178" s="18"/>
      <c r="AQ178" s="18"/>
      <c r="AR178" s="18"/>
    </row>
    <row r="179" spans="1:44">
      <c r="A179" s="15">
        <v>18</v>
      </c>
      <c r="B179" s="458"/>
      <c r="C179" s="488" t="str">
        <f>Mineral_Dü!B7</f>
        <v>SSA</v>
      </c>
      <c r="D179" s="462">
        <f>Mineral_Dü!C7</f>
        <v>0</v>
      </c>
      <c r="E179" s="489">
        <f t="shared" si="88"/>
        <v>0</v>
      </c>
      <c r="F179" s="504">
        <f t="shared" si="89"/>
        <v>0.21</v>
      </c>
      <c r="G179" s="505">
        <f t="shared" si="90"/>
        <v>0.21</v>
      </c>
      <c r="H179" s="506">
        <f>Mineral_Dü!D7</f>
        <v>0.21</v>
      </c>
      <c r="I179" s="507">
        <f>Mineral_Dü!E7</f>
        <v>0</v>
      </c>
      <c r="J179" s="508">
        <f>Mineral_Dü!F7</f>
        <v>0</v>
      </c>
      <c r="K179" s="509">
        <v>1</v>
      </c>
      <c r="L179" s="489"/>
      <c r="M179" s="1399" t="s">
        <v>476</v>
      </c>
      <c r="N179" s="1406">
        <f t="shared" si="91"/>
        <v>0</v>
      </c>
      <c r="O179" s="1409">
        <f t="shared" si="92"/>
        <v>0</v>
      </c>
      <c r="P179" s="1405">
        <f t="shared" si="93"/>
        <v>0</v>
      </c>
      <c r="Q179" s="1369"/>
      <c r="R179" s="172"/>
      <c r="AJ179" s="18"/>
      <c r="AK179"/>
      <c r="AO179" s="18"/>
      <c r="AQ179" s="18"/>
      <c r="AR179" s="18"/>
    </row>
    <row r="180" spans="1:44">
      <c r="A180" s="15">
        <v>19</v>
      </c>
      <c r="B180" s="458"/>
      <c r="C180" s="488" t="str">
        <f>Mineral_Dü!B8</f>
        <v>Piamon</v>
      </c>
      <c r="D180" s="462">
        <f>Mineral_Dü!C8</f>
        <v>0</v>
      </c>
      <c r="E180" s="489">
        <f t="shared" si="88"/>
        <v>0</v>
      </c>
      <c r="F180" s="504">
        <f t="shared" si="89"/>
        <v>0.33</v>
      </c>
      <c r="G180" s="505">
        <f t="shared" si="90"/>
        <v>0.33</v>
      </c>
      <c r="H180" s="506">
        <f>Mineral_Dü!D8</f>
        <v>0.33</v>
      </c>
      <c r="I180" s="507">
        <f>Mineral_Dü!E8</f>
        <v>0</v>
      </c>
      <c r="J180" s="508">
        <f>Mineral_Dü!F8</f>
        <v>0</v>
      </c>
      <c r="K180" s="509">
        <v>1</v>
      </c>
      <c r="L180" s="489"/>
      <c r="M180" s="1399" t="s">
        <v>476</v>
      </c>
      <c r="N180" s="1406">
        <f t="shared" si="91"/>
        <v>0</v>
      </c>
      <c r="O180" s="1409">
        <f t="shared" si="92"/>
        <v>0</v>
      </c>
      <c r="P180" s="1405">
        <f t="shared" si="93"/>
        <v>0</v>
      </c>
      <c r="Q180" s="1369"/>
      <c r="R180" s="172"/>
      <c r="AJ180" s="18"/>
      <c r="AK180"/>
      <c r="AO180" s="18"/>
      <c r="AQ180" s="18"/>
      <c r="AR180" s="18"/>
    </row>
    <row r="181" spans="1:44">
      <c r="A181" s="15">
        <v>20</v>
      </c>
      <c r="B181" s="458"/>
      <c r="C181" s="488" t="str">
        <f>Mineral_Dü!B9</f>
        <v>Kalkstickstoff</v>
      </c>
      <c r="D181" s="462">
        <f>Mineral_Dü!C9</f>
        <v>0</v>
      </c>
      <c r="E181" s="489">
        <f t="shared" si="88"/>
        <v>0</v>
      </c>
      <c r="F181" s="504">
        <f t="shared" si="89"/>
        <v>0.2</v>
      </c>
      <c r="G181" s="505">
        <f t="shared" si="90"/>
        <v>0.2</v>
      </c>
      <c r="H181" s="506">
        <f>Mineral_Dü!D9</f>
        <v>0.2</v>
      </c>
      <c r="I181" s="507">
        <f>Mineral_Dü!E9</f>
        <v>0</v>
      </c>
      <c r="J181" s="508">
        <f>Mineral_Dü!F9</f>
        <v>0</v>
      </c>
      <c r="K181" s="509">
        <v>1</v>
      </c>
      <c r="L181" s="489"/>
      <c r="M181" s="1399" t="s">
        <v>476</v>
      </c>
      <c r="N181" s="1406">
        <f t="shared" si="91"/>
        <v>0</v>
      </c>
      <c r="O181" s="1409">
        <f t="shared" si="92"/>
        <v>0</v>
      </c>
      <c r="P181" s="1405">
        <f t="shared" si="93"/>
        <v>0</v>
      </c>
      <c r="Q181" s="1369"/>
      <c r="R181" s="172"/>
      <c r="AJ181" s="18"/>
      <c r="AK181"/>
      <c r="AO181" s="18"/>
      <c r="AQ181" s="18"/>
      <c r="AR181" s="18"/>
    </row>
    <row r="182" spans="1:44">
      <c r="A182" s="15">
        <v>21</v>
      </c>
      <c r="B182" s="458"/>
      <c r="C182" s="488" t="str">
        <f>Mineral_Dü!B10</f>
        <v>Diammonphosphat</v>
      </c>
      <c r="D182" s="462">
        <f>Mineral_Dü!C10</f>
        <v>0</v>
      </c>
      <c r="E182" s="489">
        <f t="shared" si="88"/>
        <v>0</v>
      </c>
      <c r="F182" s="504">
        <f t="shared" si="89"/>
        <v>0.18</v>
      </c>
      <c r="G182" s="505">
        <f t="shared" si="90"/>
        <v>0.18</v>
      </c>
      <c r="H182" s="506">
        <f>Mineral_Dü!D10</f>
        <v>0.18</v>
      </c>
      <c r="I182" s="507">
        <f>Mineral_Dü!E10</f>
        <v>0.46</v>
      </c>
      <c r="J182" s="508">
        <f>Mineral_Dü!F10</f>
        <v>0</v>
      </c>
      <c r="K182" s="509">
        <v>1</v>
      </c>
      <c r="L182" s="489"/>
      <c r="M182" s="1399" t="s">
        <v>476</v>
      </c>
      <c r="N182" s="1406">
        <f t="shared" si="91"/>
        <v>0</v>
      </c>
      <c r="O182" s="1409">
        <f t="shared" si="92"/>
        <v>0</v>
      </c>
      <c r="P182" s="1405">
        <f t="shared" si="93"/>
        <v>0</v>
      </c>
      <c r="Q182" s="1369"/>
      <c r="R182" s="172"/>
      <c r="AJ182" s="18"/>
      <c r="AK182"/>
      <c r="AO182" s="18"/>
      <c r="AQ182" s="18"/>
      <c r="AR182" s="18"/>
    </row>
    <row r="183" spans="1:44" ht="15">
      <c r="A183" s="15">
        <v>22</v>
      </c>
      <c r="B183" s="458"/>
      <c r="C183" s="488" t="str">
        <f>Mineral_Dü!B11</f>
        <v>Complex grün 20/20</v>
      </c>
      <c r="D183" s="462">
        <f>Mineral_Dü!C11</f>
        <v>0</v>
      </c>
      <c r="E183" s="489">
        <f t="shared" si="88"/>
        <v>0</v>
      </c>
      <c r="F183" s="504">
        <f t="shared" si="89"/>
        <v>0.2</v>
      </c>
      <c r="G183" s="505">
        <f t="shared" si="90"/>
        <v>0.2</v>
      </c>
      <c r="H183" s="506">
        <f>Mineral_Dü!D11</f>
        <v>0.2</v>
      </c>
      <c r="I183" s="507">
        <f>Mineral_Dü!E11</f>
        <v>0.2</v>
      </c>
      <c r="J183" s="508">
        <f>Mineral_Dü!F11</f>
        <v>0</v>
      </c>
      <c r="K183" s="509">
        <v>1</v>
      </c>
      <c r="L183" s="489"/>
      <c r="M183" s="1399" t="s">
        <v>476</v>
      </c>
      <c r="N183" s="1406">
        <f t="shared" si="91"/>
        <v>0</v>
      </c>
      <c r="O183" s="1409">
        <f t="shared" si="92"/>
        <v>0</v>
      </c>
      <c r="P183" s="1405">
        <f t="shared" si="93"/>
        <v>0</v>
      </c>
      <c r="Q183" s="1369"/>
      <c r="R183" s="172"/>
      <c r="AJ183" s="151"/>
      <c r="AK183" s="151"/>
      <c r="AO183" s="18"/>
      <c r="AQ183" s="18"/>
      <c r="AR183" s="18"/>
    </row>
    <row r="184" spans="1:44">
      <c r="A184" s="15">
        <v>23</v>
      </c>
      <c r="B184" s="458"/>
      <c r="C184" s="488" t="str">
        <f>Mineral_Dü!B12</f>
        <v>Complex grün 26/10</v>
      </c>
      <c r="D184" s="462">
        <f>Mineral_Dü!C12</f>
        <v>0</v>
      </c>
      <c r="E184" s="489">
        <f t="shared" si="88"/>
        <v>0</v>
      </c>
      <c r="F184" s="504">
        <f t="shared" si="89"/>
        <v>0.26</v>
      </c>
      <c r="G184" s="505">
        <f t="shared" si="90"/>
        <v>0.26</v>
      </c>
      <c r="H184" s="506">
        <f>Mineral_Dü!D12</f>
        <v>0.26</v>
      </c>
      <c r="I184" s="507">
        <f>Mineral_Dü!E12</f>
        <v>0.1</v>
      </c>
      <c r="J184" s="508">
        <f>Mineral_Dü!F12</f>
        <v>0</v>
      </c>
      <c r="K184" s="509">
        <v>1</v>
      </c>
      <c r="L184" s="489"/>
      <c r="M184" s="1399" t="s">
        <v>476</v>
      </c>
      <c r="N184" s="1406">
        <f t="shared" si="91"/>
        <v>0</v>
      </c>
      <c r="O184" s="1409">
        <f t="shared" si="92"/>
        <v>0</v>
      </c>
      <c r="P184" s="1405">
        <f t="shared" si="93"/>
        <v>0</v>
      </c>
      <c r="Q184" s="1369"/>
      <c r="R184" s="172"/>
      <c r="AJ184" s="18"/>
      <c r="AO184" s="18"/>
      <c r="AQ184" s="18"/>
      <c r="AR184" s="18"/>
    </row>
    <row r="185" spans="1:44">
      <c r="A185" s="15">
        <v>24</v>
      </c>
      <c r="B185" s="458"/>
      <c r="C185" s="488" t="str">
        <f>Mineral_Dü!B13</f>
        <v>DC start</v>
      </c>
      <c r="D185" s="462">
        <f>Mineral_Dü!C13</f>
        <v>0</v>
      </c>
      <c r="E185" s="489">
        <f t="shared" si="88"/>
        <v>0</v>
      </c>
      <c r="F185" s="504">
        <f t="shared" si="89"/>
        <v>0.06</v>
      </c>
      <c r="G185" s="505">
        <f t="shared" si="90"/>
        <v>0.06</v>
      </c>
      <c r="H185" s="506">
        <f>Mineral_Dü!D13</f>
        <v>0.06</v>
      </c>
      <c r="I185" s="507">
        <f>Mineral_Dü!E13</f>
        <v>0.1</v>
      </c>
      <c r="J185" s="508">
        <f>Mineral_Dü!F13</f>
        <v>0.16</v>
      </c>
      <c r="K185" s="509">
        <v>1</v>
      </c>
      <c r="L185" s="489"/>
      <c r="M185" s="1399" t="s">
        <v>476</v>
      </c>
      <c r="N185" s="1406">
        <f t="shared" si="91"/>
        <v>0</v>
      </c>
      <c r="O185" s="1409">
        <f t="shared" si="92"/>
        <v>0</v>
      </c>
      <c r="P185" s="1405">
        <f t="shared" si="93"/>
        <v>0</v>
      </c>
      <c r="Q185" s="1369"/>
      <c r="R185" s="172"/>
      <c r="AJ185" s="18"/>
    </row>
    <row r="186" spans="1:44">
      <c r="A186" s="15">
        <v>25</v>
      </c>
      <c r="B186" s="458"/>
      <c r="C186" s="488" t="str">
        <f>Mineral_Dü!B14</f>
        <v>DC 37</v>
      </c>
      <c r="D186" s="462">
        <f>Mineral_Dü!C14</f>
        <v>0</v>
      </c>
      <c r="E186" s="489">
        <f t="shared" si="88"/>
        <v>0</v>
      </c>
      <c r="F186" s="504">
        <f t="shared" si="89"/>
        <v>0.12</v>
      </c>
      <c r="G186" s="505">
        <f t="shared" si="90"/>
        <v>0.12</v>
      </c>
      <c r="H186" s="506">
        <f>Mineral_Dü!D14</f>
        <v>0.12</v>
      </c>
      <c r="I186" s="507">
        <f>Mineral_Dü!E14</f>
        <v>0.1</v>
      </c>
      <c r="J186" s="508">
        <f>Mineral_Dü!F14</f>
        <v>0.15</v>
      </c>
      <c r="K186" s="509">
        <v>1</v>
      </c>
      <c r="L186" s="489"/>
      <c r="M186" s="1399" t="s">
        <v>476</v>
      </c>
      <c r="N186" s="1406">
        <f t="shared" si="91"/>
        <v>0</v>
      </c>
      <c r="O186" s="1409">
        <f t="shared" si="92"/>
        <v>0</v>
      </c>
      <c r="P186" s="1405">
        <f t="shared" si="93"/>
        <v>0</v>
      </c>
      <c r="Q186" s="1369"/>
      <c r="R186" s="172"/>
      <c r="AJ186" s="18"/>
    </row>
    <row r="187" spans="1:44">
      <c r="A187" s="15">
        <v>26</v>
      </c>
      <c r="B187" s="458"/>
      <c r="C187" s="488" t="str">
        <f>Mineral_Dü!B15</f>
        <v>DC (13 / 5 / 15+15 S)</v>
      </c>
      <c r="D187" s="462">
        <f>Mineral_Dü!C15</f>
        <v>0</v>
      </c>
      <c r="E187" s="489">
        <f t="shared" si="88"/>
        <v>0</v>
      </c>
      <c r="F187" s="504">
        <f t="shared" si="89"/>
        <v>0.13</v>
      </c>
      <c r="G187" s="505">
        <f t="shared" si="90"/>
        <v>0.13</v>
      </c>
      <c r="H187" s="506">
        <f>Mineral_Dü!D15</f>
        <v>0.13</v>
      </c>
      <c r="I187" s="507">
        <f>Mineral_Dü!E15</f>
        <v>0.05</v>
      </c>
      <c r="J187" s="508">
        <f>Mineral_Dü!F15</f>
        <v>0.15</v>
      </c>
      <c r="K187" s="509">
        <v>1</v>
      </c>
      <c r="L187" s="489"/>
      <c r="M187" s="1399" t="s">
        <v>476</v>
      </c>
      <c r="N187" s="1406">
        <f t="shared" si="91"/>
        <v>0</v>
      </c>
      <c r="O187" s="1409">
        <f t="shared" si="92"/>
        <v>0</v>
      </c>
      <c r="P187" s="1405">
        <f t="shared" si="93"/>
        <v>0</v>
      </c>
      <c r="Q187" s="1369"/>
      <c r="R187" s="172"/>
      <c r="AJ187" s="18"/>
    </row>
    <row r="188" spans="1:44">
      <c r="A188" s="15">
        <v>27</v>
      </c>
      <c r="B188" s="458"/>
      <c r="C188" s="488" t="str">
        <f>Mineral_Dü!B16</f>
        <v>DC (15 / 5 / 5+18 S)</v>
      </c>
      <c r="D188" s="462">
        <f>Mineral_Dü!C16</f>
        <v>0</v>
      </c>
      <c r="E188" s="489">
        <f t="shared" si="88"/>
        <v>0</v>
      </c>
      <c r="F188" s="504">
        <f t="shared" si="89"/>
        <v>0.15</v>
      </c>
      <c r="G188" s="505">
        <f t="shared" si="90"/>
        <v>0.15</v>
      </c>
      <c r="H188" s="506">
        <f>Mineral_Dü!D16</f>
        <v>0.15</v>
      </c>
      <c r="I188" s="507">
        <f>Mineral_Dü!E16</f>
        <v>0.05</v>
      </c>
      <c r="J188" s="508">
        <f>Mineral_Dü!F16</f>
        <v>0.05</v>
      </c>
      <c r="K188" s="509">
        <v>1</v>
      </c>
      <c r="L188" s="489"/>
      <c r="M188" s="1399" t="s">
        <v>476</v>
      </c>
      <c r="N188" s="1406">
        <f t="shared" si="91"/>
        <v>0</v>
      </c>
      <c r="O188" s="1409">
        <f t="shared" si="92"/>
        <v>0</v>
      </c>
      <c r="P188" s="1405">
        <f t="shared" si="93"/>
        <v>0</v>
      </c>
      <c r="Q188" s="1369"/>
      <c r="R188" s="172"/>
      <c r="AJ188" s="18"/>
    </row>
    <row r="189" spans="1:44">
      <c r="A189" s="15">
        <v>28</v>
      </c>
      <c r="B189" s="458"/>
      <c r="C189" s="488" t="str">
        <f>Mineral_Dü!B17</f>
        <v>Complex orange (Linzer Pro)</v>
      </c>
      <c r="D189" s="462">
        <f>Mineral_Dü!C17</f>
        <v>0</v>
      </c>
      <c r="E189" s="489">
        <f t="shared" si="88"/>
        <v>0</v>
      </c>
      <c r="F189" s="504">
        <f t="shared" si="89"/>
        <v>0.14000000000000001</v>
      </c>
      <c r="G189" s="505">
        <f t="shared" si="90"/>
        <v>0.14000000000000001</v>
      </c>
      <c r="H189" s="506">
        <f>Mineral_Dü!D17</f>
        <v>0.14000000000000001</v>
      </c>
      <c r="I189" s="507">
        <f>Mineral_Dü!E17</f>
        <v>0.1</v>
      </c>
      <c r="J189" s="508">
        <f>Mineral_Dü!F17</f>
        <v>0.2</v>
      </c>
      <c r="K189" s="509">
        <v>1</v>
      </c>
      <c r="L189" s="489"/>
      <c r="M189" s="1399" t="s">
        <v>476</v>
      </c>
      <c r="N189" s="1406">
        <f t="shared" si="91"/>
        <v>0</v>
      </c>
      <c r="O189" s="1409">
        <f t="shared" si="92"/>
        <v>0</v>
      </c>
      <c r="P189" s="1405">
        <f t="shared" si="93"/>
        <v>0</v>
      </c>
      <c r="Q189" s="1369"/>
      <c r="R189" s="172"/>
      <c r="AJ189" s="18"/>
    </row>
    <row r="190" spans="1:44">
      <c r="A190" s="15">
        <v>29</v>
      </c>
      <c r="B190" s="458"/>
      <c r="C190" s="488" t="str">
        <f>Mineral_Dü!B18</f>
        <v>Complex gelb (Linzer Star)</v>
      </c>
      <c r="D190" s="462">
        <f>Mineral_Dü!C18</f>
        <v>0</v>
      </c>
      <c r="E190" s="489">
        <f t="shared" si="88"/>
        <v>0</v>
      </c>
      <c r="F190" s="504">
        <f t="shared" si="89"/>
        <v>0.15</v>
      </c>
      <c r="G190" s="505">
        <f t="shared" si="90"/>
        <v>0.15</v>
      </c>
      <c r="H190" s="506">
        <f>Mineral_Dü!D18</f>
        <v>0.15</v>
      </c>
      <c r="I190" s="507">
        <f>Mineral_Dü!E18</f>
        <v>0.15</v>
      </c>
      <c r="J190" s="508">
        <f>Mineral_Dü!F18</f>
        <v>0.15</v>
      </c>
      <c r="K190" s="509">
        <v>1</v>
      </c>
      <c r="L190" s="489"/>
      <c r="M190" s="1399" t="s">
        <v>476</v>
      </c>
      <c r="N190" s="1406">
        <f t="shared" si="91"/>
        <v>0</v>
      </c>
      <c r="O190" s="1409">
        <f t="shared" si="92"/>
        <v>0</v>
      </c>
      <c r="P190" s="1405">
        <f t="shared" si="93"/>
        <v>0</v>
      </c>
      <c r="Q190" s="1369"/>
      <c r="R190" s="172"/>
      <c r="AJ190" s="18"/>
    </row>
    <row r="191" spans="1:44">
      <c r="A191" s="15">
        <v>30</v>
      </c>
      <c r="B191" s="458"/>
      <c r="C191" s="488" t="str">
        <f>Mineral_Dü!B19</f>
        <v>Complex blaugrün (Linzer Plus)</v>
      </c>
      <c r="D191" s="462">
        <f>Mineral_Dü!C19</f>
        <v>0</v>
      </c>
      <c r="E191" s="489">
        <f t="shared" si="88"/>
        <v>0</v>
      </c>
      <c r="F191" s="504">
        <f t="shared" si="89"/>
        <v>0.2</v>
      </c>
      <c r="G191" s="505">
        <f t="shared" si="90"/>
        <v>0.2</v>
      </c>
      <c r="H191" s="506">
        <f>Mineral_Dü!D19</f>
        <v>0.2</v>
      </c>
      <c r="I191" s="507">
        <f>Mineral_Dü!E19</f>
        <v>0.08</v>
      </c>
      <c r="J191" s="508">
        <f>Mineral_Dü!F19</f>
        <v>0.08</v>
      </c>
      <c r="K191" s="509">
        <v>1</v>
      </c>
      <c r="L191" s="489"/>
      <c r="M191" s="1399" t="s">
        <v>476</v>
      </c>
      <c r="N191" s="1406">
        <f t="shared" si="91"/>
        <v>0</v>
      </c>
      <c r="O191" s="1409">
        <f t="shared" si="92"/>
        <v>0</v>
      </c>
      <c r="P191" s="1405">
        <f t="shared" si="93"/>
        <v>0</v>
      </c>
      <c r="Q191" s="1369"/>
      <c r="R191" s="172"/>
      <c r="AJ191" s="18"/>
    </row>
    <row r="192" spans="1:44">
      <c r="A192" s="15">
        <v>31</v>
      </c>
      <c r="B192" s="458"/>
      <c r="C192" s="488" t="str">
        <f>Mineral_Dü!B20</f>
        <v>Complex blau (15/5/18)</v>
      </c>
      <c r="D192" s="462">
        <f>Mineral_Dü!C20</f>
        <v>0</v>
      </c>
      <c r="E192" s="489">
        <f t="shared" si="88"/>
        <v>0</v>
      </c>
      <c r="F192" s="504">
        <f t="shared" si="89"/>
        <v>0.15</v>
      </c>
      <c r="G192" s="505">
        <f t="shared" si="90"/>
        <v>0.15</v>
      </c>
      <c r="H192" s="506">
        <f>Mineral_Dü!D20</f>
        <v>0.15</v>
      </c>
      <c r="I192" s="507">
        <f>Mineral_Dü!E20</f>
        <v>0.05</v>
      </c>
      <c r="J192" s="508">
        <f>Mineral_Dü!F20</f>
        <v>0.18</v>
      </c>
      <c r="K192" s="509">
        <v>1</v>
      </c>
      <c r="L192" s="489"/>
      <c r="M192" s="1399" t="s">
        <v>476</v>
      </c>
      <c r="N192" s="1406">
        <f t="shared" si="91"/>
        <v>0</v>
      </c>
      <c r="O192" s="1409">
        <f t="shared" si="92"/>
        <v>0</v>
      </c>
      <c r="P192" s="1405">
        <f t="shared" si="93"/>
        <v>0</v>
      </c>
      <c r="Q192" s="1369"/>
      <c r="R192" s="172"/>
      <c r="AJ192" s="18"/>
    </row>
    <row r="193" spans="1:36">
      <c r="A193" s="15">
        <v>32</v>
      </c>
      <c r="B193" s="458"/>
      <c r="C193" s="488" t="str">
        <f>Mineral_Dü!B21</f>
        <v>Complex rot (Linzer Top)</v>
      </c>
      <c r="D193" s="462">
        <f>Mineral_Dü!C21</f>
        <v>0</v>
      </c>
      <c r="E193" s="489">
        <f t="shared" si="88"/>
        <v>0</v>
      </c>
      <c r="F193" s="504">
        <f t="shared" si="89"/>
        <v>0.12</v>
      </c>
      <c r="G193" s="505">
        <f t="shared" si="90"/>
        <v>0.12</v>
      </c>
      <c r="H193" s="506">
        <f>Mineral_Dü!D21</f>
        <v>0.12</v>
      </c>
      <c r="I193" s="507">
        <f>Mineral_Dü!E21</f>
        <v>0.12</v>
      </c>
      <c r="J193" s="508">
        <f>Mineral_Dü!F21</f>
        <v>0.17</v>
      </c>
      <c r="K193" s="509">
        <v>1</v>
      </c>
      <c r="L193" s="489"/>
      <c r="M193" s="1399" t="s">
        <v>476</v>
      </c>
      <c r="N193" s="1406">
        <f t="shared" si="91"/>
        <v>0</v>
      </c>
      <c r="O193" s="1409">
        <f t="shared" si="92"/>
        <v>0</v>
      </c>
      <c r="P193" s="1405">
        <f t="shared" si="93"/>
        <v>0</v>
      </c>
      <c r="Q193" s="1369"/>
      <c r="R193" s="172"/>
      <c r="AJ193" s="18"/>
    </row>
    <row r="194" spans="1:36">
      <c r="A194" s="15">
        <v>33</v>
      </c>
      <c r="B194" s="458"/>
      <c r="C194" s="488" t="str">
        <f>Mineral_Dü!B22</f>
        <v>Vario 18/11/11</v>
      </c>
      <c r="D194" s="462">
        <f>Mineral_Dü!C22</f>
        <v>0</v>
      </c>
      <c r="E194" s="489">
        <f t="shared" si="88"/>
        <v>0</v>
      </c>
      <c r="F194" s="504">
        <f t="shared" si="89"/>
        <v>0.18</v>
      </c>
      <c r="G194" s="505">
        <f t="shared" si="90"/>
        <v>0.18</v>
      </c>
      <c r="H194" s="506">
        <f>Mineral_Dü!D22</f>
        <v>0.18</v>
      </c>
      <c r="I194" s="507">
        <f>Mineral_Dü!E22</f>
        <v>0.11</v>
      </c>
      <c r="J194" s="508">
        <f>Mineral_Dü!F22</f>
        <v>0.11</v>
      </c>
      <c r="K194" s="509">
        <v>1</v>
      </c>
      <c r="L194" s="489"/>
      <c r="M194" s="1399" t="s">
        <v>476</v>
      </c>
      <c r="N194" s="1406">
        <f t="shared" si="91"/>
        <v>0</v>
      </c>
      <c r="O194" s="1409">
        <f t="shared" si="92"/>
        <v>0</v>
      </c>
      <c r="P194" s="1405">
        <f t="shared" si="93"/>
        <v>0</v>
      </c>
      <c r="Q194" s="1369"/>
      <c r="R194" s="172"/>
      <c r="AJ194" s="18"/>
    </row>
    <row r="195" spans="1:36">
      <c r="A195" s="15">
        <v>34</v>
      </c>
      <c r="B195" s="458"/>
      <c r="C195" s="488" t="str">
        <f>Mineral_Dü!B23</f>
        <v>Vario 20/7/7</v>
      </c>
      <c r="D195" s="462">
        <f>Mineral_Dü!C23</f>
        <v>0</v>
      </c>
      <c r="E195" s="489">
        <f t="shared" si="88"/>
        <v>0</v>
      </c>
      <c r="F195" s="504">
        <f t="shared" si="89"/>
        <v>0.2</v>
      </c>
      <c r="G195" s="505">
        <f t="shared" si="90"/>
        <v>0.2</v>
      </c>
      <c r="H195" s="506">
        <f>Mineral_Dü!D23</f>
        <v>0.2</v>
      </c>
      <c r="I195" s="507">
        <f>Mineral_Dü!E23</f>
        <v>7.0000000000000007E-2</v>
      </c>
      <c r="J195" s="508">
        <f>Mineral_Dü!F23</f>
        <v>7.0000000000000007E-2</v>
      </c>
      <c r="K195" s="509">
        <v>1</v>
      </c>
      <c r="L195" s="489"/>
      <c r="M195" s="1399" t="s">
        <v>476</v>
      </c>
      <c r="N195" s="1406">
        <f t="shared" si="91"/>
        <v>0</v>
      </c>
      <c r="O195" s="1409">
        <f t="shared" si="92"/>
        <v>0</v>
      </c>
      <c r="P195" s="1405">
        <f t="shared" si="93"/>
        <v>0</v>
      </c>
      <c r="Q195" s="1369"/>
      <c r="R195" s="172"/>
      <c r="AJ195" s="18"/>
    </row>
    <row r="196" spans="1:36">
      <c r="A196" s="15">
        <v>35</v>
      </c>
      <c r="B196" s="458"/>
      <c r="C196" s="488" t="str">
        <f>Mineral_Dü!B24</f>
        <v>Vario 21/7/7</v>
      </c>
      <c r="D196" s="462">
        <f>Mineral_Dü!C24</f>
        <v>0</v>
      </c>
      <c r="E196" s="489">
        <f t="shared" si="88"/>
        <v>0</v>
      </c>
      <c r="F196" s="504">
        <f t="shared" si="89"/>
        <v>0.21</v>
      </c>
      <c r="G196" s="505">
        <f t="shared" si="90"/>
        <v>0.21</v>
      </c>
      <c r="H196" s="506">
        <f>Mineral_Dü!D24</f>
        <v>0.21</v>
      </c>
      <c r="I196" s="507">
        <f>Mineral_Dü!E24</f>
        <v>7.0000000000000007E-2</v>
      </c>
      <c r="J196" s="508">
        <f>Mineral_Dü!F24</f>
        <v>7.0000000000000007E-2</v>
      </c>
      <c r="K196" s="509">
        <v>1</v>
      </c>
      <c r="L196" s="489"/>
      <c r="M196" s="1399" t="s">
        <v>476</v>
      </c>
      <c r="N196" s="1406">
        <f t="shared" si="91"/>
        <v>0</v>
      </c>
      <c r="O196" s="1409">
        <f t="shared" si="92"/>
        <v>0</v>
      </c>
      <c r="P196" s="1405">
        <f t="shared" si="93"/>
        <v>0</v>
      </c>
      <c r="Q196" s="1369"/>
      <c r="R196" s="172"/>
      <c r="AJ196" s="18"/>
    </row>
    <row r="197" spans="1:36">
      <c r="A197" s="15">
        <v>1</v>
      </c>
      <c r="B197" s="458"/>
      <c r="C197" s="488" t="str">
        <f>CONCATENATE(A197,"_",Mineral_Dü!B25)</f>
        <v>1_Sonstige</v>
      </c>
      <c r="D197" s="462">
        <f>Mineral_Dü!C25</f>
        <v>0</v>
      </c>
      <c r="E197" s="489">
        <f t="shared" si="88"/>
        <v>0</v>
      </c>
      <c r="F197" s="504">
        <f t="shared" si="89"/>
        <v>0</v>
      </c>
      <c r="G197" s="505">
        <f t="shared" si="90"/>
        <v>0</v>
      </c>
      <c r="H197" s="506">
        <f>Mineral_Dü!D25</f>
        <v>0</v>
      </c>
      <c r="I197" s="507">
        <f>Mineral_Dü!E25</f>
        <v>0</v>
      </c>
      <c r="J197" s="508">
        <f>Mineral_Dü!F25</f>
        <v>0</v>
      </c>
      <c r="K197" s="509">
        <v>1</v>
      </c>
      <c r="L197" s="489"/>
      <c r="M197" s="1399" t="s">
        <v>476</v>
      </c>
      <c r="N197" s="1406">
        <f t="shared" si="91"/>
        <v>0</v>
      </c>
      <c r="O197" s="1409">
        <f t="shared" si="92"/>
        <v>0</v>
      </c>
      <c r="P197" s="1405">
        <f t="shared" si="93"/>
        <v>0</v>
      </c>
      <c r="Q197" s="1369"/>
      <c r="R197" s="172"/>
      <c r="AJ197" s="18"/>
    </row>
    <row r="198" spans="1:36">
      <c r="A198" s="15">
        <v>2</v>
      </c>
      <c r="B198" s="458"/>
      <c r="C198" s="488" t="str">
        <f>CONCATENATE(A198,"_",Mineral_Dü!B26)</f>
        <v>2_Sonstige</v>
      </c>
      <c r="D198" s="462">
        <f>Mineral_Dü!C26</f>
        <v>0</v>
      </c>
      <c r="E198" s="489">
        <f t="shared" si="88"/>
        <v>0</v>
      </c>
      <c r="F198" s="504">
        <f t="shared" si="89"/>
        <v>0</v>
      </c>
      <c r="G198" s="505">
        <f t="shared" si="90"/>
        <v>0</v>
      </c>
      <c r="H198" s="506">
        <f>Mineral_Dü!D26</f>
        <v>0</v>
      </c>
      <c r="I198" s="507">
        <f>Mineral_Dü!E26</f>
        <v>0</v>
      </c>
      <c r="J198" s="508">
        <f>Mineral_Dü!F26</f>
        <v>0</v>
      </c>
      <c r="K198" s="509">
        <v>1</v>
      </c>
      <c r="L198" s="489"/>
      <c r="M198" s="1399" t="s">
        <v>476</v>
      </c>
      <c r="N198" s="1406">
        <f t="shared" si="91"/>
        <v>0</v>
      </c>
      <c r="O198" s="1409">
        <f t="shared" si="92"/>
        <v>0</v>
      </c>
      <c r="P198" s="1405">
        <f t="shared" si="93"/>
        <v>0</v>
      </c>
      <c r="Q198" s="1369"/>
      <c r="R198" s="172"/>
      <c r="AJ198" s="18"/>
    </row>
    <row r="199" spans="1:36">
      <c r="A199" s="15">
        <v>3</v>
      </c>
      <c r="B199" s="458"/>
      <c r="C199" s="488" t="str">
        <f>CONCATENATE(A199,"_",Mineral_Dü!B27)</f>
        <v>3_Sonstige</v>
      </c>
      <c r="D199" s="462">
        <f>Mineral_Dü!C27</f>
        <v>0</v>
      </c>
      <c r="E199" s="489">
        <f t="shared" si="88"/>
        <v>0</v>
      </c>
      <c r="F199" s="504">
        <f t="shared" si="89"/>
        <v>0</v>
      </c>
      <c r="G199" s="505">
        <f t="shared" si="90"/>
        <v>0</v>
      </c>
      <c r="H199" s="506">
        <f>Mineral_Dü!D27</f>
        <v>0</v>
      </c>
      <c r="I199" s="507">
        <f>Mineral_Dü!E27</f>
        <v>0</v>
      </c>
      <c r="J199" s="508">
        <f>Mineral_Dü!F27</f>
        <v>0</v>
      </c>
      <c r="K199" s="509">
        <v>1</v>
      </c>
      <c r="L199" s="489"/>
      <c r="M199" s="1399" t="s">
        <v>476</v>
      </c>
      <c r="N199" s="1406">
        <f t="shared" si="91"/>
        <v>0</v>
      </c>
      <c r="O199" s="1409">
        <f t="shared" si="92"/>
        <v>0</v>
      </c>
      <c r="P199" s="1405">
        <f t="shared" si="93"/>
        <v>0</v>
      </c>
      <c r="Q199" s="1369"/>
      <c r="R199" s="172"/>
      <c r="AJ199" s="18"/>
    </row>
    <row r="200" spans="1:36">
      <c r="A200" s="15">
        <v>4</v>
      </c>
      <c r="B200" s="458"/>
      <c r="C200" s="488" t="str">
        <f>CONCATENATE(A200,"_",Mineral_Dü!B28)</f>
        <v>4_Abschluß</v>
      </c>
      <c r="D200" s="462">
        <f>Mineral_Dü!C28</f>
        <v>0</v>
      </c>
      <c r="E200" s="489">
        <f t="shared" si="88"/>
        <v>0</v>
      </c>
      <c r="F200" s="504">
        <f t="shared" si="89"/>
        <v>0</v>
      </c>
      <c r="G200" s="505">
        <f t="shared" si="90"/>
        <v>0</v>
      </c>
      <c r="H200" s="506">
        <f>Mineral_Dü!D28</f>
        <v>0</v>
      </c>
      <c r="I200" s="507">
        <f>Mineral_Dü!E28</f>
        <v>0</v>
      </c>
      <c r="J200" s="508">
        <f>Mineral_Dü!F28</f>
        <v>0</v>
      </c>
      <c r="K200" s="509">
        <v>1</v>
      </c>
      <c r="L200" s="489"/>
      <c r="M200" s="1399" t="s">
        <v>476</v>
      </c>
      <c r="N200" s="1406">
        <f t="shared" si="91"/>
        <v>0</v>
      </c>
      <c r="O200" s="1409">
        <f t="shared" si="92"/>
        <v>0</v>
      </c>
      <c r="P200" s="1405">
        <f t="shared" si="93"/>
        <v>0</v>
      </c>
      <c r="Q200" s="1369"/>
      <c r="R200" s="172"/>
      <c r="AI200" s="80"/>
      <c r="AJ200" s="18"/>
    </row>
    <row r="201" spans="1:36">
      <c r="A201" s="15">
        <v>5</v>
      </c>
      <c r="B201" s="458"/>
      <c r="C201" s="488"/>
      <c r="D201" s="462"/>
      <c r="E201" s="489"/>
      <c r="F201" s="504"/>
      <c r="G201" s="505"/>
      <c r="H201" s="506"/>
      <c r="I201" s="507"/>
      <c r="J201" s="508"/>
      <c r="K201" s="509"/>
      <c r="L201" s="489"/>
      <c r="M201" s="1399"/>
      <c r="N201" s="1406"/>
      <c r="O201" s="1409"/>
      <c r="P201" s="1405"/>
      <c r="Q201" s="1369"/>
      <c r="R201" s="172"/>
      <c r="AI201" s="80"/>
      <c r="AJ201" s="18"/>
    </row>
    <row r="202" spans="1:36" ht="15.75" thickBot="1">
      <c r="B202" s="458"/>
      <c r="C202" s="488"/>
      <c r="D202" s="170"/>
      <c r="E202" s="170"/>
      <c r="F202" s="512" t="s">
        <v>112</v>
      </c>
      <c r="G202" s="513" t="s">
        <v>112</v>
      </c>
      <c r="H202" s="514" t="s">
        <v>483</v>
      </c>
      <c r="I202" s="515" t="s">
        <v>113</v>
      </c>
      <c r="J202" s="516" t="s">
        <v>114</v>
      </c>
      <c r="K202" s="517" t="s">
        <v>484</v>
      </c>
      <c r="L202" s="462"/>
      <c r="M202" s="1399"/>
      <c r="N202" s="1410"/>
      <c r="O202" s="1411"/>
      <c r="P202" s="1412"/>
      <c r="Q202" s="498"/>
      <c r="R202" s="172"/>
      <c r="S202" s="6"/>
      <c r="T202" s="6"/>
      <c r="U202" s="6"/>
      <c r="V202" s="6"/>
      <c r="W202" s="839"/>
      <c r="X202" s="6"/>
      <c r="Y202" s="6"/>
      <c r="Z202" s="840"/>
      <c r="AA202" s="6"/>
      <c r="AB202" s="840"/>
      <c r="AC202" s="6"/>
      <c r="AD202" s="6"/>
      <c r="AE202" s="6"/>
      <c r="AF202" s="6"/>
      <c r="AG202" s="6"/>
      <c r="AH202" s="6"/>
      <c r="AI202" s="6"/>
      <c r="AJ202" s="18"/>
    </row>
    <row r="203" spans="1:36" ht="13.5" thickBot="1">
      <c r="B203" s="172"/>
      <c r="C203" s="172"/>
      <c r="D203" s="498"/>
      <c r="E203" s="498"/>
      <c r="F203" s="498"/>
      <c r="G203" s="498"/>
      <c r="H203" s="498"/>
      <c r="I203" s="498"/>
      <c r="J203" s="498"/>
      <c r="K203" s="498"/>
      <c r="L203" s="498"/>
      <c r="M203" s="519" t="s">
        <v>485</v>
      </c>
      <c r="N203" s="1413">
        <f>SUM(N159:N202)</f>
        <v>0</v>
      </c>
      <c r="O203" s="1414">
        <f>SUM(O159:O202)</f>
        <v>0</v>
      </c>
      <c r="P203" s="1415">
        <f>SUM(P159:P202)</f>
        <v>0</v>
      </c>
      <c r="Q203" s="498"/>
      <c r="R203" s="172"/>
      <c r="S203" s="6"/>
      <c r="T203" s="6"/>
      <c r="U203" s="6"/>
      <c r="V203" s="6"/>
      <c r="W203" s="839"/>
      <c r="X203" s="6"/>
      <c r="Y203" s="6"/>
      <c r="Z203" s="840"/>
      <c r="AA203" s="6"/>
      <c r="AB203" s="840"/>
      <c r="AC203" s="6"/>
      <c r="AD203" s="6"/>
      <c r="AE203" s="6"/>
      <c r="AF203" s="6"/>
      <c r="AG203" s="6"/>
      <c r="AH203" s="6"/>
      <c r="AI203" s="6"/>
      <c r="AJ203" s="18"/>
    </row>
    <row r="204" spans="1:36">
      <c r="A204" s="6"/>
      <c r="B204" s="6"/>
      <c r="C204" s="6"/>
      <c r="D204" s="6"/>
      <c r="E204" s="6"/>
      <c r="F204" s="6"/>
      <c r="G204" s="6"/>
      <c r="H204" s="6"/>
      <c r="I204" s="6"/>
      <c r="J204" s="6"/>
      <c r="K204" s="6"/>
      <c r="L204" s="6"/>
      <c r="M204" s="6"/>
      <c r="N204" s="6"/>
      <c r="O204" s="6"/>
      <c r="P204" s="6"/>
      <c r="Q204" s="6"/>
      <c r="R204" s="6"/>
      <c r="S204" s="6"/>
      <c r="T204" s="6"/>
      <c r="U204" s="6"/>
      <c r="V204" s="6"/>
      <c r="W204" s="839"/>
      <c r="X204" s="6"/>
      <c r="Y204" s="6"/>
      <c r="Z204" s="840"/>
      <c r="AA204" s="6"/>
      <c r="AB204" s="840"/>
      <c r="AC204" s="6"/>
      <c r="AD204" s="6"/>
      <c r="AE204" s="6"/>
      <c r="AF204" s="6"/>
      <c r="AG204" s="6"/>
      <c r="AH204" s="6"/>
      <c r="AI204" s="6"/>
      <c r="AJ204" s="18"/>
    </row>
    <row r="205" spans="1:36">
      <c r="A205" s="6"/>
      <c r="B205" s="6"/>
      <c r="C205" s="6"/>
      <c r="D205" s="6"/>
      <c r="E205" s="6"/>
      <c r="F205" s="6"/>
      <c r="G205" s="6"/>
      <c r="H205" s="6"/>
      <c r="I205" s="6"/>
      <c r="J205" s="6"/>
      <c r="K205" s="6"/>
      <c r="L205" s="6"/>
      <c r="M205" s="6"/>
      <c r="N205" s="6"/>
      <c r="O205" s="6"/>
      <c r="P205" s="6"/>
      <c r="Q205" s="6"/>
      <c r="R205" s="6"/>
      <c r="S205" s="6"/>
      <c r="T205" s="6"/>
      <c r="U205" s="6"/>
      <c r="V205" s="6"/>
      <c r="W205" s="839"/>
      <c r="X205" s="6"/>
      <c r="Y205" s="6"/>
      <c r="Z205" s="840"/>
      <c r="AA205" s="6"/>
      <c r="AB205" s="840"/>
      <c r="AC205" s="6"/>
      <c r="AD205" s="6"/>
      <c r="AE205" s="6"/>
      <c r="AF205" s="6"/>
      <c r="AG205" s="6"/>
      <c r="AH205" s="6"/>
      <c r="AI205" s="6"/>
      <c r="AJ205" s="18"/>
    </row>
    <row r="206" spans="1:36">
      <c r="A206" s="6"/>
      <c r="B206" s="6"/>
      <c r="C206" s="6"/>
      <c r="D206" s="6"/>
      <c r="E206" s="6"/>
      <c r="F206" s="6"/>
      <c r="G206" s="6"/>
      <c r="H206" s="6"/>
      <c r="I206" s="6"/>
      <c r="J206" s="6"/>
      <c r="K206" s="6"/>
      <c r="L206" s="6"/>
      <c r="M206" s="6"/>
      <c r="N206" s="6"/>
      <c r="O206" s="6"/>
      <c r="P206" s="6"/>
      <c r="Q206" s="6"/>
      <c r="R206" s="6"/>
      <c r="S206" s="6"/>
      <c r="T206" s="6"/>
      <c r="U206" s="6"/>
      <c r="V206" s="6"/>
      <c r="W206" s="839"/>
      <c r="X206" s="6"/>
      <c r="Y206" s="6"/>
      <c r="Z206" s="840"/>
      <c r="AA206" s="6"/>
      <c r="AB206" s="840"/>
      <c r="AC206" s="6"/>
      <c r="AD206" s="6"/>
      <c r="AE206" s="6"/>
      <c r="AF206" s="6"/>
      <c r="AG206" s="6"/>
      <c r="AH206" s="6"/>
      <c r="AI206" s="6"/>
      <c r="AJ206" s="18"/>
    </row>
    <row r="207" spans="1:36" ht="15" customHeight="1">
      <c r="A207" s="6"/>
      <c r="B207" s="6"/>
      <c r="C207" s="6"/>
      <c r="D207" s="6"/>
      <c r="E207" s="6"/>
      <c r="F207" s="6"/>
      <c r="G207" s="6"/>
      <c r="H207" s="6"/>
      <c r="I207" s="6"/>
      <c r="J207" s="6"/>
      <c r="K207" s="6"/>
      <c r="L207" s="6"/>
      <c r="M207" s="6"/>
      <c r="N207" s="6"/>
      <c r="O207" s="6"/>
      <c r="P207" s="6"/>
      <c r="Q207" s="6"/>
      <c r="R207" s="6"/>
      <c r="S207" s="6"/>
      <c r="T207" s="6"/>
      <c r="U207" s="6"/>
      <c r="V207" s="6"/>
      <c r="W207" s="839"/>
      <c r="X207" s="6"/>
      <c r="Y207" s="6"/>
      <c r="Z207" s="840"/>
      <c r="AA207" s="6"/>
      <c r="AB207" s="840"/>
      <c r="AC207" s="6"/>
      <c r="AD207" s="6"/>
      <c r="AE207" s="6"/>
      <c r="AF207" s="6"/>
      <c r="AG207" s="6"/>
      <c r="AH207" s="6"/>
      <c r="AI207" s="6"/>
      <c r="AJ207" s="18"/>
    </row>
    <row r="208" spans="1:36">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18"/>
    </row>
    <row r="209" spans="1:36">
      <c r="A209" s="6"/>
      <c r="B209" s="6"/>
      <c r="C209" s="6"/>
      <c r="D209" s="6"/>
      <c r="E209" s="6"/>
      <c r="F209" s="6"/>
      <c r="G209" s="6"/>
      <c r="H209" s="6"/>
      <c r="I209" s="6"/>
      <c r="J209" s="6"/>
      <c r="K209" s="6"/>
      <c r="L209" s="6"/>
      <c r="M209" s="6"/>
      <c r="N209" s="6"/>
      <c r="O209" s="6"/>
      <c r="P209" s="6"/>
      <c r="Q209" s="6"/>
      <c r="R209" s="6"/>
      <c r="S209" s="6"/>
      <c r="T209" s="6"/>
      <c r="U209" s="6"/>
      <c r="V209" s="6"/>
      <c r="W209" s="839"/>
      <c r="X209" s="6"/>
      <c r="Y209" s="6"/>
      <c r="Z209" s="840"/>
      <c r="AA209" s="6"/>
      <c r="AB209" s="840"/>
      <c r="AC209" s="6"/>
      <c r="AD209" s="6"/>
      <c r="AE209" s="6"/>
      <c r="AF209" s="6"/>
      <c r="AG209" s="6"/>
      <c r="AH209" s="6"/>
      <c r="AI209" s="6"/>
      <c r="AJ209" s="18"/>
    </row>
    <row r="210" spans="1:36">
      <c r="A210" s="6"/>
      <c r="B210" s="6"/>
      <c r="C210" s="6"/>
      <c r="D210" s="6"/>
      <c r="E210" s="6"/>
      <c r="F210" s="6"/>
      <c r="G210" s="6"/>
      <c r="H210" s="6"/>
      <c r="I210" s="6"/>
      <c r="J210" s="6"/>
      <c r="K210" s="6"/>
      <c r="L210" s="6"/>
      <c r="M210" s="6"/>
      <c r="N210" s="6"/>
      <c r="O210" s="6"/>
      <c r="P210" s="6"/>
      <c r="Q210" s="6"/>
      <c r="R210" s="6"/>
      <c r="S210" s="6"/>
      <c r="T210" s="6"/>
      <c r="U210" s="6"/>
      <c r="V210" s="6"/>
      <c r="W210" s="839"/>
      <c r="X210" s="6"/>
      <c r="Y210" s="6"/>
      <c r="Z210" s="840"/>
      <c r="AA210" s="6"/>
      <c r="AB210" s="840"/>
      <c r="AC210" s="6"/>
      <c r="AD210" s="6"/>
      <c r="AE210" s="6"/>
      <c r="AF210" s="6"/>
      <c r="AG210" s="6"/>
      <c r="AH210" s="6"/>
      <c r="AI210" s="6"/>
      <c r="AJ210" s="18"/>
    </row>
    <row r="211" spans="1:36">
      <c r="A211" s="6"/>
      <c r="B211" s="6"/>
      <c r="C211" s="6"/>
      <c r="D211" s="6"/>
      <c r="E211" s="6"/>
      <c r="F211" s="6"/>
      <c r="G211" s="6"/>
      <c r="H211" s="6"/>
      <c r="I211" s="6"/>
      <c r="J211" s="6"/>
      <c r="K211" s="6"/>
      <c r="L211" s="6"/>
      <c r="M211" s="6"/>
      <c r="N211" s="6"/>
      <c r="O211" s="6"/>
      <c r="P211" s="6"/>
      <c r="Q211" s="6"/>
      <c r="R211" s="6"/>
      <c r="S211" s="6"/>
      <c r="T211" s="6"/>
      <c r="U211" s="6"/>
      <c r="V211" s="6"/>
      <c r="W211" s="839"/>
      <c r="X211" s="6"/>
      <c r="Y211" s="6"/>
      <c r="Z211" s="840"/>
      <c r="AA211" s="6"/>
      <c r="AB211" s="840"/>
      <c r="AC211" s="6"/>
      <c r="AD211" s="6"/>
      <c r="AE211" s="6"/>
      <c r="AF211" s="6"/>
      <c r="AG211" s="6"/>
      <c r="AH211" s="6"/>
      <c r="AI211" s="6"/>
      <c r="AJ211" s="18"/>
    </row>
    <row r="212" spans="1:36">
      <c r="A212" s="6"/>
      <c r="B212" s="6"/>
      <c r="C212" s="6"/>
      <c r="D212" s="6"/>
      <c r="E212" s="6"/>
      <c r="F212" s="6"/>
      <c r="G212" s="6"/>
      <c r="H212" s="6"/>
      <c r="I212" s="6"/>
      <c r="J212" s="6"/>
      <c r="K212" s="6"/>
      <c r="L212" s="6"/>
      <c r="M212" s="6"/>
      <c r="N212" s="6"/>
      <c r="O212" s="6"/>
      <c r="P212" s="6"/>
      <c r="Q212" s="6"/>
      <c r="R212" s="6"/>
      <c r="S212" s="6"/>
      <c r="T212" s="6"/>
      <c r="U212" s="6"/>
      <c r="V212" s="6"/>
      <c r="W212" s="839"/>
      <c r="X212" s="6"/>
      <c r="Y212" s="6"/>
      <c r="Z212" s="840"/>
      <c r="AA212" s="6"/>
      <c r="AB212" s="840"/>
      <c r="AC212" s="6"/>
      <c r="AD212" s="6"/>
      <c r="AE212" s="6"/>
      <c r="AF212" s="6"/>
      <c r="AG212" s="6"/>
      <c r="AH212" s="6"/>
      <c r="AI212" s="6"/>
      <c r="AJ212" s="18"/>
    </row>
    <row r="213" spans="1:36">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18"/>
    </row>
    <row r="214" spans="1:36">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838"/>
      <c r="AJ214" s="18"/>
    </row>
    <row r="215" spans="1:36">
      <c r="A215" s="838"/>
      <c r="B215" s="838"/>
      <c r="C215" s="838"/>
      <c r="D215" s="838"/>
      <c r="E215" s="838"/>
      <c r="F215" s="838"/>
      <c r="G215" s="838"/>
      <c r="H215" s="838"/>
      <c r="I215" s="838"/>
      <c r="J215" s="838"/>
      <c r="K215" s="838"/>
      <c r="L215" s="838"/>
      <c r="M215" s="838"/>
      <c r="N215" s="838"/>
      <c r="O215" s="838"/>
      <c r="P215" s="838"/>
      <c r="Q215" s="838"/>
      <c r="R215" s="838"/>
      <c r="S215" s="838"/>
      <c r="T215" s="838"/>
      <c r="U215" s="838"/>
      <c r="V215" s="838"/>
      <c r="W215" s="838"/>
      <c r="X215" s="838"/>
      <c r="Y215" s="838"/>
      <c r="Z215" s="838"/>
      <c r="AA215" s="838"/>
      <c r="AB215" s="838"/>
      <c r="AC215" s="838"/>
      <c r="AD215" s="838"/>
      <c r="AE215" s="838"/>
      <c r="AF215" s="838"/>
      <c r="AG215" s="838"/>
      <c r="AH215" s="838"/>
      <c r="AI215" s="838"/>
      <c r="AJ215" s="18"/>
    </row>
    <row r="216" spans="1:36">
      <c r="A216" s="838"/>
      <c r="B216" s="838"/>
      <c r="C216" s="838"/>
      <c r="D216" s="838"/>
      <c r="E216" s="838"/>
      <c r="F216" s="838"/>
      <c r="G216" s="838"/>
      <c r="H216" s="838"/>
      <c r="I216" s="838"/>
      <c r="J216" s="838"/>
      <c r="K216" s="838"/>
      <c r="L216" s="838"/>
      <c r="M216" s="838"/>
      <c r="N216" s="838"/>
      <c r="O216" s="838"/>
      <c r="P216" s="838"/>
      <c r="Q216" s="838"/>
      <c r="R216" s="838"/>
      <c r="S216" s="838"/>
      <c r="T216" s="838"/>
      <c r="U216" s="838"/>
      <c r="V216" s="838"/>
      <c r="W216" s="838"/>
      <c r="X216" s="838"/>
      <c r="Y216" s="838"/>
      <c r="Z216" s="838"/>
      <c r="AA216" s="838"/>
      <c r="AB216" s="838"/>
      <c r="AC216" s="838"/>
      <c r="AD216" s="838"/>
      <c r="AE216" s="838"/>
      <c r="AF216" s="838"/>
      <c r="AG216" s="838"/>
      <c r="AH216" s="838"/>
      <c r="AI216" s="838"/>
      <c r="AJ216" s="18"/>
    </row>
    <row r="217" spans="1:36">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18"/>
    </row>
    <row r="218" spans="1:36">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18"/>
    </row>
    <row r="219" spans="1:36">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18"/>
    </row>
    <row r="220" spans="1:36">
      <c r="A220" s="747"/>
      <c r="B220" s="747"/>
      <c r="C220" s="747"/>
      <c r="D220" s="747"/>
      <c r="E220" s="747"/>
      <c r="F220" s="747"/>
      <c r="G220" s="747"/>
      <c r="H220" s="747"/>
      <c r="I220" s="747"/>
      <c r="J220" s="747"/>
      <c r="K220" s="747"/>
      <c r="L220" s="747"/>
      <c r="M220" s="747"/>
      <c r="N220" s="747"/>
      <c r="O220" s="747"/>
      <c r="P220" s="747"/>
      <c r="Q220" s="747"/>
      <c r="R220" s="747"/>
      <c r="S220"/>
      <c r="T220"/>
      <c r="Y220"/>
      <c r="Z220"/>
      <c r="AA220"/>
      <c r="AB220"/>
      <c r="AC220"/>
      <c r="AD220"/>
      <c r="AE220" s="85"/>
      <c r="AI220" s="80"/>
      <c r="AJ220" s="18"/>
    </row>
    <row r="221" spans="1:36">
      <c r="R221" s="498"/>
      <c r="AI221" s="80"/>
      <c r="AJ221" s="18"/>
    </row>
    <row r="222" spans="1:36">
      <c r="R222" s="498"/>
      <c r="AI222" s="80"/>
      <c r="AJ222" s="18"/>
    </row>
  </sheetData>
  <sheetProtection formatCells="0" formatColumns="0" formatRows="0" insertColumns="0" insertRows="0"/>
  <mergeCells count="25">
    <mergeCell ref="D2:H2"/>
    <mergeCell ref="I2:K2"/>
    <mergeCell ref="BP3:BP4"/>
    <mergeCell ref="BQ3:BQ4"/>
    <mergeCell ref="BR3:BR4"/>
    <mergeCell ref="AJ2:AJ3"/>
    <mergeCell ref="AK2:AK3"/>
    <mergeCell ref="AR3:AR4"/>
    <mergeCell ref="AS3:AW3"/>
    <mergeCell ref="S174:T176"/>
    <mergeCell ref="CR3:CV3"/>
    <mergeCell ref="CW3:DA3"/>
    <mergeCell ref="DC3:DC4"/>
    <mergeCell ref="AJ4:AK4"/>
    <mergeCell ref="AY35:BA37"/>
    <mergeCell ref="CB3:CF3"/>
    <mergeCell ref="CH3:CL3"/>
    <mergeCell ref="CM3:CQ3"/>
    <mergeCell ref="BS3:BS4"/>
    <mergeCell ref="AY3:BA3"/>
    <mergeCell ref="BT3:BU3"/>
    <mergeCell ref="BV3:BZ3"/>
    <mergeCell ref="BC3:BC4"/>
    <mergeCell ref="BD3:BH3"/>
    <mergeCell ref="BJ3:BN3"/>
  </mergeCells>
  <printOptions headings="1"/>
  <pageMargins left="0.31527777777777777" right="0.27569444444444446" top="0.39374999999999999" bottom="0.39374999999999999" header="0.51180555555555551" footer="0.51180555555555551"/>
  <pageSetup paperSize="9" firstPageNumber="0" orientation="landscape" horizontalDpi="300" verticalDpi="300" r:id="rId1"/>
  <headerFooter alignWithMargins="0"/>
  <rowBreaks count="2" manualBreakCount="2">
    <brk id="39" max="16383" man="1"/>
    <brk id="156" max="16383" man="1"/>
  </rowBreaks>
  <colBreaks count="3" manualBreakCount="3">
    <brk id="19" max="1048575" man="1"/>
    <brk id="41" max="1048575" man="1"/>
    <brk id="54"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2"/>
  </sheetPr>
  <dimension ref="B1:P17"/>
  <sheetViews>
    <sheetView workbookViewId="0">
      <selection activeCell="I3" sqref="I3:I4"/>
    </sheetView>
  </sheetViews>
  <sheetFormatPr baseColWidth="10" defaultRowHeight="12.75"/>
  <cols>
    <col min="1" max="1" width="3.140625" style="747" customWidth="1"/>
    <col min="2" max="2" width="11.42578125" style="747"/>
    <col min="3" max="3" width="14.42578125" style="747" customWidth="1"/>
    <col min="4" max="5" width="11.42578125" style="747"/>
    <col min="6" max="6" width="13.28515625" style="747" customWidth="1"/>
    <col min="7" max="7" width="18.140625" style="747" customWidth="1"/>
    <col min="8" max="8" width="4.85546875" style="747" customWidth="1"/>
    <col min="9" max="9" width="11.85546875" style="747" customWidth="1"/>
    <col min="10" max="10" width="4.85546875" style="747" customWidth="1"/>
    <col min="11" max="13" width="11.42578125" style="747"/>
    <col min="14" max="15" width="11.42578125" style="747" customWidth="1"/>
    <col min="16" max="16384" width="11.42578125" style="747"/>
  </cols>
  <sheetData>
    <row r="1" spans="2:16" ht="13.5" thickBot="1"/>
    <row r="2" spans="2:16" ht="21" customHeight="1" thickBot="1">
      <c r="B2" s="2693" t="s">
        <v>489</v>
      </c>
      <c r="C2" s="2694"/>
      <c r="D2" s="2694"/>
      <c r="E2" s="2694"/>
      <c r="F2" s="2694"/>
      <c r="G2" s="2695"/>
      <c r="H2" s="6"/>
      <c r="I2"/>
      <c r="K2" s="1443" t="s">
        <v>1233</v>
      </c>
      <c r="L2" s="6"/>
      <c r="M2" s="6"/>
      <c r="N2" s="6"/>
      <c r="O2" s="6"/>
      <c r="P2" s="1120"/>
    </row>
    <row r="3" spans="2:16" ht="22.5" customHeight="1">
      <c r="B3" s="1116" t="s">
        <v>496</v>
      </c>
      <c r="C3" s="6"/>
      <c r="D3" s="6"/>
      <c r="E3" s="6"/>
      <c r="F3" s="6"/>
      <c r="G3" s="6"/>
      <c r="H3" s="6"/>
      <c r="I3" s="2721" t="s">
        <v>1219</v>
      </c>
      <c r="K3" s="2718"/>
      <c r="L3" s="2719"/>
      <c r="M3" s="2720"/>
      <c r="N3" s="338" t="s">
        <v>519</v>
      </c>
      <c r="O3" s="338" t="s">
        <v>520</v>
      </c>
      <c r="P3" s="1120"/>
    </row>
    <row r="4" spans="2:16" ht="22.5" customHeight="1" thickBot="1">
      <c r="B4" s="1116" t="s">
        <v>497</v>
      </c>
      <c r="C4" s="6"/>
      <c r="D4" s="6"/>
      <c r="E4" s="6"/>
      <c r="F4" s="6"/>
      <c r="G4" s="6"/>
      <c r="H4" s="6"/>
      <c r="I4" s="2722"/>
      <c r="K4" s="2715" t="s">
        <v>522</v>
      </c>
      <c r="L4" s="2716"/>
      <c r="M4" s="2717"/>
      <c r="N4" s="339">
        <v>1</v>
      </c>
      <c r="O4" s="339">
        <v>1</v>
      </c>
      <c r="P4" s="1120"/>
    </row>
    <row r="5" spans="2:16" ht="22.5" customHeight="1">
      <c r="B5" s="1116" t="s">
        <v>498</v>
      </c>
      <c r="C5" s="6"/>
      <c r="D5" s="6"/>
      <c r="E5" s="6"/>
      <c r="F5" s="6"/>
      <c r="G5" s="6"/>
      <c r="H5" s="6"/>
      <c r="I5"/>
      <c r="K5" s="2715" t="s">
        <v>523</v>
      </c>
      <c r="L5" s="2716"/>
      <c r="M5" s="2717"/>
      <c r="N5" s="339">
        <v>0.5</v>
      </c>
      <c r="O5" s="339">
        <v>2</v>
      </c>
      <c r="P5" s="1120"/>
    </row>
    <row r="6" spans="2:16" ht="22.5" customHeight="1">
      <c r="B6" s="1116" t="s">
        <v>499</v>
      </c>
      <c r="C6" s="6"/>
      <c r="D6" s="6"/>
      <c r="E6" s="6"/>
      <c r="F6" s="6"/>
      <c r="G6" s="6"/>
      <c r="H6" s="6"/>
      <c r="I6"/>
      <c r="K6" s="2715" t="s">
        <v>524</v>
      </c>
      <c r="L6" s="2716"/>
      <c r="M6" s="2717"/>
      <c r="N6" s="339">
        <v>0.83</v>
      </c>
      <c r="O6" s="339">
        <v>1.2</v>
      </c>
      <c r="P6" s="1120"/>
    </row>
    <row r="7" spans="2:16" ht="22.5" customHeight="1">
      <c r="B7" s="305" t="s">
        <v>500</v>
      </c>
      <c r="C7" s="305" t="s">
        <v>501</v>
      </c>
      <c r="D7" s="305" t="s">
        <v>502</v>
      </c>
      <c r="E7" s="305" t="s">
        <v>503</v>
      </c>
      <c r="F7" s="305" t="s">
        <v>504</v>
      </c>
      <c r="G7" s="305" t="s">
        <v>505</v>
      </c>
      <c r="H7" s="1480"/>
      <c r="I7"/>
      <c r="K7" s="2715" t="s">
        <v>527</v>
      </c>
      <c r="L7" s="2716"/>
      <c r="M7" s="2717"/>
      <c r="N7" s="339">
        <v>0.91</v>
      </c>
      <c r="O7" s="339">
        <v>1.1000000000000001</v>
      </c>
      <c r="P7" s="1120"/>
    </row>
    <row r="8" spans="2:16" ht="22.5" customHeight="1">
      <c r="B8" s="331"/>
      <c r="C8" s="1123"/>
      <c r="D8" s="332">
        <f>B8*C8/10000</f>
        <v>0</v>
      </c>
      <c r="E8" s="333">
        <f>C8/100*B8*10</f>
        <v>0</v>
      </c>
      <c r="F8" s="331"/>
      <c r="G8" s="333">
        <f>E8*F8</f>
        <v>0</v>
      </c>
      <c r="H8" s="1481"/>
      <c r="I8"/>
      <c r="K8" s="2715" t="s">
        <v>528</v>
      </c>
      <c r="L8" s="2716"/>
      <c r="M8" s="2717"/>
      <c r="N8" s="265">
        <v>0.5</v>
      </c>
      <c r="O8" s="265">
        <v>2</v>
      </c>
      <c r="P8" s="1120"/>
    </row>
    <row r="9" spans="2:16" ht="22.5" customHeight="1">
      <c r="B9"/>
      <c r="C9"/>
      <c r="D9"/>
      <c r="E9"/>
      <c r="F9"/>
      <c r="G9"/>
      <c r="I9"/>
      <c r="K9" s="2715" t="s">
        <v>529</v>
      </c>
      <c r="L9" s="2716"/>
      <c r="M9" s="2717"/>
      <c r="N9" s="265">
        <v>0.5</v>
      </c>
      <c r="O9" s="265">
        <v>2</v>
      </c>
      <c r="P9" s="1120"/>
    </row>
    <row r="10" spans="2:16" ht="22.5" customHeight="1">
      <c r="B10" s="334" t="s">
        <v>507</v>
      </c>
      <c r="C10" s="1124"/>
      <c r="D10" s="1124"/>
      <c r="E10" s="1124"/>
      <c r="F10" s="1124"/>
      <c r="G10" s="1124"/>
      <c r="H10" s="1474"/>
      <c r="I10"/>
      <c r="K10" s="2715" t="s">
        <v>530</v>
      </c>
      <c r="L10" s="2716"/>
      <c r="M10" s="2717"/>
      <c r="N10" s="265">
        <v>0.7</v>
      </c>
      <c r="O10" s="265">
        <v>1.4</v>
      </c>
      <c r="P10" s="1120"/>
    </row>
    <row r="11" spans="2:16" ht="22.5" customHeight="1">
      <c r="B11" s="1121" t="s">
        <v>500</v>
      </c>
      <c r="C11" s="1121" t="s">
        <v>501</v>
      </c>
      <c r="D11" s="1121" t="s">
        <v>502</v>
      </c>
      <c r="E11" s="1121" t="s">
        <v>503</v>
      </c>
      <c r="F11" s="1121" t="s">
        <v>508</v>
      </c>
      <c r="G11" s="1121" t="s">
        <v>505</v>
      </c>
      <c r="H11" s="1482"/>
      <c r="I11"/>
      <c r="K11" s="2715" t="s">
        <v>531</v>
      </c>
      <c r="L11" s="2716"/>
      <c r="M11" s="2717"/>
      <c r="N11" s="265">
        <v>0.8</v>
      </c>
      <c r="O11" s="265">
        <v>1.2</v>
      </c>
      <c r="P11" s="1120"/>
    </row>
    <row r="12" spans="2:16" ht="22.5" customHeight="1">
      <c r="B12" s="335"/>
      <c r="C12" s="1122"/>
      <c r="D12" s="332">
        <f>B12*C12</f>
        <v>0</v>
      </c>
      <c r="E12" s="333">
        <f>C12*B12*1000</f>
        <v>0</v>
      </c>
      <c r="F12" s="331"/>
      <c r="G12" s="333">
        <f>E12*F12</f>
        <v>0</v>
      </c>
      <c r="H12" s="1481"/>
      <c r="I12"/>
      <c r="K12" s="2715" t="s">
        <v>532</v>
      </c>
      <c r="L12" s="2716"/>
      <c r="M12" s="2717"/>
      <c r="N12" s="265">
        <v>0.7</v>
      </c>
      <c r="O12" s="265">
        <v>1.4</v>
      </c>
      <c r="P12" s="1120"/>
    </row>
    <row r="13" spans="2:16" ht="22.5" customHeight="1">
      <c r="B13"/>
      <c r="C13"/>
      <c r="D13"/>
      <c r="E13"/>
      <c r="F13"/>
      <c r="G13"/>
      <c r="I13"/>
      <c r="K13" s="6" t="s">
        <v>533</v>
      </c>
      <c r="L13" s="6"/>
      <c r="M13" s="6"/>
      <c r="N13" s="6"/>
      <c r="O13" s="6"/>
      <c r="P13" s="172"/>
    </row>
    <row r="14" spans="2:16" ht="22.5" customHeight="1">
      <c r="B14" s="334" t="s">
        <v>511</v>
      </c>
      <c r="C14" s="1124"/>
      <c r="D14" s="1124"/>
      <c r="E14" s="1124"/>
      <c r="F14" s="1124"/>
      <c r="G14" s="1124"/>
      <c r="H14" s="1474"/>
      <c r="I14"/>
      <c r="K14"/>
      <c r="L14"/>
      <c r="M14"/>
      <c r="N14"/>
      <c r="O14"/>
      <c r="P14"/>
    </row>
    <row r="15" spans="2:16" ht="22.5" customHeight="1">
      <c r="B15" s="1121"/>
      <c r="C15" s="1121" t="s">
        <v>512</v>
      </c>
      <c r="D15" s="1121"/>
      <c r="E15" s="1121" t="s">
        <v>503</v>
      </c>
      <c r="F15" s="1121" t="s">
        <v>508</v>
      </c>
      <c r="G15" s="1121" t="s">
        <v>505</v>
      </c>
      <c r="H15" s="1482"/>
      <c r="I15"/>
      <c r="K15"/>
      <c r="L15"/>
      <c r="M15"/>
      <c r="N15"/>
      <c r="O15"/>
      <c r="P15"/>
    </row>
    <row r="16" spans="2:16" ht="22.5" customHeight="1">
      <c r="B16" s="1121" t="s">
        <v>513</v>
      </c>
      <c r="C16" s="1122">
        <v>1.7000000000000001E-2</v>
      </c>
      <c r="D16" s="1122"/>
      <c r="E16" s="337">
        <f>C16*1000</f>
        <v>17</v>
      </c>
      <c r="F16" s="331"/>
      <c r="G16" s="337">
        <f>E16*F16</f>
        <v>0</v>
      </c>
      <c r="H16" s="1483"/>
      <c r="I16"/>
      <c r="K16"/>
      <c r="L16"/>
      <c r="M16"/>
      <c r="N16"/>
      <c r="O16"/>
      <c r="P16"/>
    </row>
    <row r="17" spans="2:9" ht="22.5" customHeight="1">
      <c r="B17" s="1121" t="s">
        <v>514</v>
      </c>
      <c r="C17" s="1123">
        <v>1.7</v>
      </c>
      <c r="D17" s="1123"/>
      <c r="E17" s="333">
        <f>C17</f>
        <v>1.7</v>
      </c>
      <c r="F17" s="331"/>
      <c r="G17" s="337">
        <f>E17*F17</f>
        <v>0</v>
      </c>
      <c r="H17" s="1483"/>
      <c r="I17"/>
    </row>
  </sheetData>
  <mergeCells count="12">
    <mergeCell ref="B2:G2"/>
    <mergeCell ref="I3:I4"/>
    <mergeCell ref="K8:M8"/>
    <mergeCell ref="K9:M9"/>
    <mergeCell ref="K10:M10"/>
    <mergeCell ref="K11:M11"/>
    <mergeCell ref="K12:M12"/>
    <mergeCell ref="K3:M3"/>
    <mergeCell ref="K4:M4"/>
    <mergeCell ref="K5:M5"/>
    <mergeCell ref="K6:M6"/>
    <mergeCell ref="K7:M7"/>
  </mergeCells>
  <hyperlinks>
    <hyperlink ref="I3:I4" location="Organ__Dü!A1" display="zurück"/>
  </hyperlink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tabColor theme="6" tint="-0.249977111117893"/>
    <pageSetUpPr fitToPage="1"/>
  </sheetPr>
  <dimension ref="A1:BA99"/>
  <sheetViews>
    <sheetView zoomScale="80" zoomScaleNormal="80" workbookViewId="0">
      <selection activeCell="B4" sqref="B4"/>
    </sheetView>
  </sheetViews>
  <sheetFormatPr baseColWidth="10" defaultColWidth="12.7109375" defaultRowHeight="12.75"/>
  <cols>
    <col min="1" max="1" width="9.5703125" style="747" customWidth="1"/>
    <col min="2" max="2" width="6.7109375" style="747" customWidth="1"/>
    <col min="3" max="3" width="21" style="747" customWidth="1"/>
    <col min="4" max="4" width="7.42578125" style="747" customWidth="1"/>
    <col min="5" max="5" width="15" style="747" customWidth="1"/>
    <col min="6" max="6" width="7.28515625" style="747" customWidth="1"/>
    <col min="7" max="7" width="15" style="747" customWidth="1"/>
    <col min="8" max="8" width="6.28515625" style="747" customWidth="1"/>
    <col min="9" max="9" width="15" style="747" customWidth="1"/>
    <col min="10" max="10" width="7.5703125" style="747" customWidth="1"/>
    <col min="11" max="11" width="15" style="747" customWidth="1"/>
    <col min="12" max="12" width="7.7109375" style="747" customWidth="1"/>
    <col min="13" max="13" width="15" style="747" customWidth="1"/>
    <col min="14" max="14" width="7.42578125" style="747" customWidth="1"/>
    <col min="15" max="15" width="15" style="747" customWidth="1"/>
    <col min="16" max="16" width="7.28515625" style="747" customWidth="1"/>
    <col min="17" max="17" width="8.5703125" style="747" customWidth="1"/>
    <col min="18" max="18" width="8.85546875" style="747" customWidth="1"/>
    <col min="19" max="19" width="7.85546875" style="747" customWidth="1"/>
    <col min="20" max="20" width="7.42578125" style="747" customWidth="1"/>
    <col min="21" max="21" width="23.7109375" style="747" customWidth="1"/>
    <col min="22" max="22" width="6" style="747" customWidth="1"/>
    <col min="23" max="23" width="12.85546875" style="747" customWidth="1"/>
    <col min="24" max="33" width="12.5703125" style="747" customWidth="1"/>
    <col min="34" max="37" width="8.42578125" style="747" customWidth="1"/>
    <col min="38" max="38" width="6.5703125" style="747" customWidth="1"/>
    <col min="39" max="44" width="10" style="747" customWidth="1"/>
    <col min="45" max="45" width="6" style="747" customWidth="1"/>
    <col min="46" max="51" width="9" style="747" customWidth="1"/>
    <col min="52" max="52" width="5" style="747" customWidth="1"/>
    <col min="53" max="58" width="9" style="747" customWidth="1"/>
    <col min="59" max="59" width="3.42578125" style="747" customWidth="1"/>
    <col min="60" max="77" width="9" style="747" customWidth="1"/>
    <col min="78" max="112" width="12.7109375" style="747"/>
    <col min="113" max="113" width="13.7109375" style="747" customWidth="1"/>
    <col min="114" max="114" width="28.140625" style="747" customWidth="1"/>
    <col min="115" max="115" width="10.85546875" style="747" customWidth="1"/>
    <col min="116" max="117" width="9.85546875" style="747" customWidth="1"/>
    <col min="118" max="118" width="10.28515625" style="747" customWidth="1"/>
    <col min="119" max="119" width="13.7109375" style="747" customWidth="1"/>
    <col min="120" max="120" width="1.42578125" style="747" customWidth="1"/>
    <col min="121" max="121" width="38.28515625" style="747" customWidth="1"/>
    <col min="122" max="122" width="10.28515625" style="747" customWidth="1"/>
    <col min="123" max="123" width="8.85546875" style="747" customWidth="1"/>
    <col min="124" max="124" width="10.28515625" style="747" customWidth="1"/>
    <col min="125" max="125" width="9.140625" style="747" customWidth="1"/>
    <col min="126" max="126" width="8.140625" style="747" customWidth="1"/>
    <col min="127" max="127" width="7.7109375" style="747" customWidth="1"/>
    <col min="128" max="128" width="8.85546875" style="747" customWidth="1"/>
    <col min="129" max="139" width="11.5703125" style="747" customWidth="1"/>
    <col min="140" max="16384" width="12.7109375" style="747"/>
  </cols>
  <sheetData>
    <row r="1" spans="1:53" s="6" customFormat="1" ht="31.5" customHeight="1" thickBot="1">
      <c r="A1" s="264" t="s">
        <v>1003</v>
      </c>
      <c r="B1" s="264"/>
      <c r="C1" s="264"/>
      <c r="D1" s="264"/>
      <c r="E1" s="264"/>
      <c r="F1" s="264"/>
      <c r="G1" s="264"/>
      <c r="H1" s="264"/>
      <c r="I1" s="264"/>
      <c r="J1" s="264"/>
      <c r="K1" s="264"/>
      <c r="L1" s="264"/>
      <c r="M1" s="264"/>
      <c r="N1" s="264"/>
      <c r="O1" s="264"/>
      <c r="P1" s="264"/>
      <c r="Q1" s="264"/>
      <c r="R1" s="264"/>
      <c r="S1" s="264"/>
      <c r="T1" s="264"/>
      <c r="U1" s="283"/>
      <c r="W1" s="1063" t="s">
        <v>1041</v>
      </c>
      <c r="X1" s="747"/>
      <c r="Y1" s="747"/>
      <c r="Z1" s="747"/>
      <c r="AA1" s="747"/>
      <c r="AB1" s="747"/>
      <c r="AC1" s="747"/>
      <c r="AD1" s="747"/>
      <c r="AE1" s="747"/>
    </row>
    <row r="2" spans="1:53" s="6" customFormat="1" ht="30" customHeight="1">
      <c r="A2" s="818"/>
      <c r="B2" s="1043"/>
      <c r="C2" s="2625">
        <f>Grünland!C6</f>
        <v>0</v>
      </c>
      <c r="D2" s="2626"/>
      <c r="E2" s="2627"/>
      <c r="F2" s="818"/>
      <c r="G2" s="1048" t="s">
        <v>1002</v>
      </c>
      <c r="H2" s="2635">
        <f>Grünland!D6</f>
        <v>0</v>
      </c>
      <c r="I2" s="2636"/>
      <c r="J2" s="818"/>
      <c r="K2" s="1047" t="s">
        <v>863</v>
      </c>
      <c r="L2" s="1048" t="s">
        <v>679</v>
      </c>
      <c r="M2" s="1040">
        <f>Grünland!H6</f>
        <v>0</v>
      </c>
      <c r="N2" s="2616" t="s">
        <v>1049</v>
      </c>
      <c r="O2" s="2617"/>
      <c r="P2" s="2653">
        <f>Grünland!J6</f>
        <v>0</v>
      </c>
      <c r="Q2" s="2653"/>
      <c r="R2" s="818"/>
      <c r="S2" s="819"/>
      <c r="T2" s="819"/>
      <c r="U2" s="283"/>
      <c r="W2" s="1046" t="s">
        <v>1014</v>
      </c>
      <c r="X2" s="1033" t="s">
        <v>1015</v>
      </c>
      <c r="Y2" s="1038" t="s">
        <v>1016</v>
      </c>
      <c r="Z2" s="1035" t="s">
        <v>1017</v>
      </c>
      <c r="AA2" s="1046" t="s">
        <v>1018</v>
      </c>
      <c r="AB2" s="1046" t="s">
        <v>1019</v>
      </c>
      <c r="AC2" s="1046" t="s">
        <v>1033</v>
      </c>
      <c r="AD2" s="1046" t="s">
        <v>1031</v>
      </c>
      <c r="AE2" s="1046" t="s">
        <v>1032</v>
      </c>
      <c r="AG2" s="747"/>
    </row>
    <row r="3" spans="1:53" s="6" customFormat="1" ht="24.75" customHeight="1" thickBot="1">
      <c r="A3" s="818"/>
      <c r="B3" s="818"/>
      <c r="C3" s="2628" t="s">
        <v>862</v>
      </c>
      <c r="D3" s="2628"/>
      <c r="E3" s="1051">
        <f>Grünland!G6</f>
        <v>0</v>
      </c>
      <c r="F3" s="818"/>
      <c r="G3" s="1044" t="s">
        <v>1048</v>
      </c>
      <c r="H3" s="2633">
        <f>Grünland!E6</f>
        <v>0</v>
      </c>
      <c r="I3" s="2634"/>
      <c r="J3" s="818"/>
      <c r="K3" s="818"/>
      <c r="L3" s="1050" t="s">
        <v>1050</v>
      </c>
      <c r="M3" s="2618">
        <f>Grünland!F6</f>
        <v>0</v>
      </c>
      <c r="N3" s="2619"/>
      <c r="O3" s="2619"/>
      <c r="P3" s="2619"/>
      <c r="Q3" s="2620"/>
      <c r="R3" s="818"/>
      <c r="S3" s="819"/>
      <c r="T3" s="819"/>
      <c r="U3" s="283"/>
      <c r="W3" s="1012">
        <f>Grünland!AP6</f>
        <v>0</v>
      </c>
      <c r="X3" s="1034">
        <f>Grünland!AQ6</f>
        <v>0</v>
      </c>
      <c r="Y3" s="1037">
        <f>(Grünland!AR6+Grünland!AS6)</f>
        <v>0</v>
      </c>
      <c r="Z3" s="1036">
        <f>Grünland!AT6</f>
        <v>0</v>
      </c>
      <c r="AA3" s="1012">
        <f>Grünland!AU6</f>
        <v>0</v>
      </c>
      <c r="AB3" s="1012">
        <f>Grünland!AV6</f>
        <v>0</v>
      </c>
      <c r="AC3" s="1012">
        <f>Grünland!AW6</f>
        <v>0</v>
      </c>
      <c r="AD3" s="1012">
        <f>Grünland!AX6</f>
        <v>0</v>
      </c>
      <c r="AE3" s="1012">
        <f>Grünland!AY6</f>
        <v>0</v>
      </c>
    </row>
    <row r="4" spans="1:53" s="6" customFormat="1" ht="23.25" customHeight="1">
      <c r="A4" s="818"/>
      <c r="B4" s="818"/>
      <c r="C4" s="818"/>
      <c r="D4" s="818"/>
      <c r="E4" s="818"/>
      <c r="F4" s="818"/>
      <c r="G4" s="818"/>
      <c r="H4" s="818"/>
      <c r="I4" s="818"/>
      <c r="J4" s="818"/>
      <c r="K4" s="818"/>
      <c r="L4" s="818"/>
      <c r="M4" s="818"/>
      <c r="N4" s="818"/>
      <c r="O4" s="818"/>
      <c r="P4" s="818"/>
      <c r="Q4" s="818"/>
      <c r="R4" s="818"/>
      <c r="S4" s="819"/>
      <c r="T4" s="819"/>
      <c r="U4" s="283"/>
      <c r="W4" s="1062" t="s">
        <v>1043</v>
      </c>
    </row>
    <row r="5" spans="1:53" s="6" customFormat="1" ht="28.5" customHeight="1">
      <c r="A5" s="818"/>
      <c r="B5" s="818"/>
      <c r="C5" s="2621" t="s">
        <v>864</v>
      </c>
      <c r="D5" s="2622"/>
      <c r="E5" s="2631" t="s">
        <v>865</v>
      </c>
      <c r="F5" s="2632"/>
      <c r="G5" s="2632" t="s">
        <v>866</v>
      </c>
      <c r="H5" s="2632"/>
      <c r="I5" s="2632" t="s">
        <v>867</v>
      </c>
      <c r="J5" s="2632"/>
      <c r="K5" s="2632" t="s">
        <v>868</v>
      </c>
      <c r="L5" s="2632"/>
      <c r="M5" s="2632" t="s">
        <v>869</v>
      </c>
      <c r="N5" s="2632"/>
      <c r="O5" s="2632" t="s">
        <v>849</v>
      </c>
      <c r="P5" s="2632"/>
      <c r="Q5" s="818"/>
      <c r="R5" s="994" t="s">
        <v>870</v>
      </c>
      <c r="S5" s="995" t="s">
        <v>871</v>
      </c>
      <c r="T5" s="819"/>
      <c r="U5" s="283"/>
      <c r="W5" s="1012">
        <f>IF($D11=1,$B11,0)</f>
        <v>0</v>
      </c>
      <c r="X5" s="1012">
        <f>IF($D11=2,$B11,0)</f>
        <v>0</v>
      </c>
      <c r="Y5" s="1012">
        <f>IF($D11=3,$B11,0)</f>
        <v>0</v>
      </c>
      <c r="Z5" s="1012">
        <f>IF($D11=4,$B11,0)</f>
        <v>0</v>
      </c>
      <c r="AA5" s="1012">
        <f>IF($D11=5,$B11,0)</f>
        <v>0</v>
      </c>
      <c r="AB5" s="1012">
        <f>IF($D11=6,$B11,0)</f>
        <v>0</v>
      </c>
      <c r="AC5" s="1012"/>
      <c r="AD5" s="1012"/>
      <c r="AE5" s="1012"/>
    </row>
    <row r="6" spans="1:53" s="6" customFormat="1" ht="28.5" customHeight="1">
      <c r="A6" s="818"/>
      <c r="B6" s="818"/>
      <c r="C6" s="2623"/>
      <c r="D6" s="2624"/>
      <c r="E6" s="996">
        <f>Grünland!R6</f>
        <v>0</v>
      </c>
      <c r="F6" s="997">
        <f>Grünland!S6</f>
        <v>0</v>
      </c>
      <c r="G6" s="996">
        <f>Grünland!T6</f>
        <v>0</v>
      </c>
      <c r="H6" s="997">
        <f>Grünland!U6</f>
        <v>0</v>
      </c>
      <c r="I6" s="996">
        <f>Grünland!V6</f>
        <v>0</v>
      </c>
      <c r="J6" s="997">
        <f>Grünland!W6</f>
        <v>0</v>
      </c>
      <c r="K6" s="996">
        <f>Grünland!X6</f>
        <v>0</v>
      </c>
      <c r="L6" s="997">
        <f>Grünland!Y6</f>
        <v>0</v>
      </c>
      <c r="M6" s="996">
        <f>Grünland!Z6</f>
        <v>0</v>
      </c>
      <c r="N6" s="997">
        <f>Grünland!AA6</f>
        <v>0</v>
      </c>
      <c r="O6" s="996">
        <f>Grünland!AB6</f>
        <v>0</v>
      </c>
      <c r="P6" s="997">
        <f>Grünland!AC6</f>
        <v>0</v>
      </c>
      <c r="Q6" s="818"/>
      <c r="R6" s="827">
        <f>Grünland!L6</f>
        <v>0</v>
      </c>
      <c r="S6" s="995"/>
      <c r="T6" s="819"/>
      <c r="U6" s="283"/>
      <c r="W6" s="1012">
        <f>IF($D12=1,$B12,0)</f>
        <v>0</v>
      </c>
      <c r="X6" s="1012">
        <f>IF($D12=2,$B12,0)</f>
        <v>0</v>
      </c>
      <c r="Y6" s="1012">
        <f>IF($D12=3,$B12,0)</f>
        <v>0</v>
      </c>
      <c r="Z6" s="1012">
        <f>IF($D12=4,$B12,0)</f>
        <v>0</v>
      </c>
      <c r="AA6" s="1012">
        <f>IF($D12=5,$B12,0)</f>
        <v>0</v>
      </c>
      <c r="AB6" s="1012">
        <f>IF($D12=6,$B12,0)</f>
        <v>0</v>
      </c>
      <c r="AC6" s="1012"/>
      <c r="AD6" s="1012"/>
      <c r="AE6" s="1012"/>
    </row>
    <row r="7" spans="1:53" s="6" customFormat="1" ht="18.75" customHeight="1" thickBot="1">
      <c r="A7" s="818"/>
      <c r="B7" s="818"/>
      <c r="C7" s="818"/>
      <c r="D7" s="818"/>
      <c r="E7" s="818"/>
      <c r="F7" s="818"/>
      <c r="G7" s="818"/>
      <c r="H7" s="818"/>
      <c r="I7" s="818"/>
      <c r="J7" s="818"/>
      <c r="K7" s="818"/>
      <c r="L7" s="818"/>
      <c r="M7" s="818"/>
      <c r="N7" s="818"/>
      <c r="O7" s="818"/>
      <c r="P7" s="818"/>
      <c r="Q7" s="818"/>
      <c r="R7" s="818"/>
      <c r="S7" s="819"/>
      <c r="T7" s="819"/>
      <c r="U7" s="283"/>
      <c r="W7" s="1031">
        <f>IF($D13=1,$B13,0)</f>
        <v>0</v>
      </c>
      <c r="X7" s="1012">
        <f>IF($D13=2,$B13,0)</f>
        <v>0</v>
      </c>
      <c r="Y7" s="1012">
        <f>IF($D13=3,$B13,0)</f>
        <v>0</v>
      </c>
      <c r="Z7" s="1012">
        <f>IF($D13=4,$B13,0)</f>
        <v>0</v>
      </c>
      <c r="AA7" s="1012">
        <f>IF($D13=5,$B13,0)</f>
        <v>0</v>
      </c>
      <c r="AB7" s="1012">
        <f>IF($D13=6,$B13,0)</f>
        <v>0</v>
      </c>
      <c r="AC7" s="1012"/>
      <c r="AD7" s="1012"/>
      <c r="AE7" s="1012"/>
    </row>
    <row r="8" spans="1:53" s="6" customFormat="1" ht="27.75" customHeight="1" thickBot="1">
      <c r="A8" s="818"/>
      <c r="B8" s="818"/>
      <c r="C8" s="1045" t="s">
        <v>1051</v>
      </c>
      <c r="D8" s="828"/>
      <c r="E8" s="829"/>
      <c r="F8" s="818"/>
      <c r="G8" s="830" t="s">
        <v>21</v>
      </c>
      <c r="H8" s="818"/>
      <c r="I8" s="2646" t="s">
        <v>872</v>
      </c>
      <c r="J8" s="2646"/>
      <c r="K8" s="830" t="s">
        <v>21</v>
      </c>
      <c r="L8" s="818"/>
      <c r="M8" s="818"/>
      <c r="N8" s="818"/>
      <c r="O8" s="818"/>
      <c r="P8" s="818"/>
      <c r="Q8" s="818"/>
      <c r="R8" s="818"/>
      <c r="S8" s="819"/>
      <c r="T8" s="819"/>
      <c r="U8" s="283"/>
      <c r="W8" s="1032">
        <f>SUM(W5:W7)</f>
        <v>0</v>
      </c>
      <c r="X8" s="1032">
        <f t="shared" ref="X8:Y8" si="0">SUM(X5:X7)</f>
        <v>0</v>
      </c>
      <c r="Y8" s="1032">
        <f t="shared" si="0"/>
        <v>0</v>
      </c>
      <c r="Z8" s="1032">
        <f>SUM(Z5:Z7)</f>
        <v>0</v>
      </c>
      <c r="AA8" s="1032">
        <f>SUM(AA5:AA7)</f>
        <v>0</v>
      </c>
      <c r="AB8" s="1032">
        <f>SUM(AB5:AB7)</f>
        <v>0</v>
      </c>
    </row>
    <row r="9" spans="1:53" s="6" customFormat="1" ht="12.75" customHeight="1">
      <c r="A9" s="819"/>
      <c r="B9" s="819"/>
      <c r="C9" s="819"/>
      <c r="D9" s="2732" t="s">
        <v>1037</v>
      </c>
      <c r="E9" s="819"/>
      <c r="F9" s="819"/>
      <c r="G9" s="819"/>
      <c r="H9" s="831"/>
      <c r="I9" s="819"/>
      <c r="J9" s="819"/>
      <c r="K9" s="819"/>
      <c r="L9" s="819"/>
      <c r="M9" s="819"/>
      <c r="N9" s="819"/>
      <c r="O9" s="819"/>
      <c r="P9" s="819"/>
      <c r="Q9" s="818"/>
      <c r="R9" s="819"/>
      <c r="S9" s="819"/>
      <c r="T9" s="819"/>
      <c r="U9" s="283"/>
    </row>
    <row r="10" spans="1:53" s="283" customFormat="1" ht="20.25" customHeight="1" thickBot="1">
      <c r="A10" s="819"/>
      <c r="B10" s="828" t="s">
        <v>10</v>
      </c>
      <c r="C10" s="947" t="s">
        <v>873</v>
      </c>
      <c r="D10" s="2733"/>
      <c r="E10" s="2632" t="s">
        <v>865</v>
      </c>
      <c r="F10" s="2632"/>
      <c r="G10" s="2632" t="s">
        <v>866</v>
      </c>
      <c r="H10" s="2632"/>
      <c r="I10" s="2632" t="s">
        <v>867</v>
      </c>
      <c r="J10" s="2632"/>
      <c r="K10" s="2632" t="s">
        <v>868</v>
      </c>
      <c r="L10" s="2632"/>
      <c r="M10" s="2632" t="s">
        <v>869</v>
      </c>
      <c r="N10" s="2632"/>
      <c r="O10" s="2632" t="s">
        <v>849</v>
      </c>
      <c r="P10" s="2632"/>
      <c r="Q10" s="1013" t="s">
        <v>1038</v>
      </c>
      <c r="R10" s="940" t="s">
        <v>985</v>
      </c>
      <c r="S10" s="995" t="s">
        <v>871</v>
      </c>
      <c r="T10" s="819"/>
      <c r="W10" s="1062" t="s">
        <v>1042</v>
      </c>
      <c r="X10" s="6"/>
      <c r="Y10" s="6"/>
      <c r="Z10" s="6"/>
      <c r="AA10" s="6"/>
      <c r="AB10" s="6"/>
    </row>
    <row r="11" spans="1:53" s="283" customFormat="1" ht="22.5" customHeight="1" thickBot="1">
      <c r="A11" s="832" t="str">
        <f>IF(K8="ja","Teil 1","")</f>
        <v>Teil 1</v>
      </c>
      <c r="B11" s="833"/>
      <c r="C11" s="1030"/>
      <c r="D11" s="978"/>
      <c r="E11" s="979"/>
      <c r="F11" s="978"/>
      <c r="G11" s="979"/>
      <c r="H11" s="978"/>
      <c r="I11" s="979"/>
      <c r="J11" s="978"/>
      <c r="K11" s="979"/>
      <c r="L11" s="978"/>
      <c r="M11" s="979"/>
      <c r="N11" s="978"/>
      <c r="O11" s="979"/>
      <c r="P11" s="978"/>
      <c r="Q11" s="977"/>
      <c r="R11" s="977">
        <f>IF(ISNUMBER(B11),W$29/B11,0)</f>
        <v>0</v>
      </c>
      <c r="S11" s="995"/>
      <c r="T11" s="819"/>
      <c r="W11" s="1032">
        <f t="shared" ref="W11:AB11" si="1">W8-W3</f>
        <v>0</v>
      </c>
      <c r="X11" s="1032">
        <f t="shared" si="1"/>
        <v>0</v>
      </c>
      <c r="Y11" s="1032">
        <f t="shared" si="1"/>
        <v>0</v>
      </c>
      <c r="Z11" s="1032">
        <f t="shared" si="1"/>
        <v>0</v>
      </c>
      <c r="AA11" s="1032">
        <f t="shared" si="1"/>
        <v>0</v>
      </c>
      <c r="AB11" s="1032">
        <f t="shared" si="1"/>
        <v>0</v>
      </c>
    </row>
    <row r="12" spans="1:53" s="283" customFormat="1" ht="29.25" customHeight="1">
      <c r="A12" s="832" t="str">
        <f>IF(A11="Teil 1","Teil 2"," ")</f>
        <v>Teil 2</v>
      </c>
      <c r="B12" s="833"/>
      <c r="C12" s="1030"/>
      <c r="D12" s="978"/>
      <c r="E12" s="979"/>
      <c r="F12" s="978"/>
      <c r="G12" s="979"/>
      <c r="H12" s="978"/>
      <c r="I12" s="979"/>
      <c r="J12" s="978"/>
      <c r="K12" s="979"/>
      <c r="L12" s="978"/>
      <c r="M12" s="979"/>
      <c r="N12" s="978"/>
      <c r="O12" s="979"/>
      <c r="P12" s="978"/>
      <c r="Q12" s="977"/>
      <c r="R12" s="977">
        <f>IF(ISNUMBER(B12),X$29/B12,0)</f>
        <v>0</v>
      </c>
      <c r="S12" s="995"/>
      <c r="T12" s="819"/>
    </row>
    <row r="13" spans="1:53" s="283" customFormat="1" ht="29.25" customHeight="1">
      <c r="A13" s="1049" t="str">
        <f>IF((B11+B12)&lt;H2,"Teil 3"," ")</f>
        <v xml:space="preserve"> </v>
      </c>
      <c r="B13" s="1052"/>
      <c r="C13" s="1030"/>
      <c r="D13" s="978"/>
      <c r="E13" s="979"/>
      <c r="F13" s="978"/>
      <c r="G13" s="979"/>
      <c r="H13" s="978"/>
      <c r="I13" s="979"/>
      <c r="J13" s="978"/>
      <c r="K13" s="979"/>
      <c r="L13" s="978"/>
      <c r="M13" s="979"/>
      <c r="N13" s="978"/>
      <c r="O13" s="979"/>
      <c r="P13" s="978"/>
      <c r="Q13" s="977"/>
      <c r="R13" s="977">
        <f>IF(ISNUMBER(B13),Y$29/B13,0)</f>
        <v>0</v>
      </c>
      <c r="S13" s="995"/>
      <c r="T13" s="819"/>
    </row>
    <row r="14" spans="1:53" s="283" customFormat="1" ht="12" customHeight="1" thickBot="1">
      <c r="A14" s="819"/>
      <c r="B14" s="819"/>
      <c r="C14" s="819"/>
      <c r="D14" s="819"/>
      <c r="E14" s="819"/>
      <c r="F14" s="819"/>
      <c r="G14" s="819"/>
      <c r="H14" s="819"/>
      <c r="I14" s="819"/>
      <c r="J14" s="819"/>
      <c r="K14" s="819"/>
      <c r="L14" s="819"/>
      <c r="M14" s="819"/>
      <c r="N14" s="819"/>
      <c r="O14" s="819"/>
      <c r="P14" s="819"/>
      <c r="Q14" s="819"/>
      <c r="R14" s="819"/>
      <c r="S14" s="819"/>
      <c r="T14" s="819"/>
    </row>
    <row r="15" spans="1:53" s="283" customFormat="1" ht="30.75" customHeight="1" thickBot="1">
      <c r="A15" s="819"/>
      <c r="B15" s="819"/>
      <c r="C15" s="2728" t="s">
        <v>1052</v>
      </c>
      <c r="D15" s="2728"/>
      <c r="E15" s="2728"/>
      <c r="F15" s="819"/>
      <c r="G15" s="819"/>
      <c r="H15" s="819"/>
      <c r="I15" s="819"/>
      <c r="J15" s="819"/>
      <c r="K15" s="819"/>
      <c r="L15" s="819"/>
      <c r="M15" s="819"/>
      <c r="N15" s="819"/>
      <c r="O15" s="276" t="s">
        <v>1001</v>
      </c>
      <c r="P15" s="264"/>
      <c r="Q15" s="264"/>
      <c r="R15" s="264"/>
      <c r="S15" s="264"/>
      <c r="T15" s="819"/>
      <c r="V15" s="264"/>
      <c r="W15" s="2729" t="s">
        <v>987</v>
      </c>
      <c r="X15" s="2730"/>
      <c r="Y15" s="2731"/>
      <c r="Z15" s="955" t="s">
        <v>981</v>
      </c>
      <c r="AA15" s="956" t="s">
        <v>982</v>
      </c>
      <c r="AB15" s="957" t="s">
        <v>983</v>
      </c>
      <c r="AC15" s="952" t="s">
        <v>896</v>
      </c>
      <c r="AD15" s="952" t="s">
        <v>896</v>
      </c>
      <c r="AE15" s="952" t="s">
        <v>896</v>
      </c>
      <c r="AG15" s="820" t="s">
        <v>978</v>
      </c>
      <c r="AH15" s="751"/>
      <c r="AI15" s="751"/>
      <c r="AJ15" s="751"/>
      <c r="AK15" s="751"/>
      <c r="AL15" s="751"/>
      <c r="AN15" s="820" t="s">
        <v>979</v>
      </c>
      <c r="AO15" s="751"/>
      <c r="AP15" s="751"/>
      <c r="AQ15" s="751"/>
      <c r="AR15" s="751"/>
      <c r="AS15" s="751"/>
      <c r="AU15" s="820" t="s">
        <v>980</v>
      </c>
      <c r="AV15" s="751"/>
      <c r="AW15" s="751"/>
      <c r="AX15" s="751"/>
      <c r="AY15" s="751"/>
      <c r="AZ15" s="751"/>
      <c r="BA15" s="980"/>
    </row>
    <row r="16" spans="1:53" s="283" customFormat="1" ht="18.75" customHeight="1">
      <c r="A16" s="819"/>
      <c r="B16" s="819"/>
      <c r="C16" s="1041" t="s">
        <v>1047</v>
      </c>
      <c r="D16" s="1042" t="s">
        <v>10</v>
      </c>
      <c r="E16" s="1061" t="s">
        <v>1040</v>
      </c>
      <c r="F16" s="819"/>
      <c r="G16" s="819"/>
      <c r="H16" s="819"/>
      <c r="I16" s="819"/>
      <c r="J16" s="819"/>
      <c r="K16" s="819"/>
      <c r="L16" s="819"/>
      <c r="M16" s="819"/>
      <c r="N16" s="819"/>
      <c r="O16" s="998" t="s">
        <v>999</v>
      </c>
      <c r="P16" s="999" t="s">
        <v>1000</v>
      </c>
      <c r="Q16" s="982" t="s">
        <v>998</v>
      </c>
      <c r="R16" s="2723" t="s">
        <v>984</v>
      </c>
      <c r="S16" s="2724"/>
      <c r="T16" s="819"/>
      <c r="V16" s="821"/>
      <c r="W16" s="948" t="s">
        <v>981</v>
      </c>
      <c r="X16" s="822" t="s">
        <v>982</v>
      </c>
      <c r="Y16" s="949" t="s">
        <v>983</v>
      </c>
      <c r="Z16" s="2725" t="s">
        <v>988</v>
      </c>
      <c r="AA16" s="2726"/>
      <c r="AB16" s="2727"/>
      <c r="AC16" s="953" t="s">
        <v>984</v>
      </c>
      <c r="AD16" s="953" t="s">
        <v>989</v>
      </c>
      <c r="AE16" s="953" t="s">
        <v>479</v>
      </c>
      <c r="AG16" s="823" t="s">
        <v>857</v>
      </c>
      <c r="AH16" s="823" t="s">
        <v>858</v>
      </c>
      <c r="AI16" s="823" t="s">
        <v>859</v>
      </c>
      <c r="AJ16" s="823" t="s">
        <v>860</v>
      </c>
      <c r="AK16" s="823" t="s">
        <v>861</v>
      </c>
      <c r="AL16" s="823" t="s">
        <v>849</v>
      </c>
      <c r="AN16" s="823" t="s">
        <v>857</v>
      </c>
      <c r="AO16" s="823" t="s">
        <v>858</v>
      </c>
      <c r="AP16" s="823" t="s">
        <v>859</v>
      </c>
      <c r="AQ16" s="823" t="s">
        <v>860</v>
      </c>
      <c r="AR16" s="823" t="s">
        <v>861</v>
      </c>
      <c r="AS16" s="823" t="s">
        <v>849</v>
      </c>
      <c r="AU16" s="823" t="s">
        <v>857</v>
      </c>
      <c r="AV16" s="823" t="s">
        <v>858</v>
      </c>
      <c r="AW16" s="823" t="s">
        <v>859</v>
      </c>
      <c r="AX16" s="823" t="s">
        <v>860</v>
      </c>
      <c r="AY16" s="823" t="s">
        <v>861</v>
      </c>
      <c r="AZ16" s="823" t="s">
        <v>849</v>
      </c>
      <c r="BA16" s="980"/>
    </row>
    <row r="17" spans="1:53" s="283" customFormat="1" ht="23.25" customHeight="1">
      <c r="A17" s="819"/>
      <c r="B17" s="819"/>
      <c r="C17" s="1060" t="s">
        <v>1014</v>
      </c>
      <c r="D17" s="1039">
        <f>Planung!L7</f>
        <v>0</v>
      </c>
      <c r="E17" s="1039">
        <f>Grünland!AP$63</f>
        <v>0</v>
      </c>
      <c r="F17" s="819"/>
      <c r="G17" s="819"/>
      <c r="H17" s="819"/>
      <c r="I17" s="819"/>
      <c r="J17" s="819"/>
      <c r="K17" s="819"/>
      <c r="L17" s="819"/>
      <c r="M17" s="819"/>
      <c r="N17" s="819"/>
      <c r="O17" s="1000">
        <f>'meine Dünger'!C5</f>
        <v>0</v>
      </c>
      <c r="P17" s="1001">
        <f>'meine Dünger'!G5</f>
        <v>0</v>
      </c>
      <c r="Q17" s="981">
        <f>Summen_Acker!F4</f>
        <v>0</v>
      </c>
      <c r="R17" s="1053">
        <f>Summen_Acker!G4</f>
        <v>0</v>
      </c>
      <c r="S17" s="1058"/>
      <c r="T17" s="819"/>
      <c r="V17" s="821">
        <v>1</v>
      </c>
      <c r="W17" s="950">
        <f t="shared" ref="W17:Y28" si="2">$P17*Z17</f>
        <v>0</v>
      </c>
      <c r="X17" s="824">
        <f t="shared" si="2"/>
        <v>0</v>
      </c>
      <c r="Y17" s="951">
        <f t="shared" si="2"/>
        <v>0</v>
      </c>
      <c r="Z17" s="958">
        <f>IF(ISNA(B11),0,SUM(AG17:AL17)*$B$11)</f>
        <v>0</v>
      </c>
      <c r="AA17" s="825">
        <f>IF(ISNA(B12),0,SUM(AN17:AS17)*$B$12)</f>
        <v>0</v>
      </c>
      <c r="AB17" s="959">
        <f>IF(ISNUMBER($B$13),(SUM(AU17:AZ17)*$B$13),0)</f>
        <v>0</v>
      </c>
      <c r="AC17" s="954">
        <f t="shared" ref="AC17:AC28" si="3">SUM(Z17:AB17)</f>
        <v>0</v>
      </c>
      <c r="AD17" s="960">
        <f>Summen_GL!F$109</f>
        <v>0</v>
      </c>
      <c r="AE17" s="824">
        <f>AC17-AD17</f>
        <v>0</v>
      </c>
      <c r="AG17" s="826">
        <f t="shared" ref="AG17:AG28" si="4">IF($O17=$E$11,$F$11,0)</f>
        <v>0</v>
      </c>
      <c r="AH17" s="826">
        <f t="shared" ref="AH17:AH28" si="5">IF($O17=$G$11,$H$11,0)</f>
        <v>0</v>
      </c>
      <c r="AI17" s="826">
        <f t="shared" ref="AI17:AI28" si="6">IF($O17=$I$11,$J$11,0)</f>
        <v>0</v>
      </c>
      <c r="AJ17" s="826">
        <f t="shared" ref="AJ17:AJ28" si="7">IF($O17=$K$11,$L$11,0)</f>
        <v>0</v>
      </c>
      <c r="AK17" s="826">
        <f t="shared" ref="AK17:AK28" si="8">IF($O17=$M$11,$N$11,0)</f>
        <v>0</v>
      </c>
      <c r="AL17" s="826">
        <f t="shared" ref="AL17:AL28" si="9">IF($O17=$O$11,$P$11,0)</f>
        <v>0</v>
      </c>
      <c r="AN17" s="826">
        <f t="shared" ref="AN17:AN28" si="10">IF($O17=$E$12,$F$12,0)</f>
        <v>0</v>
      </c>
      <c r="AO17" s="826">
        <f t="shared" ref="AO17:AO28" si="11">IF($O17=$G$12,$H$12,0)</f>
        <v>0</v>
      </c>
      <c r="AP17" s="826">
        <f t="shared" ref="AP17:AP28" si="12">IF($O17=$I$12,$J$12,0)</f>
        <v>0</v>
      </c>
      <c r="AQ17" s="826">
        <f t="shared" ref="AQ17:AQ28" si="13">IF($O17=$K$12,$L$12,0)</f>
        <v>0</v>
      </c>
      <c r="AR17" s="826">
        <f t="shared" ref="AR17:AR28" si="14">IF($O17=$M$12,$N$12,0)</f>
        <v>0</v>
      </c>
      <c r="AS17" s="826">
        <f t="shared" ref="AS17:AS28" si="15">IF($O17=$O$12,$P$12,0)</f>
        <v>0</v>
      </c>
      <c r="AU17" s="826">
        <f t="shared" ref="AU17:AU28" si="16">IF($O17=$E$13,$F$13,0)</f>
        <v>0</v>
      </c>
      <c r="AV17" s="826">
        <f t="shared" ref="AV17:AV28" si="17">IF($O17=$G$13,$H$13,0)</f>
        <v>0</v>
      </c>
      <c r="AW17" s="826">
        <f t="shared" ref="AW17:AW28" si="18">IF($O17=$I$13,$J$13,0)</f>
        <v>0</v>
      </c>
      <c r="AX17" s="826">
        <f t="shared" ref="AX17:AX28" si="19">IF($O17=$K$13,$L$13,0)</f>
        <v>0</v>
      </c>
      <c r="AY17" s="826">
        <f t="shared" ref="AY17:AY28" si="20">IF($O17=$M$13,$N$13,0)</f>
        <v>0</v>
      </c>
      <c r="AZ17" s="826">
        <f t="shared" ref="AZ17:AZ28" si="21">IF($O17=$O$13,$P$13,0)</f>
        <v>0</v>
      </c>
      <c r="BA17" s="980"/>
    </row>
    <row r="18" spans="1:53" s="283" customFormat="1" ht="23.25" customHeight="1">
      <c r="A18" s="819"/>
      <c r="B18" s="819"/>
      <c r="C18" s="1060" t="s">
        <v>1015</v>
      </c>
      <c r="D18" s="1039">
        <f>Planung!L8</f>
        <v>0</v>
      </c>
      <c r="E18" s="1039">
        <f>Grünland!AQ$63</f>
        <v>0</v>
      </c>
      <c r="F18" s="819"/>
      <c r="G18" s="819"/>
      <c r="H18" s="819"/>
      <c r="I18" s="819"/>
      <c r="J18" s="819"/>
      <c r="K18" s="819"/>
      <c r="L18" s="819"/>
      <c r="M18" s="819"/>
      <c r="N18" s="819"/>
      <c r="O18" s="1000">
        <f>'meine Dünger'!C6</f>
        <v>0</v>
      </c>
      <c r="P18" s="1001">
        <f>'meine Dünger'!G6</f>
        <v>0</v>
      </c>
      <c r="Q18" s="981">
        <f>Summen_Acker!F5</f>
        <v>0</v>
      </c>
      <c r="R18" s="1053">
        <f>Summen_Acker!G5</f>
        <v>0</v>
      </c>
      <c r="S18" s="1058"/>
      <c r="T18" s="819"/>
      <c r="V18" s="821">
        <v>2</v>
      </c>
      <c r="W18" s="950">
        <f t="shared" si="2"/>
        <v>0</v>
      </c>
      <c r="X18" s="824">
        <f t="shared" si="2"/>
        <v>0</v>
      </c>
      <c r="Y18" s="951">
        <f t="shared" si="2"/>
        <v>0</v>
      </c>
      <c r="Z18" s="958">
        <f t="shared" ref="Z18:Z28" si="22">SUM(AG18:AL18)*$B$11</f>
        <v>0</v>
      </c>
      <c r="AA18" s="825">
        <f>IF(ISNA(B13),0,SUM(AN18:AS18)*$B$12)</f>
        <v>0</v>
      </c>
      <c r="AB18" s="959">
        <f>IF(ISNUMBER($B$13),(SUM(AU18:AZ18)*$B$13),0)</f>
        <v>0</v>
      </c>
      <c r="AC18" s="954">
        <f t="shared" si="3"/>
        <v>0</v>
      </c>
      <c r="AD18" s="960">
        <f>Summen_GL!G$109</f>
        <v>0</v>
      </c>
      <c r="AE18" s="824">
        <f t="shared" ref="AE18:AE28" si="23">AC18-AD18</f>
        <v>0</v>
      </c>
      <c r="AG18" s="826">
        <f t="shared" si="4"/>
        <v>0</v>
      </c>
      <c r="AH18" s="826">
        <f t="shared" si="5"/>
        <v>0</v>
      </c>
      <c r="AI18" s="826">
        <f t="shared" si="6"/>
        <v>0</v>
      </c>
      <c r="AJ18" s="826">
        <f t="shared" si="7"/>
        <v>0</v>
      </c>
      <c r="AK18" s="826">
        <f t="shared" si="8"/>
        <v>0</v>
      </c>
      <c r="AL18" s="826">
        <f t="shared" si="9"/>
        <v>0</v>
      </c>
      <c r="AN18" s="826">
        <f t="shared" si="10"/>
        <v>0</v>
      </c>
      <c r="AO18" s="826">
        <f t="shared" si="11"/>
        <v>0</v>
      </c>
      <c r="AP18" s="826">
        <f t="shared" si="12"/>
        <v>0</v>
      </c>
      <c r="AQ18" s="826">
        <f t="shared" si="13"/>
        <v>0</v>
      </c>
      <c r="AR18" s="826">
        <f t="shared" si="14"/>
        <v>0</v>
      </c>
      <c r="AS18" s="826">
        <f t="shared" si="15"/>
        <v>0</v>
      </c>
      <c r="AU18" s="826">
        <f t="shared" si="16"/>
        <v>0</v>
      </c>
      <c r="AV18" s="826">
        <f t="shared" si="17"/>
        <v>0</v>
      </c>
      <c r="AW18" s="826">
        <f t="shared" si="18"/>
        <v>0</v>
      </c>
      <c r="AX18" s="826">
        <f t="shared" si="19"/>
        <v>0</v>
      </c>
      <c r="AY18" s="826">
        <f t="shared" si="20"/>
        <v>0</v>
      </c>
      <c r="AZ18" s="826">
        <f t="shared" si="21"/>
        <v>0</v>
      </c>
      <c r="BA18" s="980"/>
    </row>
    <row r="19" spans="1:53" s="283" customFormat="1" ht="23.25" customHeight="1">
      <c r="A19" s="819"/>
      <c r="B19" s="819"/>
      <c r="C19" s="1060" t="s">
        <v>1016</v>
      </c>
      <c r="D19" s="1039">
        <f>Planung!L9</f>
        <v>0</v>
      </c>
      <c r="E19" s="1039">
        <f>Grünland!AR$63</f>
        <v>0</v>
      </c>
      <c r="F19" s="819"/>
      <c r="G19" s="819"/>
      <c r="H19" s="819"/>
      <c r="I19" s="819"/>
      <c r="J19" s="819"/>
      <c r="K19" s="819"/>
      <c r="L19" s="819"/>
      <c r="M19" s="819"/>
      <c r="N19" s="819"/>
      <c r="O19" s="1000">
        <f>'meine Dünger'!C7</f>
        <v>0</v>
      </c>
      <c r="P19" s="1001">
        <f>'meine Dünger'!G7</f>
        <v>0</v>
      </c>
      <c r="Q19" s="981">
        <f>Summen_Acker!F6</f>
        <v>0</v>
      </c>
      <c r="R19" s="1053">
        <f>Summen_Acker!G6</f>
        <v>0</v>
      </c>
      <c r="S19" s="1058"/>
      <c r="T19" s="819"/>
      <c r="V19" s="821">
        <v>3</v>
      </c>
      <c r="W19" s="950">
        <f t="shared" si="2"/>
        <v>0</v>
      </c>
      <c r="X19" s="824">
        <f t="shared" si="2"/>
        <v>0</v>
      </c>
      <c r="Y19" s="951">
        <f t="shared" si="2"/>
        <v>0</v>
      </c>
      <c r="Z19" s="958">
        <f t="shared" si="22"/>
        <v>0</v>
      </c>
      <c r="AA19" s="825">
        <f>IF(ISNA(B14),0,SUM(AN19:AS19)*$B$12)</f>
        <v>0</v>
      </c>
      <c r="AB19" s="959">
        <f t="shared" ref="AB19:AB28" si="24">IF(ISNUMBER($B$13),(SUM(AU19:AZ19)*$B$13),0)</f>
        <v>0</v>
      </c>
      <c r="AC19" s="954">
        <f t="shared" si="3"/>
        <v>0</v>
      </c>
      <c r="AD19" s="960">
        <f>Summen_GL!H$109</f>
        <v>0</v>
      </c>
      <c r="AE19" s="824">
        <f t="shared" si="23"/>
        <v>0</v>
      </c>
      <c r="AG19" s="826">
        <f t="shared" si="4"/>
        <v>0</v>
      </c>
      <c r="AH19" s="826">
        <f t="shared" si="5"/>
        <v>0</v>
      </c>
      <c r="AI19" s="826">
        <f t="shared" si="6"/>
        <v>0</v>
      </c>
      <c r="AJ19" s="826">
        <f t="shared" si="7"/>
        <v>0</v>
      </c>
      <c r="AK19" s="826">
        <f t="shared" si="8"/>
        <v>0</v>
      </c>
      <c r="AL19" s="826">
        <f t="shared" si="9"/>
        <v>0</v>
      </c>
      <c r="AN19" s="826">
        <f t="shared" si="10"/>
        <v>0</v>
      </c>
      <c r="AO19" s="826">
        <f t="shared" si="11"/>
        <v>0</v>
      </c>
      <c r="AP19" s="826">
        <f t="shared" si="12"/>
        <v>0</v>
      </c>
      <c r="AQ19" s="826">
        <f t="shared" si="13"/>
        <v>0</v>
      </c>
      <c r="AR19" s="826">
        <f t="shared" si="14"/>
        <v>0</v>
      </c>
      <c r="AS19" s="826">
        <f t="shared" si="15"/>
        <v>0</v>
      </c>
      <c r="AU19" s="826">
        <f t="shared" si="16"/>
        <v>0</v>
      </c>
      <c r="AV19" s="826">
        <f t="shared" si="17"/>
        <v>0</v>
      </c>
      <c r="AW19" s="826">
        <f t="shared" si="18"/>
        <v>0</v>
      </c>
      <c r="AX19" s="826">
        <f t="shared" si="19"/>
        <v>0</v>
      </c>
      <c r="AY19" s="826">
        <f t="shared" si="20"/>
        <v>0</v>
      </c>
      <c r="AZ19" s="826">
        <f t="shared" si="21"/>
        <v>0</v>
      </c>
      <c r="BA19" s="980"/>
    </row>
    <row r="20" spans="1:53" s="283" customFormat="1" ht="23.25" customHeight="1">
      <c r="A20" s="819"/>
      <c r="B20" s="819"/>
      <c r="C20" s="1060" t="s">
        <v>1017</v>
      </c>
      <c r="D20" s="1039">
        <f>Planung!L10</f>
        <v>0</v>
      </c>
      <c r="E20" s="1039">
        <f>Grünland!AS$63</f>
        <v>0</v>
      </c>
      <c r="F20" s="819"/>
      <c r="G20" s="819"/>
      <c r="H20" s="819"/>
      <c r="I20" s="819"/>
      <c r="J20" s="819"/>
      <c r="K20" s="819"/>
      <c r="L20" s="819"/>
      <c r="M20" s="819"/>
      <c r="N20" s="819"/>
      <c r="O20" s="1000">
        <f>'meine Dünger'!C8</f>
        <v>0</v>
      </c>
      <c r="P20" s="1001">
        <f>'meine Dünger'!G8</f>
        <v>0</v>
      </c>
      <c r="Q20" s="981">
        <f>Summen_Acker!F7</f>
        <v>0</v>
      </c>
      <c r="R20" s="1053">
        <f>Summen_Acker!G7</f>
        <v>0</v>
      </c>
      <c r="S20" s="1058"/>
      <c r="T20" s="819"/>
      <c r="V20" s="821">
        <v>4</v>
      </c>
      <c r="W20" s="950">
        <f t="shared" si="2"/>
        <v>0</v>
      </c>
      <c r="X20" s="824">
        <f t="shared" si="2"/>
        <v>0</v>
      </c>
      <c r="Y20" s="951">
        <f t="shared" si="2"/>
        <v>0</v>
      </c>
      <c r="Z20" s="958">
        <f t="shared" si="22"/>
        <v>0</v>
      </c>
      <c r="AA20" s="825">
        <f>IF(ISNA(#REF!),0,SUM(AN20:AS20)*$B$12)</f>
        <v>0</v>
      </c>
      <c r="AB20" s="959">
        <f t="shared" si="24"/>
        <v>0</v>
      </c>
      <c r="AC20" s="954">
        <f t="shared" si="3"/>
        <v>0</v>
      </c>
      <c r="AD20" s="960">
        <f>Summen_GL!I$109</f>
        <v>0</v>
      </c>
      <c r="AE20" s="824">
        <f t="shared" si="23"/>
        <v>0</v>
      </c>
      <c r="AG20" s="826">
        <f t="shared" si="4"/>
        <v>0</v>
      </c>
      <c r="AH20" s="826">
        <f t="shared" si="5"/>
        <v>0</v>
      </c>
      <c r="AI20" s="826">
        <f t="shared" si="6"/>
        <v>0</v>
      </c>
      <c r="AJ20" s="826">
        <f t="shared" si="7"/>
        <v>0</v>
      </c>
      <c r="AK20" s="826">
        <f t="shared" si="8"/>
        <v>0</v>
      </c>
      <c r="AL20" s="826">
        <f t="shared" si="9"/>
        <v>0</v>
      </c>
      <c r="AN20" s="826">
        <f t="shared" si="10"/>
        <v>0</v>
      </c>
      <c r="AO20" s="826">
        <f t="shared" si="11"/>
        <v>0</v>
      </c>
      <c r="AP20" s="826">
        <f t="shared" si="12"/>
        <v>0</v>
      </c>
      <c r="AQ20" s="826">
        <f t="shared" si="13"/>
        <v>0</v>
      </c>
      <c r="AR20" s="826">
        <f t="shared" si="14"/>
        <v>0</v>
      </c>
      <c r="AS20" s="826">
        <f t="shared" si="15"/>
        <v>0</v>
      </c>
      <c r="AU20" s="826">
        <f t="shared" si="16"/>
        <v>0</v>
      </c>
      <c r="AV20" s="826">
        <f t="shared" si="17"/>
        <v>0</v>
      </c>
      <c r="AW20" s="826">
        <f t="shared" si="18"/>
        <v>0</v>
      </c>
      <c r="AX20" s="826">
        <f t="shared" si="19"/>
        <v>0</v>
      </c>
      <c r="AY20" s="826">
        <f t="shared" si="20"/>
        <v>0</v>
      </c>
      <c r="AZ20" s="826">
        <f t="shared" si="21"/>
        <v>0</v>
      </c>
      <c r="BA20" s="980"/>
    </row>
    <row r="21" spans="1:53" s="283" customFormat="1" ht="23.25" customHeight="1">
      <c r="A21" s="819"/>
      <c r="B21" s="819"/>
      <c r="C21" s="1060" t="s">
        <v>1018</v>
      </c>
      <c r="D21" s="1039">
        <f>Planung!L11</f>
        <v>0</v>
      </c>
      <c r="E21" s="1039">
        <f>Grünland!AT$63</f>
        <v>0</v>
      </c>
      <c r="F21" s="819"/>
      <c r="G21" s="819"/>
      <c r="H21" s="819"/>
      <c r="I21" s="819"/>
      <c r="J21" s="819"/>
      <c r="K21" s="819"/>
      <c r="L21" s="819"/>
      <c r="M21" s="819"/>
      <c r="N21" s="819"/>
      <c r="O21" s="1000">
        <f>'meine Dünger'!C9</f>
        <v>0</v>
      </c>
      <c r="P21" s="1001">
        <f>'meine Dünger'!G9</f>
        <v>0</v>
      </c>
      <c r="Q21" s="981">
        <f>Summen_Acker!F8</f>
        <v>0</v>
      </c>
      <c r="R21" s="1053">
        <f>Summen_Acker!G8</f>
        <v>0</v>
      </c>
      <c r="S21" s="1058"/>
      <c r="T21" s="819"/>
      <c r="V21" s="821">
        <v>5</v>
      </c>
      <c r="W21" s="950">
        <f t="shared" si="2"/>
        <v>0</v>
      </c>
      <c r="X21" s="824">
        <f t="shared" si="2"/>
        <v>0</v>
      </c>
      <c r="Y21" s="951">
        <f t="shared" si="2"/>
        <v>0</v>
      </c>
      <c r="Z21" s="958">
        <f t="shared" si="22"/>
        <v>0</v>
      </c>
      <c r="AA21" s="932">
        <f>IF(ISNA(#REF!),0,SUM(AN21:AS21)*$B$12)</f>
        <v>0</v>
      </c>
      <c r="AB21" s="959">
        <f t="shared" si="24"/>
        <v>0</v>
      </c>
      <c r="AC21" s="954">
        <f t="shared" si="3"/>
        <v>0</v>
      </c>
      <c r="AD21" s="960">
        <f>Summen_GL!J$109</f>
        <v>0</v>
      </c>
      <c r="AE21" s="824">
        <f t="shared" si="23"/>
        <v>0</v>
      </c>
      <c r="AG21" s="826">
        <f t="shared" si="4"/>
        <v>0</v>
      </c>
      <c r="AH21" s="826">
        <f t="shared" si="5"/>
        <v>0</v>
      </c>
      <c r="AI21" s="826">
        <f t="shared" si="6"/>
        <v>0</v>
      </c>
      <c r="AJ21" s="826">
        <f t="shared" si="7"/>
        <v>0</v>
      </c>
      <c r="AK21" s="826">
        <f t="shared" si="8"/>
        <v>0</v>
      </c>
      <c r="AL21" s="826">
        <f t="shared" si="9"/>
        <v>0</v>
      </c>
      <c r="AN21" s="826">
        <f t="shared" si="10"/>
        <v>0</v>
      </c>
      <c r="AO21" s="826">
        <f t="shared" si="11"/>
        <v>0</v>
      </c>
      <c r="AP21" s="826">
        <f t="shared" si="12"/>
        <v>0</v>
      </c>
      <c r="AQ21" s="826">
        <f t="shared" si="13"/>
        <v>0</v>
      </c>
      <c r="AR21" s="826">
        <f t="shared" si="14"/>
        <v>0</v>
      </c>
      <c r="AS21" s="826">
        <f t="shared" si="15"/>
        <v>0</v>
      </c>
      <c r="AU21" s="826">
        <f t="shared" si="16"/>
        <v>0</v>
      </c>
      <c r="AV21" s="826">
        <f t="shared" si="17"/>
        <v>0</v>
      </c>
      <c r="AW21" s="826">
        <f t="shared" si="18"/>
        <v>0</v>
      </c>
      <c r="AX21" s="826">
        <f t="shared" si="19"/>
        <v>0</v>
      </c>
      <c r="AY21" s="826">
        <f t="shared" si="20"/>
        <v>0</v>
      </c>
      <c r="AZ21" s="826">
        <f t="shared" si="21"/>
        <v>0</v>
      </c>
      <c r="BA21" s="980"/>
    </row>
    <row r="22" spans="1:53" s="283" customFormat="1" ht="23.25" customHeight="1">
      <c r="A22" s="819"/>
      <c r="B22" s="819"/>
      <c r="C22" s="1060" t="s">
        <v>1019</v>
      </c>
      <c r="D22" s="1039">
        <f>Planung!L12</f>
        <v>0</v>
      </c>
      <c r="E22" s="1039">
        <f>Grünland!AU$63</f>
        <v>0</v>
      </c>
      <c r="F22" s="819"/>
      <c r="G22" s="819"/>
      <c r="H22" s="819"/>
      <c r="I22" s="819"/>
      <c r="J22" s="819"/>
      <c r="K22" s="819"/>
      <c r="L22" s="819"/>
      <c r="M22" s="819"/>
      <c r="N22" s="819"/>
      <c r="O22" s="1000">
        <f>'meine Dünger'!C10</f>
        <v>0</v>
      </c>
      <c r="P22" s="1001">
        <f>'meine Dünger'!G10</f>
        <v>0</v>
      </c>
      <c r="Q22" s="981">
        <f>Summen_Acker!F9</f>
        <v>0</v>
      </c>
      <c r="R22" s="1053">
        <f>Summen_Acker!G9</f>
        <v>0</v>
      </c>
      <c r="S22" s="1058"/>
      <c r="T22" s="819"/>
      <c r="V22" s="821">
        <v>6</v>
      </c>
      <c r="W22" s="950">
        <f t="shared" si="2"/>
        <v>0</v>
      </c>
      <c r="X22" s="824">
        <f t="shared" si="2"/>
        <v>0</v>
      </c>
      <c r="Y22" s="951">
        <f t="shared" si="2"/>
        <v>0</v>
      </c>
      <c r="Z22" s="958">
        <f t="shared" si="22"/>
        <v>0</v>
      </c>
      <c r="AA22" s="825">
        <f>IF(ISNA(#REF!),0,SUM(AN22:AS22)*$B$12)</f>
        <v>0</v>
      </c>
      <c r="AB22" s="959">
        <f t="shared" si="24"/>
        <v>0</v>
      </c>
      <c r="AC22" s="954">
        <f t="shared" si="3"/>
        <v>0</v>
      </c>
      <c r="AD22" s="960">
        <f>Summen_GL!K$109</f>
        <v>0</v>
      </c>
      <c r="AE22" s="824">
        <f t="shared" si="23"/>
        <v>0</v>
      </c>
      <c r="AG22" s="826">
        <f t="shared" si="4"/>
        <v>0</v>
      </c>
      <c r="AH22" s="826">
        <f t="shared" si="5"/>
        <v>0</v>
      </c>
      <c r="AI22" s="826">
        <f t="shared" si="6"/>
        <v>0</v>
      </c>
      <c r="AJ22" s="826">
        <f t="shared" si="7"/>
        <v>0</v>
      </c>
      <c r="AK22" s="826">
        <f t="shared" si="8"/>
        <v>0</v>
      </c>
      <c r="AL22" s="826">
        <f t="shared" si="9"/>
        <v>0</v>
      </c>
      <c r="AN22" s="826">
        <f t="shared" si="10"/>
        <v>0</v>
      </c>
      <c r="AO22" s="826">
        <f t="shared" si="11"/>
        <v>0</v>
      </c>
      <c r="AP22" s="826">
        <f t="shared" si="12"/>
        <v>0</v>
      </c>
      <c r="AQ22" s="826">
        <f t="shared" si="13"/>
        <v>0</v>
      </c>
      <c r="AR22" s="826">
        <f t="shared" si="14"/>
        <v>0</v>
      </c>
      <c r="AS22" s="826">
        <f t="shared" si="15"/>
        <v>0</v>
      </c>
      <c r="AU22" s="826">
        <f t="shared" si="16"/>
        <v>0</v>
      </c>
      <c r="AV22" s="826">
        <f t="shared" si="17"/>
        <v>0</v>
      </c>
      <c r="AW22" s="826">
        <f t="shared" si="18"/>
        <v>0</v>
      </c>
      <c r="AX22" s="826">
        <f t="shared" si="19"/>
        <v>0</v>
      </c>
      <c r="AY22" s="826">
        <f t="shared" si="20"/>
        <v>0</v>
      </c>
      <c r="AZ22" s="826">
        <f t="shared" si="21"/>
        <v>0</v>
      </c>
      <c r="BA22" s="980"/>
    </row>
    <row r="23" spans="1:53" s="283" customFormat="1" ht="23.25" customHeight="1">
      <c r="A23" s="819"/>
      <c r="B23" s="819"/>
      <c r="C23" s="1060" t="s">
        <v>1020</v>
      </c>
      <c r="D23" s="1039">
        <f>Planung!L13</f>
        <v>0</v>
      </c>
      <c r="E23" s="836"/>
      <c r="F23" s="819"/>
      <c r="G23" s="819"/>
      <c r="H23" s="819"/>
      <c r="I23" s="819"/>
      <c r="J23" s="819"/>
      <c r="K23" s="819"/>
      <c r="L23" s="819"/>
      <c r="M23" s="819"/>
      <c r="N23" s="819"/>
      <c r="O23" s="1000">
        <f>'meine Dünger'!C11</f>
        <v>0</v>
      </c>
      <c r="P23" s="1001">
        <f>'meine Dünger'!G11</f>
        <v>0</v>
      </c>
      <c r="Q23" s="981">
        <f>Summen_Acker!F10</f>
        <v>0</v>
      </c>
      <c r="R23" s="1053">
        <f>Summen_Acker!G10</f>
        <v>0</v>
      </c>
      <c r="S23" s="1058"/>
      <c r="T23" s="819"/>
      <c r="V23" s="821">
        <v>7</v>
      </c>
      <c r="W23" s="950">
        <f t="shared" si="2"/>
        <v>0</v>
      </c>
      <c r="X23" s="824">
        <f t="shared" si="2"/>
        <v>0</v>
      </c>
      <c r="Y23" s="951">
        <f t="shared" si="2"/>
        <v>0</v>
      </c>
      <c r="Z23" s="958">
        <f t="shared" si="22"/>
        <v>0</v>
      </c>
      <c r="AA23" s="825">
        <f>IF(ISNA(#REF!),0,SUM(AN23:AS23)*$B$12)</f>
        <v>0</v>
      </c>
      <c r="AB23" s="959">
        <f t="shared" si="24"/>
        <v>0</v>
      </c>
      <c r="AC23" s="954">
        <f t="shared" si="3"/>
        <v>0</v>
      </c>
      <c r="AD23" s="960">
        <f>Summen_GL!L$109</f>
        <v>0</v>
      </c>
      <c r="AE23" s="824">
        <f t="shared" si="23"/>
        <v>0</v>
      </c>
      <c r="AG23" s="826">
        <f t="shared" si="4"/>
        <v>0</v>
      </c>
      <c r="AH23" s="826">
        <f t="shared" si="5"/>
        <v>0</v>
      </c>
      <c r="AI23" s="826">
        <f t="shared" si="6"/>
        <v>0</v>
      </c>
      <c r="AJ23" s="826">
        <f t="shared" si="7"/>
        <v>0</v>
      </c>
      <c r="AK23" s="826">
        <f t="shared" si="8"/>
        <v>0</v>
      </c>
      <c r="AL23" s="826">
        <f t="shared" si="9"/>
        <v>0</v>
      </c>
      <c r="AN23" s="826">
        <f t="shared" si="10"/>
        <v>0</v>
      </c>
      <c r="AO23" s="826">
        <f t="shared" si="11"/>
        <v>0</v>
      </c>
      <c r="AP23" s="826">
        <f t="shared" si="12"/>
        <v>0</v>
      </c>
      <c r="AQ23" s="826">
        <f t="shared" si="13"/>
        <v>0</v>
      </c>
      <c r="AR23" s="826">
        <f t="shared" si="14"/>
        <v>0</v>
      </c>
      <c r="AS23" s="826">
        <f t="shared" si="15"/>
        <v>0</v>
      </c>
      <c r="AU23" s="826">
        <f t="shared" si="16"/>
        <v>0</v>
      </c>
      <c r="AV23" s="826">
        <f t="shared" si="17"/>
        <v>0</v>
      </c>
      <c r="AW23" s="826">
        <f t="shared" si="18"/>
        <v>0</v>
      </c>
      <c r="AX23" s="826">
        <f t="shared" si="19"/>
        <v>0</v>
      </c>
      <c r="AY23" s="826">
        <f t="shared" si="20"/>
        <v>0</v>
      </c>
      <c r="AZ23" s="826">
        <f t="shared" si="21"/>
        <v>0</v>
      </c>
      <c r="BA23" s="980"/>
    </row>
    <row r="24" spans="1:53" s="283" customFormat="1" ht="23.25" customHeight="1">
      <c r="A24" s="819"/>
      <c r="B24" s="819"/>
      <c r="C24" s="1060" t="s">
        <v>827</v>
      </c>
      <c r="D24" s="1039">
        <f>Planung!L14</f>
        <v>0</v>
      </c>
      <c r="E24" s="836"/>
      <c r="F24" s="819"/>
      <c r="G24" s="819"/>
      <c r="H24" s="819"/>
      <c r="I24" s="819"/>
      <c r="J24" s="819"/>
      <c r="K24" s="819"/>
      <c r="L24" s="819"/>
      <c r="M24" s="819"/>
      <c r="N24" s="819"/>
      <c r="O24" s="1000">
        <f>'meine Dünger'!C12</f>
        <v>0</v>
      </c>
      <c r="P24" s="1001">
        <f>'meine Dünger'!G12</f>
        <v>0</v>
      </c>
      <c r="Q24" s="981">
        <f>Summen_Acker!F11</f>
        <v>0</v>
      </c>
      <c r="R24" s="1053">
        <f>Summen_Acker!G11</f>
        <v>0</v>
      </c>
      <c r="S24" s="1058"/>
      <c r="T24" s="819"/>
      <c r="V24" s="821">
        <v>8</v>
      </c>
      <c r="W24" s="950">
        <f t="shared" si="2"/>
        <v>0</v>
      </c>
      <c r="X24" s="824">
        <f t="shared" si="2"/>
        <v>0</v>
      </c>
      <c r="Y24" s="951">
        <f t="shared" si="2"/>
        <v>0</v>
      </c>
      <c r="Z24" s="958">
        <f t="shared" si="22"/>
        <v>0</v>
      </c>
      <c r="AA24" s="825">
        <f>IF(ISNA(#REF!),0,SUM(AN24:AS24)*$B$12)</f>
        <v>0</v>
      </c>
      <c r="AB24" s="959">
        <f t="shared" si="24"/>
        <v>0</v>
      </c>
      <c r="AC24" s="954">
        <f t="shared" si="3"/>
        <v>0</v>
      </c>
      <c r="AD24" s="960">
        <f>Summen_GL!M$109</f>
        <v>0</v>
      </c>
      <c r="AE24" s="824">
        <f t="shared" si="23"/>
        <v>0</v>
      </c>
      <c r="AG24" s="826">
        <f t="shared" si="4"/>
        <v>0</v>
      </c>
      <c r="AH24" s="826">
        <f t="shared" si="5"/>
        <v>0</v>
      </c>
      <c r="AI24" s="826">
        <f t="shared" si="6"/>
        <v>0</v>
      </c>
      <c r="AJ24" s="826">
        <f t="shared" si="7"/>
        <v>0</v>
      </c>
      <c r="AK24" s="826">
        <f t="shared" si="8"/>
        <v>0</v>
      </c>
      <c r="AL24" s="826">
        <f t="shared" si="9"/>
        <v>0</v>
      </c>
      <c r="AN24" s="826">
        <f t="shared" si="10"/>
        <v>0</v>
      </c>
      <c r="AO24" s="826">
        <f t="shared" si="11"/>
        <v>0</v>
      </c>
      <c r="AP24" s="826">
        <f t="shared" si="12"/>
        <v>0</v>
      </c>
      <c r="AQ24" s="826">
        <f t="shared" si="13"/>
        <v>0</v>
      </c>
      <c r="AR24" s="826">
        <f t="shared" si="14"/>
        <v>0</v>
      </c>
      <c r="AS24" s="826">
        <f t="shared" si="15"/>
        <v>0</v>
      </c>
      <c r="AU24" s="826">
        <f t="shared" si="16"/>
        <v>0</v>
      </c>
      <c r="AV24" s="826">
        <f t="shared" si="17"/>
        <v>0</v>
      </c>
      <c r="AW24" s="826">
        <f t="shared" si="18"/>
        <v>0</v>
      </c>
      <c r="AX24" s="826">
        <f t="shared" si="19"/>
        <v>0</v>
      </c>
      <c r="AY24" s="826">
        <f t="shared" si="20"/>
        <v>0</v>
      </c>
      <c r="AZ24" s="826">
        <f t="shared" si="21"/>
        <v>0</v>
      </c>
      <c r="BA24" s="980"/>
    </row>
    <row r="25" spans="1:53" s="283" customFormat="1" ht="23.25" customHeight="1">
      <c r="A25" s="819"/>
      <c r="B25" s="819"/>
      <c r="C25" s="1060" t="s">
        <v>1021</v>
      </c>
      <c r="D25" s="1039">
        <f>Planung!L15</f>
        <v>0</v>
      </c>
      <c r="E25" s="836"/>
      <c r="F25" s="819"/>
      <c r="G25" s="819"/>
      <c r="H25" s="819"/>
      <c r="I25" s="819"/>
      <c r="J25" s="819"/>
      <c r="K25" s="819"/>
      <c r="L25" s="819"/>
      <c r="M25" s="819"/>
      <c r="N25" s="819"/>
      <c r="O25" s="1000">
        <f>'meine Dünger'!C13</f>
        <v>0</v>
      </c>
      <c r="P25" s="1001">
        <f>'meine Dünger'!G13</f>
        <v>0</v>
      </c>
      <c r="Q25" s="981">
        <f>Summen_Acker!F12</f>
        <v>0</v>
      </c>
      <c r="R25" s="1053">
        <f>Summen_Acker!G12</f>
        <v>0</v>
      </c>
      <c r="S25" s="1058"/>
      <c r="T25" s="819"/>
      <c r="V25" s="821">
        <v>9</v>
      </c>
      <c r="W25" s="950">
        <f t="shared" si="2"/>
        <v>0</v>
      </c>
      <c r="X25" s="824">
        <f t="shared" si="2"/>
        <v>0</v>
      </c>
      <c r="Y25" s="951">
        <f t="shared" si="2"/>
        <v>0</v>
      </c>
      <c r="Z25" s="958">
        <f t="shared" si="22"/>
        <v>0</v>
      </c>
      <c r="AA25" s="825">
        <f>IF(ISNA(#REF!),0,SUM(AN25:AS25)*$B$12)</f>
        <v>0</v>
      </c>
      <c r="AB25" s="959">
        <f t="shared" si="24"/>
        <v>0</v>
      </c>
      <c r="AC25" s="954">
        <f t="shared" si="3"/>
        <v>0</v>
      </c>
      <c r="AD25" s="960">
        <f>Summen_GL!N$109</f>
        <v>0</v>
      </c>
      <c r="AE25" s="824">
        <f t="shared" si="23"/>
        <v>0</v>
      </c>
      <c r="AG25" s="826">
        <f t="shared" si="4"/>
        <v>0</v>
      </c>
      <c r="AH25" s="826">
        <f t="shared" si="5"/>
        <v>0</v>
      </c>
      <c r="AI25" s="826">
        <f t="shared" si="6"/>
        <v>0</v>
      </c>
      <c r="AJ25" s="826">
        <f t="shared" si="7"/>
        <v>0</v>
      </c>
      <c r="AK25" s="826">
        <f t="shared" si="8"/>
        <v>0</v>
      </c>
      <c r="AL25" s="826">
        <f t="shared" si="9"/>
        <v>0</v>
      </c>
      <c r="AN25" s="826">
        <f t="shared" si="10"/>
        <v>0</v>
      </c>
      <c r="AO25" s="826">
        <f t="shared" si="11"/>
        <v>0</v>
      </c>
      <c r="AP25" s="826">
        <f t="shared" si="12"/>
        <v>0</v>
      </c>
      <c r="AQ25" s="826">
        <f t="shared" si="13"/>
        <v>0</v>
      </c>
      <c r="AR25" s="826">
        <f t="shared" si="14"/>
        <v>0</v>
      </c>
      <c r="AS25" s="826">
        <f t="shared" si="15"/>
        <v>0</v>
      </c>
      <c r="AU25" s="826">
        <f t="shared" si="16"/>
        <v>0</v>
      </c>
      <c r="AV25" s="826">
        <f t="shared" si="17"/>
        <v>0</v>
      </c>
      <c r="AW25" s="826">
        <f t="shared" si="18"/>
        <v>0</v>
      </c>
      <c r="AX25" s="826">
        <f t="shared" si="19"/>
        <v>0</v>
      </c>
      <c r="AY25" s="826">
        <f t="shared" si="20"/>
        <v>0</v>
      </c>
      <c r="AZ25" s="826">
        <f t="shared" si="21"/>
        <v>0</v>
      </c>
      <c r="BA25" s="980"/>
    </row>
    <row r="26" spans="1:53" s="283" customFormat="1" ht="23.25" customHeight="1">
      <c r="A26" s="819"/>
      <c r="B26" s="819"/>
      <c r="C26" s="819"/>
      <c r="D26" s="819"/>
      <c r="E26" s="819"/>
      <c r="F26" s="819"/>
      <c r="G26" s="819"/>
      <c r="H26" s="819"/>
      <c r="I26" s="819"/>
      <c r="J26" s="819"/>
      <c r="K26" s="819"/>
      <c r="L26" s="819"/>
      <c r="M26" s="819"/>
      <c r="N26" s="819"/>
      <c r="O26" s="1000">
        <f>'meine Dünger'!C14</f>
        <v>0</v>
      </c>
      <c r="P26" s="1001">
        <f>'meine Dünger'!G14</f>
        <v>0</v>
      </c>
      <c r="Q26" s="981">
        <f>Summen_Acker!F13</f>
        <v>0</v>
      </c>
      <c r="R26" s="1053">
        <f>Summen_Acker!G13</f>
        <v>0</v>
      </c>
      <c r="S26" s="1058"/>
      <c r="T26" s="819"/>
      <c r="V26" s="821">
        <v>10</v>
      </c>
      <c r="W26" s="950">
        <f t="shared" si="2"/>
        <v>0</v>
      </c>
      <c r="X26" s="824">
        <f t="shared" si="2"/>
        <v>0</v>
      </c>
      <c r="Y26" s="951">
        <f t="shared" si="2"/>
        <v>0</v>
      </c>
      <c r="Z26" s="958">
        <f t="shared" si="22"/>
        <v>0</v>
      </c>
      <c r="AA26" s="825">
        <f>IF(ISNA(C15),0,SUM(AN26:AS26)*$B$12)</f>
        <v>0</v>
      </c>
      <c r="AB26" s="959">
        <f t="shared" si="24"/>
        <v>0</v>
      </c>
      <c r="AC26" s="954">
        <f t="shared" si="3"/>
        <v>0</v>
      </c>
      <c r="AD26" s="960">
        <f>Summen_GL!O$109</f>
        <v>0</v>
      </c>
      <c r="AE26" s="824">
        <f t="shared" si="23"/>
        <v>0</v>
      </c>
      <c r="AG26" s="826">
        <f t="shared" si="4"/>
        <v>0</v>
      </c>
      <c r="AH26" s="826">
        <f t="shared" si="5"/>
        <v>0</v>
      </c>
      <c r="AI26" s="826">
        <f t="shared" si="6"/>
        <v>0</v>
      </c>
      <c r="AJ26" s="826">
        <f t="shared" si="7"/>
        <v>0</v>
      </c>
      <c r="AK26" s="826">
        <f t="shared" si="8"/>
        <v>0</v>
      </c>
      <c r="AL26" s="826">
        <f t="shared" si="9"/>
        <v>0</v>
      </c>
      <c r="AN26" s="826">
        <f t="shared" si="10"/>
        <v>0</v>
      </c>
      <c r="AO26" s="826">
        <f t="shared" si="11"/>
        <v>0</v>
      </c>
      <c r="AP26" s="826">
        <f t="shared" si="12"/>
        <v>0</v>
      </c>
      <c r="AQ26" s="826">
        <f t="shared" si="13"/>
        <v>0</v>
      </c>
      <c r="AR26" s="826">
        <f t="shared" si="14"/>
        <v>0</v>
      </c>
      <c r="AS26" s="826">
        <f t="shared" si="15"/>
        <v>0</v>
      </c>
      <c r="AU26" s="826">
        <f t="shared" si="16"/>
        <v>0</v>
      </c>
      <c r="AV26" s="826">
        <f t="shared" si="17"/>
        <v>0</v>
      </c>
      <c r="AW26" s="826">
        <f t="shared" si="18"/>
        <v>0</v>
      </c>
      <c r="AX26" s="826">
        <f t="shared" si="19"/>
        <v>0</v>
      </c>
      <c r="AY26" s="826">
        <f t="shared" si="20"/>
        <v>0</v>
      </c>
      <c r="AZ26" s="826">
        <f t="shared" si="21"/>
        <v>0</v>
      </c>
      <c r="BA26" s="980"/>
    </row>
    <row r="27" spans="1:53" s="283" customFormat="1" ht="23.25" customHeight="1">
      <c r="A27" s="819"/>
      <c r="B27" s="819"/>
      <c r="C27" s="819"/>
      <c r="D27" s="819"/>
      <c r="E27" s="819"/>
      <c r="F27" s="819"/>
      <c r="G27" s="819"/>
      <c r="H27" s="819"/>
      <c r="I27" s="819"/>
      <c r="J27" s="819"/>
      <c r="K27" s="819"/>
      <c r="L27" s="819"/>
      <c r="M27" s="819"/>
      <c r="N27" s="819"/>
      <c r="O27" s="1000">
        <f>'meine Dünger'!C15</f>
        <v>0</v>
      </c>
      <c r="P27" s="1001">
        <f>'meine Dünger'!G15</f>
        <v>0</v>
      </c>
      <c r="Q27" s="981">
        <f>Summen_Acker!F14</f>
        <v>0</v>
      </c>
      <c r="R27" s="1053">
        <f>Summen_Acker!G14</f>
        <v>0</v>
      </c>
      <c r="S27" s="1058"/>
      <c r="T27" s="819"/>
      <c r="V27" s="821">
        <v>11</v>
      </c>
      <c r="W27" s="950">
        <f t="shared" si="2"/>
        <v>0</v>
      </c>
      <c r="X27" s="824">
        <f t="shared" si="2"/>
        <v>0</v>
      </c>
      <c r="Y27" s="951">
        <f t="shared" si="2"/>
        <v>0</v>
      </c>
      <c r="Z27" s="958">
        <f t="shared" si="22"/>
        <v>0</v>
      </c>
      <c r="AA27" s="825">
        <f>IF(ISNA(B16),0,SUM(AN27:AS27)*$B$12)</f>
        <v>0</v>
      </c>
      <c r="AB27" s="959">
        <f t="shared" si="24"/>
        <v>0</v>
      </c>
      <c r="AC27" s="954">
        <f t="shared" si="3"/>
        <v>0</v>
      </c>
      <c r="AD27" s="960">
        <f>Summen_GL!P$109</f>
        <v>0</v>
      </c>
      <c r="AE27" s="824">
        <f t="shared" si="23"/>
        <v>0</v>
      </c>
      <c r="AG27" s="826">
        <f t="shared" si="4"/>
        <v>0</v>
      </c>
      <c r="AH27" s="826">
        <f t="shared" si="5"/>
        <v>0</v>
      </c>
      <c r="AI27" s="826">
        <f t="shared" si="6"/>
        <v>0</v>
      </c>
      <c r="AJ27" s="826">
        <f t="shared" si="7"/>
        <v>0</v>
      </c>
      <c r="AK27" s="826">
        <f t="shared" si="8"/>
        <v>0</v>
      </c>
      <c r="AL27" s="826">
        <f t="shared" si="9"/>
        <v>0</v>
      </c>
      <c r="AN27" s="826">
        <f t="shared" si="10"/>
        <v>0</v>
      </c>
      <c r="AO27" s="826">
        <f t="shared" si="11"/>
        <v>0</v>
      </c>
      <c r="AP27" s="826">
        <f t="shared" si="12"/>
        <v>0</v>
      </c>
      <c r="AQ27" s="826">
        <f t="shared" si="13"/>
        <v>0</v>
      </c>
      <c r="AR27" s="826">
        <f t="shared" si="14"/>
        <v>0</v>
      </c>
      <c r="AS27" s="826">
        <f t="shared" si="15"/>
        <v>0</v>
      </c>
      <c r="AU27" s="826">
        <f t="shared" si="16"/>
        <v>0</v>
      </c>
      <c r="AV27" s="826">
        <f t="shared" si="17"/>
        <v>0</v>
      </c>
      <c r="AW27" s="826">
        <f t="shared" si="18"/>
        <v>0</v>
      </c>
      <c r="AX27" s="826">
        <f t="shared" si="19"/>
        <v>0</v>
      </c>
      <c r="AY27" s="826">
        <f t="shared" si="20"/>
        <v>0</v>
      </c>
      <c r="AZ27" s="826">
        <f t="shared" si="21"/>
        <v>0</v>
      </c>
      <c r="BA27" s="980"/>
    </row>
    <row r="28" spans="1:53" s="283" customFormat="1" ht="23.25" customHeight="1" thickBot="1">
      <c r="A28" s="819"/>
      <c r="B28" s="819"/>
      <c r="C28" s="819"/>
      <c r="D28" s="819"/>
      <c r="E28" s="819"/>
      <c r="F28" s="819"/>
      <c r="G28" s="819"/>
      <c r="H28" s="819"/>
      <c r="I28" s="819"/>
      <c r="J28" s="819"/>
      <c r="K28" s="819"/>
      <c r="L28" s="819"/>
      <c r="M28" s="819"/>
      <c r="N28" s="819"/>
      <c r="O28" s="1056">
        <f>'meine Dünger'!C16</f>
        <v>0</v>
      </c>
      <c r="P28" s="1057">
        <f>'meine Dünger'!G16</f>
        <v>0</v>
      </c>
      <c r="Q28" s="1054">
        <f>Summen_Acker!F15</f>
        <v>0</v>
      </c>
      <c r="R28" s="1055">
        <f>Summen_Acker!G15</f>
        <v>0</v>
      </c>
      <c r="S28" s="1059"/>
      <c r="T28" s="819"/>
      <c r="V28" s="821">
        <v>12</v>
      </c>
      <c r="W28" s="950">
        <f t="shared" si="2"/>
        <v>0</v>
      </c>
      <c r="X28" s="824">
        <f t="shared" si="2"/>
        <v>0</v>
      </c>
      <c r="Y28" s="951">
        <f t="shared" si="2"/>
        <v>0</v>
      </c>
      <c r="Z28" s="958">
        <f t="shared" si="22"/>
        <v>0</v>
      </c>
      <c r="AA28" s="825">
        <f>IF(ISNA(B27),0,SUM(AN28:AS28)*$B$12)</f>
        <v>0</v>
      </c>
      <c r="AB28" s="959">
        <f t="shared" si="24"/>
        <v>0</v>
      </c>
      <c r="AC28" s="954">
        <f t="shared" si="3"/>
        <v>0</v>
      </c>
      <c r="AD28" s="960">
        <f>Summen_GL!Q$109</f>
        <v>0</v>
      </c>
      <c r="AE28" s="824">
        <f t="shared" si="23"/>
        <v>0</v>
      </c>
      <c r="AG28" s="826">
        <f t="shared" si="4"/>
        <v>0</v>
      </c>
      <c r="AH28" s="826">
        <f t="shared" si="5"/>
        <v>0</v>
      </c>
      <c r="AI28" s="826">
        <f t="shared" si="6"/>
        <v>0</v>
      </c>
      <c r="AJ28" s="826">
        <f t="shared" si="7"/>
        <v>0</v>
      </c>
      <c r="AK28" s="826">
        <f t="shared" si="8"/>
        <v>0</v>
      </c>
      <c r="AL28" s="826">
        <f t="shared" si="9"/>
        <v>0</v>
      </c>
      <c r="AN28" s="826">
        <f t="shared" si="10"/>
        <v>0</v>
      </c>
      <c r="AO28" s="826">
        <f t="shared" si="11"/>
        <v>0</v>
      </c>
      <c r="AP28" s="826">
        <f t="shared" si="12"/>
        <v>0</v>
      </c>
      <c r="AQ28" s="826">
        <f t="shared" si="13"/>
        <v>0</v>
      </c>
      <c r="AR28" s="826">
        <f t="shared" si="14"/>
        <v>0</v>
      </c>
      <c r="AS28" s="826">
        <f t="shared" si="15"/>
        <v>0</v>
      </c>
      <c r="AU28" s="826">
        <f t="shared" si="16"/>
        <v>0</v>
      </c>
      <c r="AV28" s="826">
        <f t="shared" si="17"/>
        <v>0</v>
      </c>
      <c r="AW28" s="826">
        <f t="shared" si="18"/>
        <v>0</v>
      </c>
      <c r="AX28" s="826">
        <f t="shared" si="19"/>
        <v>0</v>
      </c>
      <c r="AY28" s="826">
        <f t="shared" si="20"/>
        <v>0</v>
      </c>
      <c r="AZ28" s="826">
        <f t="shared" si="21"/>
        <v>0</v>
      </c>
      <c r="BA28" s="980"/>
    </row>
    <row r="29" spans="1:53" s="283" customFormat="1" ht="21.75" customHeight="1" thickBot="1">
      <c r="A29" s="819"/>
      <c r="B29" s="819"/>
      <c r="C29" s="819"/>
      <c r="D29" s="819"/>
      <c r="E29" s="819"/>
      <c r="F29" s="819"/>
      <c r="G29" s="819"/>
      <c r="H29" s="819"/>
      <c r="I29" s="819"/>
      <c r="J29" s="819"/>
      <c r="K29" s="819"/>
      <c r="L29" s="819"/>
      <c r="M29" s="819"/>
      <c r="N29" s="819"/>
      <c r="O29" s="819"/>
      <c r="P29" s="819"/>
      <c r="Q29" s="819"/>
      <c r="R29" s="819"/>
      <c r="S29" s="819"/>
      <c r="T29" s="819"/>
      <c r="V29" s="980"/>
      <c r="W29" s="991">
        <f>SUM(W17:W28)</f>
        <v>0</v>
      </c>
      <c r="X29" s="992">
        <f>SUM(X17:X28)</f>
        <v>0</v>
      </c>
      <c r="Y29" s="993">
        <f>SUM(Y17:Y28)</f>
        <v>0</v>
      </c>
      <c r="Z29" s="980"/>
      <c r="AA29" s="980"/>
      <c r="AB29" s="980"/>
      <c r="AC29" s="980"/>
      <c r="AD29" s="980"/>
      <c r="AE29" s="980"/>
      <c r="AF29" s="980"/>
      <c r="AG29" s="980"/>
      <c r="AH29" s="980"/>
      <c r="AI29" s="980"/>
      <c r="AJ29" s="980"/>
      <c r="AK29" s="980"/>
      <c r="AL29" s="980"/>
      <c r="AM29" s="980"/>
      <c r="AN29" s="980"/>
      <c r="AO29" s="980"/>
      <c r="AP29" s="980"/>
      <c r="AQ29" s="980"/>
      <c r="AR29" s="980"/>
      <c r="AS29" s="980"/>
      <c r="AT29" s="980"/>
      <c r="AU29" s="980"/>
      <c r="AV29" s="980"/>
      <c r="AW29" s="980"/>
      <c r="AX29" s="980"/>
      <c r="AY29" s="980"/>
      <c r="AZ29" s="980"/>
      <c r="BA29" s="980"/>
    </row>
    <row r="30" spans="1:53" s="283" customFormat="1" ht="21.75" customHeight="1">
      <c r="A30" s="750"/>
      <c r="B30" s="750"/>
      <c r="C30" s="750"/>
      <c r="D30" s="750"/>
      <c r="E30" s="750"/>
      <c r="F30" s="750"/>
      <c r="G30" s="750"/>
      <c r="H30" s="1016"/>
      <c r="I30" s="750"/>
      <c r="J30" s="750"/>
      <c r="K30" s="750"/>
      <c r="L30" s="750"/>
      <c r="M30" s="750"/>
      <c r="N30" s="750"/>
      <c r="O30" s="750"/>
      <c r="P30" s="750"/>
      <c r="Q30" s="750"/>
      <c r="R30" s="750"/>
      <c r="S30" s="750"/>
      <c r="T30" s="751"/>
    </row>
    <row r="31" spans="1:53" s="283" customFormat="1" ht="21.75" customHeight="1">
      <c r="A31" s="750"/>
      <c r="B31" s="1017"/>
      <c r="C31" s="1017"/>
      <c r="D31" s="1017"/>
      <c r="E31" s="1018"/>
      <c r="F31" s="1018"/>
      <c r="G31" s="1019"/>
      <c r="H31" s="1016"/>
      <c r="I31" s="1028"/>
      <c r="J31" s="1028"/>
      <c r="K31" s="1019"/>
      <c r="L31" s="1020"/>
      <c r="M31" s="1020"/>
      <c r="N31" s="750"/>
    </row>
    <row r="32" spans="1:53" s="283" customFormat="1" ht="21.75" customHeight="1">
      <c r="A32" s="750"/>
      <c r="B32" s="1017"/>
      <c r="C32" s="1021"/>
      <c r="D32" s="1021"/>
      <c r="E32" s="1016"/>
      <c r="F32" s="1016"/>
      <c r="G32" s="1016"/>
      <c r="H32" s="1016"/>
      <c r="I32" s="1016"/>
      <c r="J32" s="1016"/>
      <c r="K32" s="1016"/>
      <c r="L32" s="1016"/>
      <c r="M32" s="1016"/>
      <c r="N32" s="1016"/>
    </row>
    <row r="33" spans="1:38" s="283" customFormat="1" ht="21.75" customHeight="1">
      <c r="A33" s="750"/>
      <c r="B33" s="1017"/>
      <c r="C33" s="1021"/>
      <c r="D33" s="1021"/>
      <c r="E33" s="1029"/>
      <c r="F33" s="1029"/>
      <c r="G33" s="1029"/>
      <c r="H33" s="1016"/>
      <c r="I33" s="1016"/>
      <c r="J33" s="1016"/>
      <c r="K33" s="1016"/>
      <c r="L33" s="1016"/>
      <c r="M33" s="1016"/>
      <c r="N33" s="1016"/>
    </row>
    <row r="34" spans="1:38" s="283" customFormat="1" ht="21.75" customHeight="1">
      <c r="A34" s="1022"/>
      <c r="B34" s="1023"/>
      <c r="E34" s="1024"/>
      <c r="F34" s="1025"/>
      <c r="G34" s="1024"/>
      <c r="H34" s="1025"/>
      <c r="I34" s="1024"/>
      <c r="J34" s="1025"/>
      <c r="K34" s="1024"/>
      <c r="L34" s="1025"/>
      <c r="M34" s="1024"/>
      <c r="N34" s="1025"/>
    </row>
    <row r="35" spans="1:38" s="283" customFormat="1" ht="21.75" customHeight="1"/>
    <row r="36" spans="1:38" s="283" customFormat="1" ht="21.75" customHeight="1">
      <c r="A36" s="1022"/>
      <c r="B36" s="1023"/>
      <c r="C36" s="1026"/>
      <c r="D36" s="1026"/>
      <c r="E36" s="1024"/>
      <c r="F36" s="1025"/>
      <c r="G36" s="1024"/>
      <c r="H36" s="1025"/>
      <c r="I36" s="1024"/>
      <c r="J36" s="1025"/>
      <c r="K36" s="1024"/>
      <c r="L36" s="1025"/>
      <c r="M36" s="1024"/>
      <c r="N36" s="1025"/>
    </row>
    <row r="37" spans="1:38" s="283" customFormat="1" ht="21.75" customHeight="1"/>
    <row r="38" spans="1:38" s="283" customFormat="1" ht="21.75" customHeight="1">
      <c r="A38" s="757"/>
      <c r="B38" s="1027"/>
      <c r="C38" s="1026"/>
      <c r="D38" s="1026"/>
      <c r="E38" s="1024"/>
      <c r="F38" s="1025"/>
      <c r="G38" s="1024"/>
      <c r="H38" s="1025"/>
      <c r="I38" s="1024"/>
      <c r="J38" s="1025"/>
      <c r="K38" s="1024"/>
      <c r="L38" s="1025"/>
      <c r="M38" s="1024"/>
      <c r="N38" s="1025"/>
    </row>
    <row r="39" spans="1:38" s="283" customFormat="1" ht="20.25" customHeight="1">
      <c r="A39" s="755"/>
      <c r="B39" s="751"/>
      <c r="E39" s="755"/>
      <c r="F39" s="755"/>
      <c r="G39" s="755"/>
      <c r="H39" s="755"/>
      <c r="I39" s="755"/>
      <c r="J39" s="755"/>
      <c r="K39" s="755"/>
      <c r="L39" s="755"/>
      <c r="M39" s="755"/>
      <c r="N39" s="755"/>
    </row>
    <row r="40" spans="1:38" s="283" customFormat="1" ht="20.25" customHeight="1">
      <c r="A40" s="755"/>
      <c r="E40" s="751"/>
      <c r="F40" s="755"/>
      <c r="G40" s="755"/>
      <c r="H40" s="755"/>
      <c r="I40" s="755"/>
      <c r="J40" s="755"/>
      <c r="K40" s="755"/>
      <c r="L40" s="755"/>
      <c r="M40" s="755"/>
      <c r="N40" s="755"/>
    </row>
    <row r="41" spans="1:38" s="283" customFormat="1" ht="20.25" customHeight="1">
      <c r="A41" s="755"/>
      <c r="E41" s="751"/>
      <c r="F41" s="755"/>
      <c r="G41" s="755"/>
      <c r="H41" s="755"/>
      <c r="I41" s="755"/>
      <c r="J41" s="755"/>
      <c r="K41" s="755"/>
      <c r="L41" s="755"/>
      <c r="M41" s="755"/>
      <c r="N41" s="755"/>
    </row>
    <row r="42" spans="1:38" s="283" customFormat="1" ht="20.25" customHeight="1">
      <c r="A42" s="755"/>
      <c r="E42" s="751"/>
      <c r="F42" s="755"/>
      <c r="G42" s="755"/>
      <c r="H42" s="755"/>
      <c r="I42" s="755"/>
      <c r="J42" s="755"/>
      <c r="K42" s="755"/>
      <c r="L42" s="755"/>
      <c r="M42" s="755"/>
      <c r="N42" s="755"/>
    </row>
    <row r="43" spans="1:38" s="283" customFormat="1" ht="20.25" customHeight="1">
      <c r="A43" s="755"/>
      <c r="E43" s="751"/>
      <c r="F43" s="755"/>
      <c r="G43" s="755"/>
      <c r="H43" s="755"/>
      <c r="I43" s="755"/>
      <c r="J43" s="755"/>
      <c r="K43" s="755"/>
      <c r="L43" s="755"/>
      <c r="M43" s="755"/>
      <c r="N43" s="755"/>
    </row>
    <row r="44" spans="1:38" s="283" customFormat="1" ht="20.25" customHeight="1">
      <c r="A44" s="755"/>
      <c r="E44" s="751"/>
      <c r="F44" s="755"/>
      <c r="G44" s="755"/>
      <c r="H44" s="755"/>
      <c r="I44" s="755"/>
      <c r="J44" s="755"/>
      <c r="K44" s="755"/>
      <c r="L44" s="755"/>
      <c r="M44" s="755"/>
      <c r="N44" s="755"/>
    </row>
    <row r="45" spans="1:38" s="283" customFormat="1" ht="20.25" customHeight="1">
      <c r="A45" s="755"/>
      <c r="E45" s="751"/>
      <c r="F45" s="755"/>
      <c r="G45" s="755"/>
      <c r="H45" s="755"/>
      <c r="I45" s="755"/>
      <c r="J45" s="755"/>
      <c r="K45" s="755"/>
      <c r="L45" s="755"/>
      <c r="M45" s="755"/>
      <c r="N45" s="755"/>
    </row>
    <row r="46" spans="1:38" s="283" customFormat="1" ht="20.25" customHeight="1">
      <c r="A46" s="755"/>
      <c r="E46" s="751"/>
      <c r="F46" s="755"/>
      <c r="G46" s="755"/>
      <c r="H46" s="755"/>
      <c r="I46" s="755"/>
      <c r="J46" s="755"/>
      <c r="K46" s="755"/>
      <c r="L46" s="755"/>
      <c r="M46" s="755"/>
      <c r="N46" s="755"/>
    </row>
    <row r="47" spans="1:38" s="283" customFormat="1" ht="20.25" customHeight="1">
      <c r="A47" s="755"/>
      <c r="E47" s="751"/>
      <c r="F47" s="755"/>
      <c r="G47" s="755"/>
      <c r="H47" s="755"/>
      <c r="I47" s="755"/>
      <c r="J47" s="755"/>
      <c r="K47" s="755"/>
      <c r="L47" s="755"/>
      <c r="M47" s="755"/>
      <c r="N47" s="755"/>
      <c r="O47" s="755"/>
      <c r="P47" s="755"/>
      <c r="Q47" s="755"/>
      <c r="R47" s="755"/>
      <c r="S47" s="752"/>
      <c r="T47" s="751"/>
      <c r="U47" s="751"/>
      <c r="V47" s="747"/>
      <c r="W47" s="747"/>
      <c r="X47" s="751"/>
      <c r="Y47" s="751"/>
      <c r="AB47" s="834"/>
      <c r="AC47" s="747"/>
      <c r="AD47" s="747"/>
      <c r="AE47" s="747"/>
      <c r="AF47" s="747"/>
      <c r="AG47" s="747"/>
      <c r="AH47" s="747"/>
      <c r="AI47" s="747"/>
      <c r="AJ47" s="747"/>
      <c r="AK47" s="747"/>
      <c r="AL47" s="747"/>
    </row>
    <row r="48" spans="1:38" s="283" customFormat="1" ht="20.25" customHeight="1">
      <c r="A48" s="755"/>
      <c r="B48" s="755"/>
      <c r="C48" s="755"/>
      <c r="D48" s="755"/>
      <c r="E48" s="755"/>
      <c r="F48" s="755"/>
      <c r="G48" s="755"/>
      <c r="H48" s="755"/>
      <c r="I48" s="755"/>
      <c r="J48" s="755"/>
      <c r="K48" s="755"/>
      <c r="L48" s="755"/>
      <c r="M48" s="755"/>
      <c r="N48" s="755"/>
      <c r="O48" s="755"/>
      <c r="P48" s="755"/>
      <c r="Q48" s="755"/>
      <c r="R48" s="755"/>
      <c r="S48" s="756"/>
      <c r="T48" s="751"/>
      <c r="U48" s="751"/>
      <c r="V48" s="747"/>
      <c r="W48" s="747"/>
      <c r="X48" s="751"/>
      <c r="Y48" s="751"/>
      <c r="AB48" s="834"/>
      <c r="AC48" s="747"/>
      <c r="AD48" s="747"/>
      <c r="AE48" s="747"/>
      <c r="AF48" s="747"/>
      <c r="AG48" s="747"/>
      <c r="AH48" s="747"/>
      <c r="AI48" s="747"/>
      <c r="AJ48" s="747"/>
      <c r="AK48" s="747"/>
      <c r="AL48" s="747"/>
    </row>
    <row r="49" spans="1:44" s="283" customFormat="1" ht="20.25" customHeight="1">
      <c r="A49" s="755"/>
      <c r="B49" s="755"/>
      <c r="C49" s="755"/>
      <c r="D49" s="755"/>
      <c r="E49" s="755"/>
      <c r="F49" s="755"/>
      <c r="G49" s="755"/>
      <c r="H49" s="755"/>
      <c r="I49" s="755"/>
      <c r="J49" s="755"/>
      <c r="K49" s="755"/>
      <c r="L49" s="755"/>
      <c r="M49" s="755"/>
      <c r="N49" s="755"/>
      <c r="O49" s="755"/>
      <c r="P49" s="755"/>
      <c r="Q49" s="755"/>
      <c r="R49" s="755"/>
      <c r="S49" s="835"/>
      <c r="T49" s="751"/>
      <c r="U49" s="751"/>
      <c r="V49" s="747"/>
      <c r="W49" s="747"/>
      <c r="X49" s="751"/>
      <c r="Y49" s="751"/>
      <c r="AB49" s="834"/>
      <c r="AC49" s="747"/>
      <c r="AD49" s="747"/>
      <c r="AE49" s="747"/>
      <c r="AF49" s="747"/>
      <c r="AG49" s="747"/>
      <c r="AH49" s="747"/>
      <c r="AI49" s="747"/>
      <c r="AJ49" s="747"/>
      <c r="AK49" s="747"/>
      <c r="AL49" s="747"/>
    </row>
    <row r="50" spans="1:44" s="283" customFormat="1" ht="20.25" customHeight="1">
      <c r="A50" s="755"/>
      <c r="B50" s="755"/>
      <c r="C50" s="755"/>
      <c r="D50" s="755"/>
      <c r="E50" s="755"/>
      <c r="F50" s="755"/>
      <c r="G50" s="755"/>
      <c r="H50" s="755"/>
      <c r="I50" s="755"/>
      <c r="J50" s="755"/>
      <c r="K50" s="755"/>
      <c r="L50" s="755"/>
      <c r="M50" s="755"/>
      <c r="N50" s="755"/>
      <c r="O50" s="755"/>
      <c r="P50" s="755"/>
      <c r="Q50" s="755"/>
      <c r="R50" s="755"/>
      <c r="S50" s="835"/>
      <c r="T50" s="751"/>
      <c r="U50" s="751"/>
      <c r="V50" s="747"/>
      <c r="W50" s="747"/>
      <c r="X50" s="751"/>
      <c r="Y50" s="751"/>
      <c r="AB50" s="834"/>
      <c r="AC50" s="747"/>
      <c r="AD50" s="747"/>
      <c r="AE50" s="747"/>
      <c r="AF50" s="747"/>
      <c r="AG50" s="747"/>
      <c r="AH50" s="747"/>
      <c r="AI50" s="747"/>
      <c r="AJ50" s="747"/>
      <c r="AK50" s="747"/>
      <c r="AL50" s="747"/>
    </row>
    <row r="51" spans="1:44" ht="20.25" customHeight="1">
      <c r="A51" s="755"/>
      <c r="B51" s="755"/>
      <c r="C51" s="755"/>
      <c r="D51" s="755"/>
      <c r="E51" s="755"/>
      <c r="F51" s="755"/>
      <c r="G51" s="755"/>
      <c r="H51" s="755"/>
      <c r="I51" s="755"/>
      <c r="J51" s="755"/>
      <c r="K51" s="755"/>
      <c r="L51" s="755"/>
      <c r="M51" s="755"/>
      <c r="N51" s="755"/>
      <c r="O51" s="755"/>
      <c r="P51" s="755"/>
      <c r="Q51" s="755"/>
      <c r="R51" s="755"/>
      <c r="S51" s="835"/>
      <c r="T51" s="751"/>
      <c r="U51" s="751"/>
      <c r="X51" s="751"/>
      <c r="Y51" s="751"/>
      <c r="AB51" s="834"/>
    </row>
    <row r="52" spans="1:44" ht="20.25" customHeight="1">
      <c r="A52" s="755"/>
      <c r="B52" s="755"/>
      <c r="C52" s="755"/>
      <c r="D52" s="755"/>
      <c r="E52" s="755"/>
      <c r="F52" s="755"/>
      <c r="G52" s="755"/>
      <c r="H52" s="755"/>
      <c r="I52" s="755"/>
      <c r="J52" s="755"/>
      <c r="K52" s="755"/>
      <c r="L52" s="755"/>
      <c r="M52" s="755"/>
      <c r="N52" s="755"/>
      <c r="O52" s="755"/>
      <c r="P52" s="755"/>
      <c r="Q52" s="755"/>
      <c r="R52" s="755"/>
      <c r="S52" s="835"/>
      <c r="T52" s="751"/>
      <c r="U52" s="751"/>
      <c r="X52" s="751"/>
      <c r="Y52" s="751"/>
      <c r="AB52" s="834"/>
    </row>
    <row r="53" spans="1:44" ht="20.25" customHeight="1">
      <c r="A53" s="755"/>
      <c r="B53" s="755"/>
      <c r="C53" s="755"/>
      <c r="D53" s="755"/>
      <c r="E53" s="755"/>
      <c r="F53" s="755"/>
      <c r="G53" s="755"/>
      <c r="H53" s="755"/>
      <c r="I53" s="755"/>
      <c r="J53" s="755"/>
      <c r="K53" s="755"/>
      <c r="L53" s="755"/>
      <c r="M53" s="755"/>
      <c r="N53" s="755"/>
      <c r="O53" s="755"/>
      <c r="P53" s="755"/>
      <c r="Q53" s="755"/>
      <c r="R53" s="755"/>
      <c r="S53" s="835"/>
      <c r="T53" s="751"/>
      <c r="U53" s="751"/>
      <c r="X53" s="751"/>
      <c r="Y53" s="751"/>
      <c r="AB53" s="834"/>
    </row>
    <row r="54" spans="1:44" ht="20.25" customHeight="1">
      <c r="A54" s="755"/>
      <c r="B54" s="755"/>
      <c r="C54" s="755"/>
      <c r="D54" s="755"/>
      <c r="E54" s="755"/>
      <c r="F54" s="755"/>
      <c r="G54" s="755"/>
      <c r="H54" s="755"/>
      <c r="I54" s="755"/>
      <c r="J54" s="755"/>
      <c r="K54" s="755"/>
      <c r="L54" s="755"/>
      <c r="M54" s="755"/>
      <c r="N54" s="755"/>
      <c r="O54" s="755"/>
      <c r="P54" s="755"/>
      <c r="Q54" s="755"/>
      <c r="R54" s="755"/>
      <c r="S54" s="835"/>
      <c r="T54" s="751"/>
      <c r="U54" s="751"/>
      <c r="X54" s="751"/>
      <c r="Y54" s="751"/>
      <c r="AB54" s="834"/>
    </row>
    <row r="55" spans="1:44" ht="20.25" customHeight="1">
      <c r="A55" s="755"/>
      <c r="B55" s="755"/>
      <c r="C55" s="755"/>
      <c r="D55" s="755"/>
      <c r="E55" s="755"/>
      <c r="F55" s="755"/>
      <c r="G55" s="755"/>
      <c r="H55" s="755"/>
      <c r="I55" s="755"/>
      <c r="J55" s="755"/>
      <c r="K55" s="755"/>
      <c r="L55" s="755"/>
      <c r="M55" s="755"/>
      <c r="N55" s="755"/>
      <c r="O55" s="755"/>
      <c r="P55" s="755"/>
      <c r="Q55" s="755"/>
      <c r="R55" s="755"/>
      <c r="S55" s="835"/>
      <c r="T55" s="751"/>
      <c r="U55" s="751"/>
      <c r="X55" s="751"/>
      <c r="Y55" s="751"/>
      <c r="AB55" s="834"/>
      <c r="AM55" s="754"/>
      <c r="AN55" s="754"/>
      <c r="AO55" s="754"/>
      <c r="AP55" s="754"/>
      <c r="AQ55" s="754"/>
      <c r="AR55" s="754"/>
    </row>
    <row r="56" spans="1:44" ht="20.25" customHeight="1">
      <c r="A56" s="755"/>
      <c r="B56" s="755"/>
      <c r="C56" s="755"/>
      <c r="D56" s="755"/>
      <c r="E56" s="755"/>
      <c r="F56" s="755"/>
      <c r="G56" s="755"/>
      <c r="H56" s="755"/>
      <c r="I56" s="755"/>
      <c r="J56" s="755"/>
      <c r="K56" s="755"/>
      <c r="L56" s="755"/>
      <c r="M56" s="755"/>
      <c r="N56" s="755"/>
      <c r="O56" s="755"/>
      <c r="P56" s="755"/>
      <c r="Q56" s="755"/>
      <c r="R56" s="755"/>
      <c r="S56" s="835"/>
      <c r="T56" s="751"/>
      <c r="U56" s="751"/>
      <c r="X56" s="751"/>
      <c r="Y56" s="751"/>
      <c r="AB56" s="834"/>
      <c r="AM56" s="754"/>
      <c r="AN56" s="754"/>
      <c r="AO56" s="754"/>
      <c r="AP56" s="754"/>
      <c r="AQ56" s="754"/>
      <c r="AR56" s="754"/>
    </row>
    <row r="57" spans="1:44" ht="20.25" customHeight="1">
      <c r="A57" s="755"/>
      <c r="B57" s="755"/>
      <c r="C57" s="755"/>
      <c r="D57" s="755"/>
      <c r="E57" s="755"/>
      <c r="F57" s="755"/>
      <c r="G57" s="755"/>
      <c r="H57" s="755"/>
      <c r="I57" s="755"/>
      <c r="J57" s="755"/>
      <c r="K57" s="755"/>
      <c r="L57" s="755"/>
      <c r="M57" s="755"/>
      <c r="N57" s="755"/>
      <c r="O57" s="755"/>
      <c r="P57" s="755"/>
      <c r="Q57" s="755"/>
      <c r="R57" s="755"/>
      <c r="S57" s="835"/>
      <c r="T57" s="751"/>
      <c r="U57" s="751"/>
      <c r="X57" s="751"/>
      <c r="Y57" s="751"/>
      <c r="AB57" s="834"/>
      <c r="AM57" s="754"/>
      <c r="AN57" s="754"/>
      <c r="AO57" s="754"/>
      <c r="AP57" s="754"/>
      <c r="AQ57" s="754"/>
      <c r="AR57" s="754"/>
    </row>
    <row r="58" spans="1:44" ht="20.25" customHeight="1">
      <c r="A58" s="755"/>
      <c r="B58" s="755"/>
      <c r="C58" s="755"/>
      <c r="D58" s="755"/>
      <c r="E58" s="755"/>
      <c r="F58" s="755"/>
      <c r="G58" s="755"/>
      <c r="H58" s="755"/>
      <c r="I58" s="755"/>
      <c r="J58" s="755"/>
      <c r="K58" s="755"/>
      <c r="L58" s="755"/>
      <c r="M58" s="755"/>
      <c r="N58" s="755"/>
      <c r="O58" s="755"/>
      <c r="P58" s="755"/>
      <c r="Q58" s="755"/>
      <c r="R58" s="755"/>
      <c r="S58" s="835"/>
      <c r="T58" s="751"/>
      <c r="U58" s="751"/>
      <c r="X58" s="751"/>
      <c r="Y58" s="751"/>
      <c r="AB58" s="834"/>
      <c r="AM58" s="754"/>
      <c r="AN58" s="754"/>
      <c r="AO58" s="754"/>
      <c r="AP58" s="754"/>
      <c r="AQ58" s="754"/>
      <c r="AR58" s="754"/>
    </row>
    <row r="59" spans="1:44" ht="20.25" customHeight="1">
      <c r="A59" s="755"/>
      <c r="B59" s="755"/>
      <c r="C59" s="755"/>
      <c r="D59" s="755"/>
      <c r="E59" s="755"/>
      <c r="F59" s="755"/>
      <c r="G59" s="755"/>
      <c r="H59" s="755"/>
      <c r="I59" s="755"/>
      <c r="J59" s="755"/>
      <c r="K59" s="755"/>
      <c r="L59" s="755"/>
      <c r="M59" s="755"/>
      <c r="N59" s="755"/>
      <c r="O59" s="755"/>
      <c r="P59" s="755"/>
      <c r="Q59" s="755"/>
      <c r="R59" s="755"/>
      <c r="S59" s="835"/>
      <c r="T59" s="751"/>
      <c r="U59" s="751"/>
      <c r="X59" s="751"/>
      <c r="Y59" s="751"/>
      <c r="AB59" s="834"/>
      <c r="AM59" s="754"/>
      <c r="AN59" s="754"/>
      <c r="AO59" s="754"/>
      <c r="AP59" s="754"/>
      <c r="AQ59" s="754"/>
      <c r="AR59" s="754"/>
    </row>
    <row r="60" spans="1:44" ht="20.25" customHeight="1">
      <c r="A60" s="755"/>
      <c r="B60" s="755"/>
      <c r="C60" s="755"/>
      <c r="D60" s="755"/>
      <c r="E60" s="755"/>
      <c r="F60" s="755"/>
      <c r="G60" s="755"/>
      <c r="H60" s="755"/>
      <c r="I60" s="755"/>
      <c r="J60" s="755"/>
      <c r="K60" s="755"/>
      <c r="L60" s="755"/>
      <c r="M60" s="755"/>
      <c r="N60" s="755"/>
      <c r="O60" s="755"/>
      <c r="P60" s="755"/>
      <c r="Q60" s="755"/>
      <c r="R60" s="755"/>
      <c r="S60" s="835"/>
      <c r="T60" s="751"/>
      <c r="U60" s="751"/>
      <c r="X60" s="751"/>
      <c r="Y60" s="751"/>
      <c r="AB60" s="834"/>
      <c r="AM60" s="754"/>
      <c r="AN60" s="754"/>
      <c r="AO60" s="754"/>
      <c r="AP60" s="754"/>
      <c r="AQ60" s="754"/>
      <c r="AR60" s="754"/>
    </row>
    <row r="61" spans="1:44" ht="20.25" customHeight="1">
      <c r="A61" s="755"/>
      <c r="B61" s="755"/>
      <c r="C61" s="755"/>
      <c r="D61" s="755"/>
      <c r="E61" s="755"/>
      <c r="F61" s="755"/>
      <c r="G61" s="755"/>
      <c r="H61" s="755"/>
      <c r="I61" s="755"/>
      <c r="J61" s="755"/>
      <c r="K61" s="755"/>
      <c r="L61" s="755"/>
      <c r="M61" s="755"/>
      <c r="N61" s="755"/>
      <c r="O61" s="755"/>
      <c r="P61" s="755"/>
      <c r="Q61" s="755"/>
      <c r="R61" s="755"/>
      <c r="S61" s="835"/>
      <c r="T61" s="751"/>
      <c r="U61" s="751"/>
      <c r="X61" s="751"/>
      <c r="Y61" s="751"/>
      <c r="AB61" s="834"/>
      <c r="AM61" s="754"/>
      <c r="AN61" s="754"/>
      <c r="AO61" s="754"/>
      <c r="AP61" s="754"/>
      <c r="AQ61" s="754"/>
      <c r="AR61" s="754"/>
    </row>
    <row r="62" spans="1:44" ht="20.25" customHeight="1">
      <c r="A62" s="755"/>
      <c r="B62" s="755"/>
      <c r="C62" s="755"/>
      <c r="D62" s="755"/>
      <c r="E62" s="755"/>
      <c r="F62" s="755"/>
      <c r="G62" s="755"/>
      <c r="H62" s="755"/>
      <c r="I62" s="755"/>
      <c r="J62" s="755"/>
      <c r="K62" s="755"/>
      <c r="L62" s="755"/>
      <c r="M62" s="755"/>
      <c r="N62" s="755"/>
      <c r="O62" s="755"/>
      <c r="P62" s="755"/>
      <c r="Q62" s="755"/>
      <c r="R62" s="755"/>
      <c r="S62" s="835"/>
      <c r="T62" s="751"/>
      <c r="U62" s="751"/>
      <c r="X62" s="751"/>
      <c r="Y62" s="751"/>
      <c r="AB62" s="834"/>
      <c r="AM62" s="753"/>
      <c r="AN62" s="753"/>
      <c r="AO62" s="753"/>
      <c r="AP62" s="753"/>
      <c r="AQ62" s="753"/>
      <c r="AR62" s="753"/>
    </row>
    <row r="63" spans="1:44" ht="20.25" customHeight="1">
      <c r="A63" s="755"/>
      <c r="B63" s="755"/>
      <c r="C63" s="755"/>
      <c r="D63" s="755"/>
      <c r="E63" s="755"/>
      <c r="F63" s="755"/>
      <c r="G63" s="755"/>
      <c r="H63" s="755"/>
      <c r="I63" s="755"/>
      <c r="J63" s="755"/>
      <c r="K63" s="755"/>
      <c r="L63" s="755"/>
      <c r="M63" s="755"/>
      <c r="N63" s="755"/>
      <c r="O63" s="755"/>
      <c r="P63" s="755"/>
      <c r="Q63" s="755"/>
      <c r="R63" s="755"/>
      <c r="S63" s="835"/>
      <c r="T63" s="751"/>
      <c r="U63" s="751"/>
      <c r="X63" s="751"/>
      <c r="Y63" s="751"/>
      <c r="AB63" s="834"/>
      <c r="AM63" s="835"/>
      <c r="AN63" s="835"/>
      <c r="AO63" s="835"/>
      <c r="AP63" s="835"/>
      <c r="AQ63" s="835"/>
      <c r="AR63" s="835"/>
    </row>
    <row r="64" spans="1:44" ht="20.25" customHeight="1">
      <c r="A64" s="755"/>
      <c r="B64" s="755"/>
      <c r="C64" s="755"/>
      <c r="D64" s="755"/>
      <c r="E64" s="755"/>
      <c r="F64" s="755"/>
      <c r="G64" s="755"/>
      <c r="H64" s="755"/>
      <c r="I64" s="755"/>
      <c r="J64" s="755"/>
      <c r="K64" s="755"/>
      <c r="L64" s="755"/>
      <c r="M64" s="755"/>
      <c r="N64" s="755"/>
      <c r="O64" s="755"/>
      <c r="P64" s="755"/>
      <c r="Q64" s="755"/>
      <c r="R64" s="755"/>
      <c r="S64" s="835"/>
      <c r="T64" s="751"/>
      <c r="U64" s="751"/>
      <c r="X64" s="751"/>
      <c r="Y64" s="751"/>
      <c r="AB64" s="834"/>
    </row>
    <row r="65" spans="1:44" ht="20.25" customHeight="1">
      <c r="A65" s="755"/>
      <c r="B65" s="755"/>
      <c r="C65" s="755"/>
      <c r="D65" s="755"/>
      <c r="E65" s="755"/>
      <c r="F65" s="755"/>
      <c r="G65" s="755"/>
      <c r="H65" s="755"/>
      <c r="I65" s="755"/>
      <c r="J65" s="755"/>
      <c r="K65" s="755"/>
      <c r="L65" s="755"/>
      <c r="M65" s="755"/>
      <c r="N65" s="755"/>
      <c r="O65" s="755"/>
      <c r="P65" s="755"/>
      <c r="Q65" s="755"/>
      <c r="R65" s="755"/>
      <c r="S65" s="835"/>
      <c r="T65" s="751"/>
      <c r="U65" s="751"/>
      <c r="X65" s="751"/>
      <c r="Y65" s="751"/>
      <c r="AB65" s="834"/>
    </row>
    <row r="66" spans="1:44" ht="20.25" customHeight="1">
      <c r="A66" s="755"/>
      <c r="B66" s="755"/>
      <c r="C66" s="755"/>
      <c r="D66" s="755"/>
      <c r="E66" s="755"/>
      <c r="F66" s="755"/>
      <c r="G66" s="755"/>
      <c r="H66" s="755"/>
      <c r="I66" s="755"/>
      <c r="J66" s="755"/>
      <c r="K66" s="755"/>
      <c r="L66" s="755"/>
      <c r="M66" s="755"/>
      <c r="N66" s="755"/>
      <c r="O66" s="755"/>
      <c r="P66" s="755"/>
      <c r="Q66" s="755"/>
      <c r="R66" s="755"/>
      <c r="S66" s="835"/>
      <c r="T66" s="751"/>
      <c r="U66" s="751"/>
      <c r="X66" s="751"/>
      <c r="Y66" s="751"/>
      <c r="AB66" s="834"/>
    </row>
    <row r="67" spans="1:44" ht="20.25" customHeight="1">
      <c r="A67" s="755"/>
      <c r="B67" s="755"/>
      <c r="C67" s="755"/>
      <c r="D67" s="755"/>
      <c r="E67" s="755"/>
      <c r="F67" s="755"/>
      <c r="G67" s="755"/>
      <c r="H67" s="755"/>
      <c r="I67" s="755"/>
      <c r="J67" s="755"/>
      <c r="K67" s="755"/>
      <c r="L67" s="755"/>
      <c r="M67" s="755"/>
      <c r="N67" s="755"/>
      <c r="O67" s="755"/>
      <c r="P67" s="755"/>
      <c r="Q67" s="755"/>
      <c r="R67" s="755"/>
      <c r="S67" s="835"/>
      <c r="T67" s="751"/>
      <c r="U67" s="751"/>
      <c r="X67" s="751"/>
      <c r="Y67" s="751"/>
      <c r="AB67" s="834"/>
    </row>
    <row r="68" spans="1:44" ht="20.25" customHeight="1">
      <c r="A68" s="755"/>
      <c r="B68" s="755"/>
      <c r="C68" s="755"/>
      <c r="D68" s="755"/>
      <c r="E68" s="755"/>
      <c r="F68" s="755"/>
      <c r="G68" s="755"/>
      <c r="H68" s="755"/>
      <c r="I68" s="755"/>
      <c r="J68" s="755"/>
      <c r="K68" s="755"/>
      <c r="L68" s="755"/>
      <c r="M68" s="755"/>
      <c r="N68" s="755"/>
      <c r="O68" s="755"/>
      <c r="P68" s="755"/>
      <c r="Q68" s="755"/>
      <c r="R68" s="755"/>
      <c r="S68" s="835"/>
      <c r="T68" s="751"/>
      <c r="U68" s="751"/>
      <c r="X68" s="751"/>
      <c r="Y68" s="751"/>
      <c r="AB68" s="834"/>
    </row>
    <row r="69" spans="1:44" ht="20.25" customHeight="1">
      <c r="A69" s="755"/>
      <c r="B69" s="755"/>
      <c r="C69" s="755"/>
      <c r="D69" s="755"/>
      <c r="E69" s="755"/>
      <c r="F69" s="755"/>
      <c r="G69" s="755"/>
      <c r="H69" s="755"/>
      <c r="I69" s="755"/>
      <c r="J69" s="755"/>
      <c r="K69" s="755"/>
      <c r="L69" s="755"/>
      <c r="M69" s="755"/>
      <c r="N69" s="755"/>
      <c r="O69" s="755"/>
      <c r="P69" s="755"/>
      <c r="Q69" s="755"/>
      <c r="R69" s="755"/>
      <c r="S69" s="835"/>
      <c r="T69" s="751"/>
      <c r="U69" s="751"/>
      <c r="X69" s="751"/>
      <c r="Y69" s="751"/>
      <c r="AB69" s="834"/>
    </row>
    <row r="70" spans="1:44" ht="20.25" customHeight="1">
      <c r="A70" s="755"/>
      <c r="B70" s="755"/>
      <c r="C70" s="755"/>
      <c r="D70" s="755"/>
      <c r="E70" s="755"/>
      <c r="F70" s="755"/>
      <c r="G70" s="755"/>
      <c r="H70" s="755"/>
      <c r="I70" s="755"/>
      <c r="J70" s="755"/>
      <c r="K70" s="755"/>
      <c r="L70" s="755"/>
      <c r="M70" s="755"/>
      <c r="N70" s="755"/>
      <c r="O70" s="755"/>
      <c r="P70" s="755"/>
      <c r="Q70" s="755"/>
      <c r="R70" s="755"/>
      <c r="S70" s="835"/>
      <c r="T70" s="751"/>
      <c r="U70" s="751"/>
      <c r="X70" s="751"/>
      <c r="Y70" s="751"/>
      <c r="AB70" s="834"/>
    </row>
    <row r="71" spans="1:44" ht="20.25" customHeight="1">
      <c r="A71" s="755"/>
      <c r="B71" s="755"/>
      <c r="C71" s="755"/>
      <c r="D71" s="755"/>
      <c r="E71" s="755"/>
      <c r="F71" s="755"/>
      <c r="G71" s="755"/>
      <c r="H71" s="755"/>
      <c r="I71" s="755"/>
      <c r="J71" s="755"/>
      <c r="K71" s="755"/>
      <c r="L71" s="755"/>
      <c r="M71" s="755"/>
      <c r="N71" s="755"/>
      <c r="O71" s="755"/>
      <c r="P71" s="755"/>
      <c r="Q71" s="755"/>
      <c r="R71" s="755"/>
      <c r="S71" s="835"/>
      <c r="T71" s="751"/>
      <c r="U71" s="751"/>
      <c r="X71" s="751"/>
      <c r="Y71" s="751"/>
      <c r="AB71" s="834"/>
    </row>
    <row r="72" spans="1:44" ht="20.25" customHeight="1">
      <c r="A72" s="755"/>
      <c r="B72" s="755"/>
      <c r="C72" s="755"/>
      <c r="D72" s="755"/>
      <c r="E72" s="755"/>
      <c r="F72" s="755"/>
      <c r="G72" s="755"/>
      <c r="H72" s="755"/>
      <c r="I72" s="755"/>
      <c r="J72" s="755"/>
      <c r="K72" s="755"/>
      <c r="L72" s="755"/>
      <c r="M72" s="755"/>
      <c r="N72" s="755"/>
      <c r="O72" s="755"/>
      <c r="P72" s="755"/>
      <c r="Q72" s="755"/>
      <c r="R72" s="755"/>
      <c r="S72" s="835"/>
      <c r="T72" s="751"/>
      <c r="U72" s="751"/>
      <c r="X72" s="751"/>
      <c r="Y72" s="751"/>
      <c r="AB72" s="834"/>
    </row>
    <row r="73" spans="1:44" ht="20.25" customHeight="1">
      <c r="A73" s="755"/>
      <c r="B73" s="755"/>
      <c r="C73" s="755"/>
      <c r="D73" s="755"/>
      <c r="E73" s="755"/>
      <c r="F73" s="755"/>
      <c r="G73" s="755"/>
      <c r="H73" s="755"/>
      <c r="I73" s="755"/>
      <c r="J73" s="755"/>
      <c r="K73" s="755"/>
      <c r="L73" s="755"/>
      <c r="M73" s="755"/>
      <c r="N73" s="755"/>
      <c r="O73" s="755"/>
      <c r="P73" s="755"/>
      <c r="Q73" s="755"/>
      <c r="R73" s="755"/>
      <c r="S73" s="835"/>
      <c r="T73" s="751"/>
      <c r="U73" s="751"/>
      <c r="X73" s="751"/>
      <c r="Y73" s="751"/>
      <c r="AB73" s="834"/>
    </row>
    <row r="74" spans="1:44" ht="20.25" customHeight="1">
      <c r="A74" s="755"/>
      <c r="B74" s="755"/>
      <c r="C74" s="755"/>
      <c r="D74" s="755"/>
      <c r="E74" s="755"/>
      <c r="F74" s="755"/>
      <c r="G74" s="755"/>
      <c r="H74" s="755"/>
      <c r="I74" s="755"/>
      <c r="J74" s="755"/>
      <c r="K74" s="755"/>
      <c r="L74" s="755"/>
      <c r="M74" s="755"/>
      <c r="N74" s="755"/>
      <c r="O74" s="755"/>
      <c r="P74" s="755"/>
      <c r="Q74" s="755"/>
      <c r="R74" s="755"/>
      <c r="S74" s="835"/>
      <c r="T74" s="751"/>
      <c r="U74" s="751"/>
      <c r="X74" s="751"/>
      <c r="Y74" s="751"/>
      <c r="AB74" s="834"/>
    </row>
    <row r="75" spans="1:44" ht="20.25" customHeight="1">
      <c r="A75" s="755"/>
      <c r="B75" s="755"/>
      <c r="C75" s="755"/>
      <c r="D75" s="755"/>
      <c r="E75" s="755"/>
      <c r="F75" s="755"/>
      <c r="G75" s="755"/>
      <c r="H75" s="755"/>
      <c r="I75" s="755"/>
      <c r="J75" s="755"/>
      <c r="K75" s="755"/>
      <c r="L75" s="755"/>
      <c r="M75" s="755"/>
      <c r="N75" s="755"/>
      <c r="O75" s="755"/>
      <c r="P75" s="755"/>
      <c r="Q75" s="755"/>
      <c r="R75" s="755"/>
      <c r="S75" s="835"/>
      <c r="T75" s="751"/>
      <c r="U75" s="751"/>
      <c r="X75" s="751"/>
      <c r="Y75" s="751"/>
      <c r="AB75" s="834"/>
    </row>
    <row r="76" spans="1:44" ht="20.25" customHeight="1">
      <c r="A76" s="755"/>
      <c r="B76" s="755"/>
      <c r="C76" s="755"/>
      <c r="D76" s="755"/>
      <c r="E76" s="755"/>
      <c r="F76" s="755"/>
      <c r="G76" s="755"/>
      <c r="H76" s="755"/>
      <c r="I76" s="755"/>
      <c r="J76" s="755"/>
      <c r="K76" s="755"/>
      <c r="L76" s="755"/>
      <c r="M76" s="755"/>
      <c r="N76" s="755"/>
      <c r="O76" s="755"/>
      <c r="P76" s="755"/>
      <c r="Q76" s="755"/>
      <c r="R76" s="755"/>
      <c r="S76" s="835"/>
      <c r="T76" s="751"/>
      <c r="U76" s="751"/>
      <c r="X76" s="751"/>
      <c r="Y76" s="751"/>
      <c r="AB76" s="834"/>
    </row>
    <row r="77" spans="1:44" ht="20.25" customHeight="1">
      <c r="A77" s="755"/>
      <c r="B77" s="755"/>
      <c r="C77" s="755"/>
      <c r="D77" s="755"/>
      <c r="E77" s="755"/>
      <c r="F77" s="755"/>
      <c r="G77" s="755"/>
      <c r="H77" s="755"/>
      <c r="I77" s="755"/>
      <c r="J77" s="755"/>
      <c r="K77" s="755"/>
      <c r="L77" s="755"/>
      <c r="M77" s="755"/>
      <c r="N77" s="755"/>
      <c r="O77" s="755"/>
      <c r="P77" s="755"/>
      <c r="Q77" s="755"/>
      <c r="R77" s="755"/>
      <c r="S77" s="835"/>
      <c r="T77" s="751"/>
      <c r="U77" s="751"/>
      <c r="X77" s="751"/>
      <c r="Y77" s="751"/>
      <c r="AB77" s="834"/>
    </row>
    <row r="78" spans="1:44" ht="20.25" customHeight="1">
      <c r="A78" s="755"/>
      <c r="B78" s="755"/>
      <c r="C78" s="755"/>
      <c r="D78" s="755"/>
      <c r="E78" s="755"/>
      <c r="F78" s="755"/>
      <c r="G78" s="755"/>
      <c r="H78" s="755"/>
      <c r="I78" s="755"/>
      <c r="J78" s="755"/>
      <c r="K78" s="755"/>
      <c r="L78" s="755"/>
      <c r="M78" s="755"/>
      <c r="N78" s="755"/>
      <c r="O78" s="755"/>
      <c r="P78" s="755"/>
      <c r="Q78" s="755"/>
      <c r="R78" s="755"/>
      <c r="S78" s="835"/>
      <c r="T78" s="751"/>
      <c r="U78" s="751"/>
      <c r="X78" s="751"/>
      <c r="Y78" s="751"/>
      <c r="AB78" s="834"/>
      <c r="AM78" s="754"/>
      <c r="AN78" s="754"/>
      <c r="AO78" s="754"/>
      <c r="AP78" s="754"/>
      <c r="AQ78" s="754"/>
      <c r="AR78" s="754"/>
    </row>
    <row r="79" spans="1:44" ht="20.25" customHeight="1">
      <c r="A79" s="755"/>
      <c r="B79" s="755"/>
      <c r="C79" s="755"/>
      <c r="D79" s="755"/>
      <c r="E79" s="755"/>
      <c r="F79" s="755"/>
      <c r="G79" s="755"/>
      <c r="H79" s="755"/>
      <c r="I79" s="755"/>
      <c r="J79" s="755"/>
      <c r="K79" s="755"/>
      <c r="L79" s="755"/>
      <c r="M79" s="755"/>
      <c r="N79" s="755"/>
      <c r="O79" s="755"/>
      <c r="P79" s="755"/>
      <c r="Q79" s="755"/>
      <c r="R79" s="755"/>
      <c r="S79" s="835"/>
      <c r="T79" s="751"/>
      <c r="U79" s="751"/>
      <c r="X79" s="751"/>
      <c r="Y79" s="751"/>
      <c r="AB79" s="834"/>
      <c r="AM79" s="754"/>
      <c r="AN79" s="754"/>
      <c r="AO79" s="754"/>
      <c r="AP79" s="754"/>
      <c r="AQ79" s="754"/>
      <c r="AR79" s="754"/>
    </row>
    <row r="80" spans="1:44" ht="20.25" customHeight="1">
      <c r="A80" s="755"/>
      <c r="B80" s="755"/>
      <c r="C80" s="755"/>
      <c r="D80" s="755"/>
      <c r="E80" s="755"/>
      <c r="F80" s="755"/>
      <c r="G80" s="755"/>
      <c r="H80" s="755"/>
      <c r="I80" s="755"/>
      <c r="J80" s="755"/>
      <c r="K80" s="755"/>
      <c r="L80" s="755"/>
      <c r="M80" s="755"/>
      <c r="N80" s="755"/>
      <c r="O80" s="755"/>
      <c r="P80" s="755"/>
      <c r="Q80" s="755"/>
      <c r="R80" s="755"/>
      <c r="S80" s="835"/>
      <c r="T80" s="751"/>
      <c r="U80" s="751"/>
      <c r="X80" s="751"/>
      <c r="Y80" s="751"/>
      <c r="AB80" s="834"/>
      <c r="AM80" s="754"/>
      <c r="AN80" s="754"/>
      <c r="AO80" s="754"/>
      <c r="AP80" s="754"/>
      <c r="AQ80" s="754"/>
      <c r="AR80" s="754"/>
    </row>
    <row r="81" spans="1:44" ht="20.25" customHeight="1">
      <c r="A81" s="755"/>
      <c r="B81" s="755"/>
      <c r="C81" s="755"/>
      <c r="D81" s="755"/>
      <c r="E81" s="755"/>
      <c r="F81" s="755"/>
      <c r="G81" s="755"/>
      <c r="H81" s="755"/>
      <c r="I81" s="755"/>
      <c r="J81" s="755"/>
      <c r="K81" s="755"/>
      <c r="L81" s="755"/>
      <c r="M81" s="755"/>
      <c r="N81" s="755"/>
      <c r="O81" s="755"/>
      <c r="P81" s="755"/>
      <c r="Q81" s="755"/>
      <c r="R81" s="755"/>
      <c r="S81" s="835"/>
      <c r="T81" s="751"/>
      <c r="U81" s="751"/>
      <c r="X81" s="751"/>
      <c r="Y81" s="751"/>
      <c r="AB81" s="834"/>
      <c r="AM81" s="754"/>
      <c r="AN81" s="754"/>
      <c r="AO81" s="754"/>
      <c r="AP81" s="754"/>
      <c r="AQ81" s="754"/>
      <c r="AR81" s="754"/>
    </row>
    <row r="82" spans="1:44" ht="20.25" customHeight="1">
      <c r="A82" s="755"/>
      <c r="B82" s="755"/>
      <c r="C82" s="755"/>
      <c r="D82" s="755"/>
      <c r="E82" s="755"/>
      <c r="F82" s="755"/>
      <c r="G82" s="755"/>
      <c r="H82" s="755"/>
      <c r="I82" s="755"/>
      <c r="J82" s="755"/>
      <c r="K82" s="755"/>
      <c r="L82" s="755"/>
      <c r="M82" s="755"/>
      <c r="N82" s="755"/>
      <c r="O82" s="755"/>
      <c r="P82" s="755"/>
      <c r="Q82" s="755"/>
      <c r="R82" s="755"/>
      <c r="S82" s="835"/>
      <c r="T82" s="751"/>
      <c r="U82" s="751"/>
      <c r="X82" s="751"/>
      <c r="Y82" s="751"/>
      <c r="AB82" s="834"/>
      <c r="AM82" s="754"/>
      <c r="AN82" s="754"/>
      <c r="AO82" s="754"/>
      <c r="AP82" s="754"/>
      <c r="AQ82" s="754"/>
      <c r="AR82" s="754"/>
    </row>
    <row r="83" spans="1:44" ht="20.25" customHeight="1">
      <c r="A83" s="755"/>
      <c r="B83" s="755"/>
      <c r="C83" s="755"/>
      <c r="D83" s="755"/>
      <c r="E83" s="755"/>
      <c r="F83" s="755"/>
      <c r="G83" s="755"/>
      <c r="H83" s="755"/>
      <c r="I83" s="755"/>
      <c r="J83" s="755"/>
      <c r="K83" s="755"/>
      <c r="L83" s="755"/>
      <c r="M83" s="755"/>
      <c r="N83" s="755"/>
      <c r="O83" s="755"/>
      <c r="P83" s="755"/>
      <c r="Q83" s="755"/>
      <c r="R83" s="755"/>
      <c r="S83" s="835"/>
      <c r="T83" s="751"/>
      <c r="U83" s="751"/>
      <c r="X83" s="751"/>
      <c r="Y83" s="751"/>
      <c r="AB83" s="834"/>
      <c r="AM83" s="754"/>
      <c r="AN83" s="754"/>
      <c r="AO83" s="754"/>
      <c r="AP83" s="754"/>
      <c r="AQ83" s="754"/>
      <c r="AR83" s="754"/>
    </row>
    <row r="84" spans="1:44" ht="20.25" customHeight="1">
      <c r="A84" s="755"/>
      <c r="B84" s="755"/>
      <c r="C84" s="755"/>
      <c r="D84" s="755"/>
      <c r="E84" s="755"/>
      <c r="F84" s="755"/>
      <c r="G84" s="755"/>
      <c r="H84" s="755"/>
      <c r="I84" s="755"/>
      <c r="J84" s="755"/>
      <c r="K84" s="755"/>
      <c r="L84" s="755"/>
      <c r="M84" s="755"/>
      <c r="N84" s="755"/>
      <c r="O84" s="755"/>
      <c r="P84" s="755"/>
      <c r="Q84" s="755"/>
      <c r="R84" s="755"/>
      <c r="S84" s="835"/>
      <c r="T84" s="751"/>
      <c r="U84" s="751"/>
      <c r="X84" s="751"/>
      <c r="Y84" s="751"/>
      <c r="AB84" s="834"/>
      <c r="AM84" s="754"/>
      <c r="AN84" s="754"/>
      <c r="AO84" s="754"/>
      <c r="AP84" s="754"/>
      <c r="AQ84" s="754"/>
      <c r="AR84" s="754"/>
    </row>
    <row r="85" spans="1:44" ht="20.25" customHeight="1">
      <c r="A85" s="755"/>
      <c r="B85" s="755"/>
      <c r="C85" s="755"/>
      <c r="D85" s="755"/>
      <c r="E85" s="755"/>
      <c r="F85" s="755"/>
      <c r="G85" s="755"/>
      <c r="H85" s="755"/>
      <c r="I85" s="755"/>
      <c r="J85" s="755"/>
      <c r="K85" s="755"/>
      <c r="L85" s="755"/>
      <c r="M85" s="755"/>
      <c r="N85" s="755"/>
      <c r="O85" s="755"/>
      <c r="P85" s="755"/>
      <c r="Q85" s="755"/>
      <c r="R85" s="755"/>
      <c r="S85" s="835"/>
      <c r="T85" s="751"/>
      <c r="U85" s="751"/>
      <c r="X85" s="751"/>
      <c r="Y85" s="751"/>
      <c r="AB85" s="834"/>
      <c r="AM85" s="753"/>
      <c r="AN85" s="753"/>
      <c r="AO85" s="753"/>
      <c r="AP85" s="753"/>
      <c r="AQ85" s="753"/>
      <c r="AR85" s="753"/>
    </row>
    <row r="86" spans="1:44" ht="20.25" customHeight="1"/>
    <row r="87" spans="1:44" ht="20.25" customHeight="1"/>
    <row r="88" spans="1:44" ht="20.25" customHeight="1"/>
    <row r="89" spans="1:44" ht="20.25" customHeight="1"/>
    <row r="90" spans="1:44" ht="20.25" customHeight="1"/>
    <row r="91" spans="1:44" ht="20.25" customHeight="1"/>
    <row r="92" spans="1:44" ht="20.25" customHeight="1"/>
    <row r="93" spans="1:44" ht="20.25" customHeight="1"/>
    <row r="94" spans="1:44" ht="20.25" customHeight="1"/>
    <row r="95" spans="1:44" ht="20.25" customHeight="1"/>
    <row r="96" spans="1:44" ht="20.25" customHeight="1"/>
    <row r="97" ht="20.25" customHeight="1"/>
    <row r="98" ht="20.25" customHeight="1"/>
    <row r="99" ht="20.25" customHeight="1"/>
  </sheetData>
  <sheetProtection formatCells="0" formatColumns="0" formatRows="0" insertColumns="0"/>
  <mergeCells count="26">
    <mergeCell ref="C2:E2"/>
    <mergeCell ref="H2:I2"/>
    <mergeCell ref="N2:O2"/>
    <mergeCell ref="P2:Q2"/>
    <mergeCell ref="C3:D3"/>
    <mergeCell ref="H3:I3"/>
    <mergeCell ref="M3:Q3"/>
    <mergeCell ref="M5:N5"/>
    <mergeCell ref="O5:P5"/>
    <mergeCell ref="C15:E15"/>
    <mergeCell ref="W15:Y15"/>
    <mergeCell ref="I8:J8"/>
    <mergeCell ref="D9:D10"/>
    <mergeCell ref="E10:F10"/>
    <mergeCell ref="G10:H10"/>
    <mergeCell ref="I10:J10"/>
    <mergeCell ref="C5:D6"/>
    <mergeCell ref="E5:F5"/>
    <mergeCell ref="G5:H5"/>
    <mergeCell ref="I5:J5"/>
    <mergeCell ref="K5:L5"/>
    <mergeCell ref="R16:S16"/>
    <mergeCell ref="Z16:AB16"/>
    <mergeCell ref="K10:L10"/>
    <mergeCell ref="M10:N10"/>
    <mergeCell ref="O10:P10"/>
  </mergeCells>
  <conditionalFormatting sqref="B12 P12:P13 S12">
    <cfRule type="expression" dxfId="4" priority="6">
      <formula>#REF!="nein"</formula>
    </cfRule>
  </conditionalFormatting>
  <conditionalFormatting sqref="S13">
    <cfRule type="expression" dxfId="3" priority="5">
      <formula>($B$11+S12)&lt;$H$2</formula>
    </cfRule>
  </conditionalFormatting>
  <conditionalFormatting sqref="B36">
    <cfRule type="expression" dxfId="2" priority="4">
      <formula>#REF!="nein"</formula>
    </cfRule>
  </conditionalFormatting>
  <conditionalFormatting sqref="B38">
    <cfRule type="expression" dxfId="1" priority="3">
      <formula>$B$11=" "</formula>
    </cfRule>
  </conditionalFormatting>
  <conditionalFormatting sqref="B13">
    <cfRule type="expression" dxfId="0" priority="1">
      <formula>($B$11+B12)&lt;$H$2</formula>
    </cfRule>
  </conditionalFormatting>
  <dataValidations count="5">
    <dataValidation type="list" allowBlank="1" showInputMessage="1" showErrorMessage="1" sqref="G8 K8 G31 K31">
      <formula1>Liste_ja</formula1>
    </dataValidation>
    <dataValidation type="list" allowBlank="1" showErrorMessage="1" sqref="E33 C11:C13 C38:D38 C36:D36">
      <formula1>Liste_Nutzung</formula1>
    </dataValidation>
    <dataValidation type="list" operator="equal" allowBlank="1" showErrorMessage="1" sqref="DJ11:DJ28">
      <formula1>"düngerliste"</formula1>
      <formula2>0</formula2>
    </dataValidation>
    <dataValidation type="list" allowBlank="1" showInputMessage="1" showErrorMessage="1" sqref="K11:K13 M11:M13 O11:O13 E11:E13 G11:G13 I11:I13 I34 G34 E34 G36 M34 K34 K38 K36 M38 M36 I38 I36 E38 E36 G38">
      <formula1>meine_Dünger</formula1>
    </dataValidation>
    <dataValidation showDropDown="1" showErrorMessage="1" sqref="D11:D13"/>
  </dataValidations>
  <printOptions horizontalCentered="1" verticalCentered="1"/>
  <pageMargins left="0.51181102362204722" right="0.39370078740157483" top="0.35433070866141736" bottom="0.43307086614173229" header="0.78740157480314965" footer="0.51181102362204722"/>
  <pageSetup paperSize="9" scale="58" firstPageNumber="0" pageOrder="overThenDown" orientation="portrait" blackAndWhite="1"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
  <sheetViews>
    <sheetView workbookViewId="0">
      <selection activeCell="L42" sqref="L42"/>
    </sheetView>
  </sheetViews>
  <sheetFormatPr baseColWidth="10" defaultRowHeight="12.75"/>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C000"/>
    <pageSetUpPr fitToPage="1"/>
  </sheetPr>
  <dimension ref="A1:Y40"/>
  <sheetViews>
    <sheetView workbookViewId="0">
      <selection activeCell="M1" sqref="M1:N1"/>
    </sheetView>
  </sheetViews>
  <sheetFormatPr baseColWidth="10" defaultColWidth="12.28515625" defaultRowHeight="12.75"/>
  <cols>
    <col min="1" max="1" width="2.140625" style="747" customWidth="1"/>
    <col min="2" max="2" width="27.7109375" customWidth="1"/>
    <col min="3" max="3" width="8.42578125" customWidth="1"/>
    <col min="4" max="6" width="8.7109375" customWidth="1"/>
    <col min="7" max="9" width="10.5703125" customWidth="1"/>
    <col min="10" max="10" width="9.85546875" customWidth="1"/>
    <col min="11" max="11" width="2.42578125" customWidth="1"/>
    <col min="12" max="12" width="23.28515625" customWidth="1"/>
    <col min="13" max="13" width="11.28515625" customWidth="1"/>
    <col min="14" max="14" width="29.5703125" customWidth="1"/>
    <col min="15" max="15" width="11.7109375" customWidth="1"/>
    <col min="16" max="16" width="9.85546875" customWidth="1"/>
    <col min="17" max="17" width="15" customWidth="1"/>
    <col min="18" max="18" width="2.42578125" customWidth="1"/>
    <col min="19" max="19" width="12.5703125" customWidth="1"/>
    <col min="20" max="20" width="8.85546875" customWidth="1"/>
    <col min="21" max="23" width="7.42578125" customWidth="1"/>
    <col min="24" max="25" width="9.42578125" customWidth="1"/>
    <col min="26" max="28" width="8.7109375" customWidth="1"/>
  </cols>
  <sheetData>
    <row r="1" spans="1:25" ht="30" customHeight="1">
      <c r="A1" s="878"/>
      <c r="B1" s="2428" t="s">
        <v>801</v>
      </c>
      <c r="C1" s="2429"/>
      <c r="D1" s="2429"/>
      <c r="E1" s="2429"/>
      <c r="F1" s="2429"/>
      <c r="G1" s="2429"/>
      <c r="H1" s="2429"/>
      <c r="I1" s="2429"/>
      <c r="J1" s="2429"/>
      <c r="K1" s="2430"/>
      <c r="L1" s="744" t="s">
        <v>0</v>
      </c>
      <c r="M1" s="2426" t="s">
        <v>1</v>
      </c>
      <c r="N1" s="2426"/>
      <c r="O1" s="1509"/>
      <c r="P1" s="1509"/>
      <c r="Q1" s="1509"/>
      <c r="R1" s="878"/>
      <c r="S1" s="1509"/>
      <c r="T1" s="1509"/>
      <c r="U1" s="1509"/>
      <c r="V1" s="244"/>
      <c r="W1" s="244"/>
    </row>
    <row r="2" spans="1:25" ht="26.1" customHeight="1">
      <c r="A2" s="878"/>
      <c r="B2" s="1485" t="s">
        <v>675</v>
      </c>
      <c r="C2" s="1486" t="s">
        <v>737</v>
      </c>
      <c r="D2" s="1487" t="s">
        <v>676</v>
      </c>
      <c r="E2" s="1487" t="s">
        <v>677</v>
      </c>
      <c r="F2" s="1487" t="s">
        <v>678</v>
      </c>
      <c r="G2" s="1487" t="s">
        <v>679</v>
      </c>
      <c r="H2" s="1487" t="s">
        <v>680</v>
      </c>
      <c r="I2" s="1487" t="s">
        <v>681</v>
      </c>
      <c r="J2" s="1488" t="s">
        <v>682</v>
      </c>
      <c r="K2" s="878"/>
      <c r="L2" s="719" t="s">
        <v>121</v>
      </c>
      <c r="M2" s="719"/>
      <c r="N2" s="719"/>
      <c r="O2" s="878"/>
      <c r="P2" s="878"/>
      <c r="Q2" s="878"/>
      <c r="R2" s="878"/>
      <c r="S2" s="878"/>
      <c r="T2" s="878"/>
      <c r="U2" s="878"/>
    </row>
    <row r="3" spans="1:25" ht="15.75" customHeight="1">
      <c r="A3" s="878"/>
      <c r="B3" s="1489" t="s">
        <v>683</v>
      </c>
      <c r="C3" s="1490"/>
      <c r="D3" s="1491">
        <v>0.27</v>
      </c>
      <c r="E3" s="1491"/>
      <c r="F3" s="1491"/>
      <c r="G3" s="1492">
        <f>$C3*D3</f>
        <v>0</v>
      </c>
      <c r="H3" s="1492">
        <f>$C3*E3</f>
        <v>0</v>
      </c>
      <c r="I3" s="1492">
        <f>$C3*F3</f>
        <v>0</v>
      </c>
      <c r="J3" s="1493">
        <v>1</v>
      </c>
      <c r="K3" s="878"/>
      <c r="L3" s="720" t="s">
        <v>128</v>
      </c>
      <c r="M3" s="724"/>
      <c r="N3" s="341" t="s">
        <v>798</v>
      </c>
      <c r="O3" s="878"/>
      <c r="P3" s="878"/>
      <c r="Q3" s="878"/>
      <c r="R3" s="878"/>
      <c r="S3" s="878"/>
      <c r="T3" s="878"/>
      <c r="U3" s="878"/>
    </row>
    <row r="4" spans="1:25" ht="15.75" customHeight="1">
      <c r="A4" s="878"/>
      <c r="B4" s="1494" t="s">
        <v>684</v>
      </c>
      <c r="C4" s="1495"/>
      <c r="D4" s="1496">
        <v>0.46</v>
      </c>
      <c r="E4" s="1496"/>
      <c r="F4" s="1496"/>
      <c r="G4" s="1497">
        <f t="shared" ref="G4:G28" si="0">C4*D4</f>
        <v>0</v>
      </c>
      <c r="H4" s="1497">
        <f t="shared" ref="H4:H28" si="1">$C4*E4</f>
        <v>0</v>
      </c>
      <c r="I4" s="1497">
        <f t="shared" ref="I4:I28" si="2">$C4*F4</f>
        <v>0</v>
      </c>
      <c r="J4" s="1498">
        <v>1</v>
      </c>
      <c r="K4" s="878"/>
      <c r="L4" s="720" t="s">
        <v>799</v>
      </c>
      <c r="M4" s="721">
        <f>Tiere!U15</f>
        <v>0</v>
      </c>
      <c r="N4" s="341" t="s">
        <v>800</v>
      </c>
      <c r="O4" s="878"/>
      <c r="P4" s="878"/>
      <c r="Q4" s="878"/>
      <c r="R4" s="878"/>
      <c r="S4" s="878"/>
      <c r="T4" s="878"/>
      <c r="U4" s="878"/>
    </row>
    <row r="5" spans="1:25" ht="15.75" customHeight="1">
      <c r="A5" s="878"/>
      <c r="B5" s="1494" t="s">
        <v>685</v>
      </c>
      <c r="C5" s="1495"/>
      <c r="D5" s="1496">
        <v>0.27</v>
      </c>
      <c r="E5" s="1496"/>
      <c r="F5" s="1496"/>
      <c r="G5" s="1497">
        <f t="shared" si="0"/>
        <v>0</v>
      </c>
      <c r="H5" s="1497">
        <f t="shared" si="1"/>
        <v>0</v>
      </c>
      <c r="I5" s="1497">
        <f t="shared" si="2"/>
        <v>0</v>
      </c>
      <c r="J5" s="1498">
        <v>1</v>
      </c>
      <c r="K5" s="878"/>
      <c r="L5" s="878"/>
      <c r="M5" s="878"/>
      <c r="N5" s="878"/>
      <c r="O5" s="878"/>
      <c r="P5" s="878"/>
      <c r="Q5" s="878"/>
      <c r="R5" s="878"/>
      <c r="S5" s="878"/>
      <c r="T5" s="878"/>
      <c r="U5" s="878"/>
      <c r="V5" s="342"/>
      <c r="W5" s="342"/>
      <c r="X5" s="342"/>
      <c r="Y5" s="342"/>
    </row>
    <row r="6" spans="1:25" ht="15.75" customHeight="1">
      <c r="A6" s="878"/>
      <c r="B6" s="1494" t="s">
        <v>686</v>
      </c>
      <c r="C6" s="1495"/>
      <c r="D6" s="1496">
        <v>0.30000000000000004</v>
      </c>
      <c r="E6" s="1496"/>
      <c r="F6" s="1496"/>
      <c r="G6" s="1497">
        <f t="shared" si="0"/>
        <v>0</v>
      </c>
      <c r="H6" s="1497">
        <f t="shared" si="1"/>
        <v>0</v>
      </c>
      <c r="I6" s="1497">
        <f t="shared" si="2"/>
        <v>0</v>
      </c>
      <c r="J6" s="1498">
        <v>1</v>
      </c>
      <c r="K6" s="878"/>
      <c r="L6" s="878"/>
      <c r="M6" s="878"/>
      <c r="N6" s="878"/>
      <c r="O6" s="878"/>
      <c r="P6" s="878"/>
      <c r="Q6" s="878"/>
      <c r="R6" s="878"/>
      <c r="S6" s="878"/>
      <c r="T6" s="878"/>
      <c r="U6" s="878"/>
      <c r="V6" s="342"/>
      <c r="W6" s="342"/>
      <c r="X6" s="342"/>
      <c r="Y6" s="342"/>
    </row>
    <row r="7" spans="1:25" ht="15.75" customHeight="1">
      <c r="A7" s="878"/>
      <c r="B7" s="1494" t="s">
        <v>687</v>
      </c>
      <c r="C7" s="1495"/>
      <c r="D7" s="1496">
        <v>0.21</v>
      </c>
      <c r="E7" s="1496"/>
      <c r="F7" s="1496"/>
      <c r="G7" s="1497">
        <f t="shared" si="0"/>
        <v>0</v>
      </c>
      <c r="H7" s="1497">
        <f t="shared" si="1"/>
        <v>0</v>
      </c>
      <c r="I7" s="1497">
        <f t="shared" si="2"/>
        <v>0</v>
      </c>
      <c r="J7" s="1498">
        <v>1</v>
      </c>
      <c r="K7" s="878"/>
      <c r="L7" s="878"/>
      <c r="M7" s="878"/>
      <c r="N7" s="878"/>
      <c r="O7" s="878"/>
      <c r="P7" s="878"/>
      <c r="Q7" s="878"/>
      <c r="R7" s="878"/>
      <c r="S7" s="878"/>
      <c r="T7" s="878"/>
      <c r="U7" s="878"/>
      <c r="V7" s="342"/>
      <c r="W7" s="342"/>
      <c r="X7" s="342"/>
      <c r="Y7" s="342"/>
    </row>
    <row r="8" spans="1:25" ht="15.75" customHeight="1">
      <c r="A8" s="878"/>
      <c r="B8" s="1494" t="s">
        <v>688</v>
      </c>
      <c r="C8" s="1495"/>
      <c r="D8" s="1496">
        <v>0.33</v>
      </c>
      <c r="E8" s="1496"/>
      <c r="F8" s="1496"/>
      <c r="G8" s="1497">
        <f t="shared" si="0"/>
        <v>0</v>
      </c>
      <c r="H8" s="1497">
        <f t="shared" si="1"/>
        <v>0</v>
      </c>
      <c r="I8" s="1497">
        <f t="shared" si="2"/>
        <v>0</v>
      </c>
      <c r="J8" s="1498">
        <v>1</v>
      </c>
      <c r="K8" s="878"/>
      <c r="L8" s="878"/>
      <c r="M8" s="878"/>
      <c r="N8" s="878"/>
      <c r="O8" s="878"/>
      <c r="P8" s="878"/>
      <c r="Q8" s="878"/>
      <c r="R8" s="878"/>
      <c r="S8" s="878"/>
      <c r="T8" s="878"/>
      <c r="U8" s="878"/>
      <c r="V8" s="342"/>
      <c r="W8" s="342"/>
      <c r="X8" s="342"/>
      <c r="Y8" s="342"/>
    </row>
    <row r="9" spans="1:25" ht="15.75" customHeight="1">
      <c r="A9" s="878"/>
      <c r="B9" s="1494" t="s">
        <v>689</v>
      </c>
      <c r="C9" s="1495"/>
      <c r="D9" s="1496">
        <v>0.2</v>
      </c>
      <c r="E9" s="1496"/>
      <c r="F9" s="1496"/>
      <c r="G9" s="1497">
        <f t="shared" si="0"/>
        <v>0</v>
      </c>
      <c r="H9" s="1497">
        <f t="shared" si="1"/>
        <v>0</v>
      </c>
      <c r="I9" s="1497">
        <f>$C9*F9</f>
        <v>0</v>
      </c>
      <c r="J9" s="1498">
        <v>1</v>
      </c>
      <c r="K9" s="878"/>
      <c r="L9" s="878"/>
      <c r="M9" s="878"/>
      <c r="N9" s="878"/>
      <c r="O9" s="878"/>
      <c r="P9" s="878"/>
      <c r="Q9" s="878"/>
      <c r="R9" s="878"/>
      <c r="S9" s="878"/>
      <c r="T9" s="878"/>
      <c r="U9" s="878"/>
      <c r="V9" s="342"/>
      <c r="W9" s="342"/>
      <c r="X9" s="342"/>
      <c r="Y9" s="342"/>
    </row>
    <row r="10" spans="1:25" ht="15.75" customHeight="1">
      <c r="A10" s="878"/>
      <c r="B10" s="1494" t="s">
        <v>690</v>
      </c>
      <c r="C10" s="1495"/>
      <c r="D10" s="1496">
        <v>0.18</v>
      </c>
      <c r="E10" s="1496">
        <v>0.46</v>
      </c>
      <c r="F10" s="1496"/>
      <c r="G10" s="1497">
        <f t="shared" si="0"/>
        <v>0</v>
      </c>
      <c r="H10" s="1497">
        <f t="shared" si="1"/>
        <v>0</v>
      </c>
      <c r="I10" s="1497">
        <f t="shared" si="2"/>
        <v>0</v>
      </c>
      <c r="J10" s="1498">
        <v>1</v>
      </c>
      <c r="K10" s="878"/>
      <c r="L10" s="878"/>
      <c r="M10" s="878"/>
      <c r="N10" s="878"/>
      <c r="O10" s="878"/>
      <c r="P10" s="878"/>
      <c r="Q10" s="878"/>
      <c r="R10" s="878"/>
      <c r="S10" s="878"/>
      <c r="T10" s="878"/>
      <c r="U10" s="878"/>
      <c r="V10" s="342"/>
      <c r="W10" s="342"/>
      <c r="X10" s="342"/>
      <c r="Y10" s="342"/>
    </row>
    <row r="11" spans="1:25" ht="15.75" customHeight="1">
      <c r="A11" s="878"/>
      <c r="B11" s="1494" t="s">
        <v>691</v>
      </c>
      <c r="C11" s="1495"/>
      <c r="D11" s="1496">
        <v>0.2</v>
      </c>
      <c r="E11" s="1496">
        <v>0.2</v>
      </c>
      <c r="F11" s="1496"/>
      <c r="G11" s="1497">
        <f t="shared" si="0"/>
        <v>0</v>
      </c>
      <c r="H11" s="1497">
        <f t="shared" si="1"/>
        <v>0</v>
      </c>
      <c r="I11" s="1497">
        <f t="shared" si="2"/>
        <v>0</v>
      </c>
      <c r="J11" s="1498">
        <v>1</v>
      </c>
      <c r="K11" s="878"/>
      <c r="L11" s="878"/>
      <c r="M11" s="878"/>
      <c r="N11" s="878"/>
      <c r="O11" s="878"/>
      <c r="P11" s="878"/>
      <c r="Q11" s="878"/>
      <c r="R11" s="878"/>
      <c r="S11" s="878"/>
      <c r="T11" s="878"/>
      <c r="U11" s="878"/>
      <c r="V11" s="342"/>
      <c r="W11" s="342"/>
      <c r="X11" s="342"/>
      <c r="Y11" s="342"/>
    </row>
    <row r="12" spans="1:25" ht="15.75" customHeight="1">
      <c r="A12" s="878"/>
      <c r="B12" s="1494" t="s">
        <v>692</v>
      </c>
      <c r="C12" s="1495"/>
      <c r="D12" s="1496">
        <v>0.26</v>
      </c>
      <c r="E12" s="1496">
        <v>0.1</v>
      </c>
      <c r="F12" s="1496"/>
      <c r="G12" s="1497">
        <f t="shared" si="0"/>
        <v>0</v>
      </c>
      <c r="H12" s="1497">
        <f t="shared" si="1"/>
        <v>0</v>
      </c>
      <c r="I12" s="1497">
        <f t="shared" si="2"/>
        <v>0</v>
      </c>
      <c r="J12" s="1498">
        <v>1</v>
      </c>
      <c r="K12" s="878"/>
      <c r="L12" s="878"/>
      <c r="M12" s="878"/>
      <c r="N12" s="878"/>
      <c r="O12" s="878"/>
      <c r="P12" s="878"/>
      <c r="Q12" s="878"/>
      <c r="R12" s="878"/>
      <c r="S12" s="878"/>
      <c r="T12" s="878"/>
      <c r="U12" s="878"/>
      <c r="V12" s="342"/>
      <c r="W12" s="342"/>
      <c r="X12" s="342"/>
      <c r="Y12" s="342"/>
    </row>
    <row r="13" spans="1:25" ht="15.75" customHeight="1">
      <c r="A13" s="878"/>
      <c r="B13" s="1494" t="s">
        <v>693</v>
      </c>
      <c r="C13" s="1495"/>
      <c r="D13" s="1496">
        <v>0.06</v>
      </c>
      <c r="E13" s="1496">
        <v>0.1</v>
      </c>
      <c r="F13" s="1496">
        <v>0.16</v>
      </c>
      <c r="G13" s="1497">
        <f t="shared" si="0"/>
        <v>0</v>
      </c>
      <c r="H13" s="1497">
        <f t="shared" si="1"/>
        <v>0</v>
      </c>
      <c r="I13" s="1497">
        <f t="shared" si="2"/>
        <v>0</v>
      </c>
      <c r="J13" s="1498">
        <v>1</v>
      </c>
      <c r="K13" s="878"/>
      <c r="L13" s="878"/>
      <c r="M13" s="878"/>
      <c r="N13" s="878"/>
      <c r="O13" s="878"/>
      <c r="P13" s="878"/>
      <c r="Q13" s="878"/>
      <c r="R13" s="878"/>
      <c r="S13" s="878"/>
      <c r="T13" s="878"/>
      <c r="U13" s="878"/>
      <c r="V13" s="342"/>
      <c r="W13" s="342"/>
      <c r="X13" s="342"/>
      <c r="Y13" s="342"/>
    </row>
    <row r="14" spans="1:25" ht="15.75" customHeight="1">
      <c r="A14" s="878"/>
      <c r="B14" s="1494" t="s">
        <v>694</v>
      </c>
      <c r="C14" s="1495"/>
      <c r="D14" s="1496">
        <v>0.12</v>
      </c>
      <c r="E14" s="1496">
        <v>0.1</v>
      </c>
      <c r="F14" s="1496">
        <v>0.15</v>
      </c>
      <c r="G14" s="1497">
        <f t="shared" si="0"/>
        <v>0</v>
      </c>
      <c r="H14" s="1497">
        <f t="shared" si="1"/>
        <v>0</v>
      </c>
      <c r="I14" s="1497">
        <f t="shared" si="2"/>
        <v>0</v>
      </c>
      <c r="J14" s="1498">
        <v>1</v>
      </c>
      <c r="K14" s="878"/>
      <c r="L14" s="878"/>
      <c r="M14" s="878"/>
      <c r="N14" s="878"/>
      <c r="O14" s="878"/>
      <c r="P14" s="878"/>
      <c r="Q14" s="878"/>
      <c r="R14" s="878"/>
      <c r="S14" s="878"/>
      <c r="T14" s="878"/>
      <c r="U14" s="878"/>
      <c r="V14" s="342"/>
      <c r="W14" s="342"/>
      <c r="X14" s="342"/>
      <c r="Y14" s="342"/>
    </row>
    <row r="15" spans="1:25" ht="15.75" customHeight="1">
      <c r="A15" s="878"/>
      <c r="B15" s="1494" t="s">
        <v>695</v>
      </c>
      <c r="C15" s="1495"/>
      <c r="D15" s="1496">
        <v>0.13</v>
      </c>
      <c r="E15" s="1496">
        <v>0.05</v>
      </c>
      <c r="F15" s="1496">
        <v>0.15</v>
      </c>
      <c r="G15" s="1497">
        <f t="shared" si="0"/>
        <v>0</v>
      </c>
      <c r="H15" s="1497">
        <f t="shared" si="1"/>
        <v>0</v>
      </c>
      <c r="I15" s="1497">
        <f t="shared" si="2"/>
        <v>0</v>
      </c>
      <c r="J15" s="1498">
        <v>1</v>
      </c>
      <c r="K15" s="878"/>
      <c r="L15" s="878"/>
      <c r="M15" s="878"/>
      <c r="N15" s="878"/>
      <c r="O15" s="878"/>
      <c r="P15" s="878"/>
      <c r="Q15" s="878"/>
      <c r="R15" s="878"/>
      <c r="S15" s="878"/>
      <c r="T15" s="878"/>
      <c r="U15" s="878"/>
      <c r="V15" s="342"/>
      <c r="W15" s="342"/>
      <c r="X15" s="342"/>
      <c r="Y15" s="342"/>
    </row>
    <row r="16" spans="1:25" ht="15.75" customHeight="1">
      <c r="A16" s="878"/>
      <c r="B16" s="1494" t="s">
        <v>696</v>
      </c>
      <c r="C16" s="1495"/>
      <c r="D16" s="1496">
        <v>0.15</v>
      </c>
      <c r="E16" s="1496">
        <v>0.05</v>
      </c>
      <c r="F16" s="1496">
        <v>0.05</v>
      </c>
      <c r="G16" s="1497">
        <f t="shared" si="0"/>
        <v>0</v>
      </c>
      <c r="H16" s="1497">
        <f t="shared" si="1"/>
        <v>0</v>
      </c>
      <c r="I16" s="1497">
        <f t="shared" si="2"/>
        <v>0</v>
      </c>
      <c r="J16" s="1498">
        <v>1</v>
      </c>
      <c r="K16" s="878"/>
      <c r="L16" s="878"/>
      <c r="M16" s="878"/>
      <c r="N16" s="878"/>
      <c r="O16" s="878"/>
      <c r="P16" s="878"/>
      <c r="Q16" s="878"/>
      <c r="R16" s="878"/>
      <c r="S16" s="878"/>
      <c r="T16" s="878"/>
      <c r="U16" s="878"/>
      <c r="V16" s="342"/>
      <c r="W16" s="342"/>
      <c r="X16" s="342"/>
      <c r="Y16" s="342"/>
    </row>
    <row r="17" spans="1:25" ht="15.75" customHeight="1">
      <c r="A17" s="878"/>
      <c r="B17" s="1494" t="s">
        <v>697</v>
      </c>
      <c r="C17" s="1495"/>
      <c r="D17" s="1496">
        <v>0.14000000000000001</v>
      </c>
      <c r="E17" s="1496">
        <v>0.1</v>
      </c>
      <c r="F17" s="1496">
        <v>0.2</v>
      </c>
      <c r="G17" s="1497">
        <f t="shared" si="0"/>
        <v>0</v>
      </c>
      <c r="H17" s="1497">
        <f t="shared" si="1"/>
        <v>0</v>
      </c>
      <c r="I17" s="1497">
        <f t="shared" si="2"/>
        <v>0</v>
      </c>
      <c r="J17" s="1498">
        <v>1</v>
      </c>
      <c r="K17" s="878"/>
      <c r="L17" s="878"/>
      <c r="M17" s="878"/>
      <c r="N17" s="878"/>
      <c r="O17" s="878"/>
      <c r="P17" s="878"/>
      <c r="Q17" s="878"/>
      <c r="R17" s="878"/>
      <c r="S17" s="878"/>
      <c r="T17" s="878"/>
      <c r="U17" s="878"/>
      <c r="V17" s="342"/>
      <c r="W17" s="342"/>
      <c r="X17" s="342"/>
      <c r="Y17" s="342"/>
    </row>
    <row r="18" spans="1:25" ht="15.75" customHeight="1">
      <c r="A18" s="878"/>
      <c r="B18" s="1494" t="s">
        <v>698</v>
      </c>
      <c r="C18" s="1495"/>
      <c r="D18" s="1496">
        <v>0.15</v>
      </c>
      <c r="E18" s="1496">
        <v>0.15</v>
      </c>
      <c r="F18" s="1496">
        <v>0.15</v>
      </c>
      <c r="G18" s="1497">
        <f t="shared" si="0"/>
        <v>0</v>
      </c>
      <c r="H18" s="1497">
        <f t="shared" si="1"/>
        <v>0</v>
      </c>
      <c r="I18" s="1497">
        <f t="shared" si="2"/>
        <v>0</v>
      </c>
      <c r="J18" s="1498">
        <v>1</v>
      </c>
      <c r="K18" s="878"/>
      <c r="L18" s="878"/>
      <c r="M18" s="878"/>
      <c r="N18" s="878"/>
      <c r="O18" s="878"/>
      <c r="P18" s="878"/>
      <c r="Q18" s="878"/>
      <c r="R18" s="878"/>
      <c r="S18" s="878"/>
      <c r="T18" s="878"/>
      <c r="U18" s="878"/>
      <c r="V18" s="342"/>
      <c r="W18" s="342"/>
      <c r="X18" s="342"/>
      <c r="Y18" s="342"/>
    </row>
    <row r="19" spans="1:25" ht="15.75" customHeight="1">
      <c r="A19" s="878"/>
      <c r="B19" s="1499" t="s">
        <v>699</v>
      </c>
      <c r="C19" s="1495"/>
      <c r="D19" s="1496">
        <v>0.2</v>
      </c>
      <c r="E19" s="1496">
        <v>0.08</v>
      </c>
      <c r="F19" s="1496">
        <v>0.08</v>
      </c>
      <c r="G19" s="1497">
        <f t="shared" si="0"/>
        <v>0</v>
      </c>
      <c r="H19" s="1497">
        <f t="shared" si="1"/>
        <v>0</v>
      </c>
      <c r="I19" s="1497">
        <f t="shared" si="2"/>
        <v>0</v>
      </c>
      <c r="J19" s="1498">
        <v>1</v>
      </c>
      <c r="K19" s="878"/>
      <c r="L19" s="878"/>
      <c r="M19" s="878"/>
      <c r="N19" s="878"/>
      <c r="O19" s="878"/>
      <c r="P19" s="878"/>
      <c r="Q19" s="878"/>
      <c r="R19" s="878"/>
      <c r="S19" s="878"/>
      <c r="T19" s="878"/>
      <c r="U19" s="878"/>
      <c r="V19" s="342"/>
      <c r="W19" s="342"/>
      <c r="X19" s="342"/>
      <c r="Y19" s="342"/>
    </row>
    <row r="20" spans="1:25" ht="15.75" customHeight="1">
      <c r="A20" s="878"/>
      <c r="B20" s="1494" t="s">
        <v>700</v>
      </c>
      <c r="C20" s="1495"/>
      <c r="D20" s="1496">
        <v>0.15</v>
      </c>
      <c r="E20" s="1496">
        <v>0.05</v>
      </c>
      <c r="F20" s="1496">
        <v>0.18</v>
      </c>
      <c r="G20" s="1497">
        <f t="shared" si="0"/>
        <v>0</v>
      </c>
      <c r="H20" s="1497">
        <f t="shared" si="1"/>
        <v>0</v>
      </c>
      <c r="I20" s="1497">
        <f t="shared" si="2"/>
        <v>0</v>
      </c>
      <c r="J20" s="1498">
        <v>1</v>
      </c>
      <c r="K20" s="878"/>
      <c r="L20" s="878"/>
      <c r="M20" s="878"/>
      <c r="N20" s="878"/>
      <c r="O20" s="878"/>
      <c r="P20" s="878"/>
      <c r="Q20" s="878"/>
      <c r="R20" s="878"/>
      <c r="S20" s="878"/>
      <c r="T20" s="878"/>
      <c r="U20" s="878"/>
      <c r="V20" s="342"/>
      <c r="W20" s="342"/>
      <c r="X20" s="342"/>
      <c r="Y20" s="342"/>
    </row>
    <row r="21" spans="1:25" ht="15.75" customHeight="1">
      <c r="A21" s="878"/>
      <c r="B21" s="1494" t="s">
        <v>701</v>
      </c>
      <c r="C21" s="1495"/>
      <c r="D21" s="1496">
        <v>0.12</v>
      </c>
      <c r="E21" s="1496">
        <v>0.12</v>
      </c>
      <c r="F21" s="1496">
        <v>0.17</v>
      </c>
      <c r="G21" s="1497">
        <f t="shared" si="0"/>
        <v>0</v>
      </c>
      <c r="H21" s="1497">
        <f t="shared" si="1"/>
        <v>0</v>
      </c>
      <c r="I21" s="1497">
        <f t="shared" si="2"/>
        <v>0</v>
      </c>
      <c r="J21" s="1498">
        <v>1</v>
      </c>
      <c r="K21" s="878"/>
      <c r="L21" s="878"/>
      <c r="M21" s="878"/>
      <c r="N21" s="878"/>
      <c r="O21" s="878"/>
      <c r="P21" s="878"/>
      <c r="Q21" s="878"/>
      <c r="R21" s="878"/>
      <c r="S21" s="878"/>
      <c r="T21" s="878"/>
      <c r="U21" s="878"/>
      <c r="V21" s="342"/>
      <c r="W21" s="342"/>
      <c r="X21" s="342"/>
      <c r="Y21" s="342"/>
    </row>
    <row r="22" spans="1:25" ht="15.75" customHeight="1">
      <c r="A22" s="878"/>
      <c r="B22" s="1494" t="s">
        <v>702</v>
      </c>
      <c r="C22" s="1495"/>
      <c r="D22" s="1496">
        <v>0.18</v>
      </c>
      <c r="E22" s="1496">
        <v>0.11</v>
      </c>
      <c r="F22" s="1496">
        <v>0.11</v>
      </c>
      <c r="G22" s="1497">
        <f t="shared" si="0"/>
        <v>0</v>
      </c>
      <c r="H22" s="1497">
        <f t="shared" si="1"/>
        <v>0</v>
      </c>
      <c r="I22" s="1497">
        <f t="shared" si="2"/>
        <v>0</v>
      </c>
      <c r="J22" s="1498">
        <v>1</v>
      </c>
      <c r="K22" s="878"/>
      <c r="L22" s="878"/>
      <c r="M22" s="878"/>
      <c r="N22" s="878"/>
      <c r="O22" s="878"/>
      <c r="P22" s="878"/>
      <c r="Q22" s="878"/>
      <c r="R22" s="878"/>
      <c r="S22" s="878"/>
      <c r="T22" s="878"/>
      <c r="U22" s="878"/>
      <c r="V22" s="342"/>
      <c r="W22" s="342"/>
      <c r="X22" s="342"/>
      <c r="Y22" s="342"/>
    </row>
    <row r="23" spans="1:25" ht="15.75" customHeight="1">
      <c r="A23" s="878"/>
      <c r="B23" s="1494" t="s">
        <v>703</v>
      </c>
      <c r="C23" s="1495"/>
      <c r="D23" s="1496">
        <v>0.2</v>
      </c>
      <c r="E23" s="1496">
        <v>7.0000000000000007E-2</v>
      </c>
      <c r="F23" s="1496">
        <v>7.0000000000000007E-2</v>
      </c>
      <c r="G23" s="1497">
        <f t="shared" si="0"/>
        <v>0</v>
      </c>
      <c r="H23" s="1497">
        <f t="shared" si="1"/>
        <v>0</v>
      </c>
      <c r="I23" s="1497">
        <f t="shared" si="2"/>
        <v>0</v>
      </c>
      <c r="J23" s="1498">
        <v>1</v>
      </c>
      <c r="K23" s="878"/>
      <c r="L23" s="878"/>
      <c r="M23" s="878"/>
      <c r="N23" s="878"/>
      <c r="O23" s="878"/>
      <c r="P23" s="878"/>
      <c r="Q23" s="878"/>
      <c r="R23" s="878"/>
      <c r="S23" s="878"/>
      <c r="T23" s="878"/>
      <c r="U23" s="878"/>
      <c r="V23" s="342"/>
      <c r="W23" s="342"/>
      <c r="X23" s="342"/>
      <c r="Y23" s="342"/>
    </row>
    <row r="24" spans="1:25" ht="15.75" customHeight="1">
      <c r="A24" s="878"/>
      <c r="B24" s="1494" t="s">
        <v>704</v>
      </c>
      <c r="C24" s="1495"/>
      <c r="D24" s="1496">
        <v>0.21</v>
      </c>
      <c r="E24" s="1496">
        <v>7.0000000000000007E-2</v>
      </c>
      <c r="F24" s="1496">
        <v>7.0000000000000007E-2</v>
      </c>
      <c r="G24" s="1497">
        <f t="shared" si="0"/>
        <v>0</v>
      </c>
      <c r="H24" s="1497">
        <f t="shared" si="1"/>
        <v>0</v>
      </c>
      <c r="I24" s="1497">
        <f t="shared" si="2"/>
        <v>0</v>
      </c>
      <c r="J24" s="1498">
        <v>1</v>
      </c>
      <c r="K24" s="878"/>
      <c r="L24" s="878"/>
      <c r="M24" s="878"/>
      <c r="N24" s="878"/>
      <c r="O24" s="878"/>
      <c r="P24" s="878"/>
      <c r="Q24" s="878"/>
      <c r="R24" s="878"/>
      <c r="S24" s="878"/>
      <c r="T24" s="878"/>
      <c r="U24" s="878"/>
      <c r="V24" s="342"/>
      <c r="W24" s="342"/>
      <c r="X24" s="342"/>
      <c r="Y24" s="342"/>
    </row>
    <row r="25" spans="1:25" ht="15.75" customHeight="1">
      <c r="A25" s="878"/>
      <c r="B25" s="1500" t="s">
        <v>705</v>
      </c>
      <c r="C25" s="1495"/>
      <c r="D25" s="1501"/>
      <c r="E25" s="1501"/>
      <c r="F25" s="1501"/>
      <c r="G25" s="1497">
        <f t="shared" si="0"/>
        <v>0</v>
      </c>
      <c r="H25" s="1497">
        <f t="shared" si="1"/>
        <v>0</v>
      </c>
      <c r="I25" s="1497">
        <f t="shared" si="2"/>
        <v>0</v>
      </c>
      <c r="J25" s="1498">
        <v>1</v>
      </c>
      <c r="K25" s="878"/>
      <c r="L25" s="878"/>
      <c r="M25" s="878"/>
      <c r="N25" s="878"/>
      <c r="O25" s="878"/>
      <c r="P25" s="878"/>
      <c r="Q25" s="878"/>
      <c r="R25" s="878"/>
      <c r="S25" s="878"/>
      <c r="T25" s="878"/>
      <c r="U25" s="878"/>
      <c r="V25" s="342"/>
      <c r="W25" s="342"/>
      <c r="X25" s="342"/>
      <c r="Y25" s="342"/>
    </row>
    <row r="26" spans="1:25" ht="15.75" customHeight="1">
      <c r="A26" s="878"/>
      <c r="B26" s="1500" t="s">
        <v>705</v>
      </c>
      <c r="C26" s="1495"/>
      <c r="D26" s="1501"/>
      <c r="E26" s="1501"/>
      <c r="F26" s="1501"/>
      <c r="G26" s="1497">
        <f t="shared" si="0"/>
        <v>0</v>
      </c>
      <c r="H26" s="1497">
        <f t="shared" si="1"/>
        <v>0</v>
      </c>
      <c r="I26" s="1497">
        <f t="shared" si="2"/>
        <v>0</v>
      </c>
      <c r="J26" s="1498">
        <v>1</v>
      </c>
      <c r="K26" s="878"/>
      <c r="L26" s="878"/>
      <c r="M26" s="878"/>
      <c r="N26" s="878"/>
      <c r="O26" s="878"/>
      <c r="P26" s="878"/>
      <c r="Q26" s="878"/>
      <c r="R26" s="878"/>
      <c r="S26" s="878"/>
      <c r="T26" s="878"/>
      <c r="U26" s="878"/>
      <c r="V26" s="342"/>
      <c r="W26" s="342"/>
      <c r="X26" s="342"/>
      <c r="Y26" s="342"/>
    </row>
    <row r="27" spans="1:25" ht="15.75" customHeight="1">
      <c r="A27" s="878"/>
      <c r="B27" s="1500" t="s">
        <v>705</v>
      </c>
      <c r="C27" s="1495"/>
      <c r="D27" s="1501"/>
      <c r="E27" s="1501"/>
      <c r="F27" s="1501"/>
      <c r="G27" s="1497">
        <f t="shared" si="0"/>
        <v>0</v>
      </c>
      <c r="H27" s="1497">
        <f t="shared" si="1"/>
        <v>0</v>
      </c>
      <c r="I27" s="1497">
        <f t="shared" si="2"/>
        <v>0</v>
      </c>
      <c r="J27" s="1498">
        <v>1</v>
      </c>
      <c r="K27" s="878"/>
      <c r="L27" s="878"/>
      <c r="M27" s="878"/>
      <c r="N27" s="878"/>
      <c r="O27" s="878"/>
      <c r="P27" s="878"/>
      <c r="Q27" s="878"/>
      <c r="R27" s="878"/>
      <c r="S27" s="878"/>
      <c r="T27" s="878"/>
      <c r="U27" s="878"/>
    </row>
    <row r="28" spans="1:25" ht="15.75" customHeight="1">
      <c r="A28" s="878"/>
      <c r="B28" s="1500" t="s">
        <v>1005</v>
      </c>
      <c r="C28" s="1495"/>
      <c r="D28" s="1501"/>
      <c r="E28" s="1501"/>
      <c r="F28" s="1501"/>
      <c r="G28" s="1497">
        <f t="shared" si="0"/>
        <v>0</v>
      </c>
      <c r="H28" s="1497">
        <f t="shared" si="1"/>
        <v>0</v>
      </c>
      <c r="I28" s="1497">
        <f t="shared" si="2"/>
        <v>0</v>
      </c>
      <c r="J28" s="1498">
        <v>1</v>
      </c>
      <c r="K28" s="878"/>
      <c r="L28" s="878"/>
      <c r="M28" s="878"/>
      <c r="N28" s="878"/>
      <c r="O28" s="878"/>
      <c r="P28" s="878"/>
      <c r="Q28" s="878"/>
      <c r="R28" s="878"/>
      <c r="S28" s="878"/>
      <c r="T28" s="878"/>
      <c r="U28" s="878"/>
    </row>
    <row r="29" spans="1:25" ht="15.75" customHeight="1">
      <c r="A29" s="878"/>
      <c r="B29" s="1502" t="s">
        <v>706</v>
      </c>
      <c r="C29" s="1503"/>
      <c r="D29" s="1503"/>
      <c r="E29" s="1503"/>
      <c r="F29" s="1503"/>
      <c r="G29" s="1504">
        <f>SUM(G3:G28)</f>
        <v>0</v>
      </c>
      <c r="H29" s="1505">
        <f>SUM(H3:H28)</f>
        <v>0</v>
      </c>
      <c r="I29" s="1505">
        <f>SUM(I3:I28)</f>
        <v>0</v>
      </c>
      <c r="J29" s="1506"/>
      <c r="K29" s="878"/>
      <c r="L29" s="878"/>
      <c r="M29" s="878"/>
      <c r="N29" s="878"/>
      <c r="O29" s="878"/>
      <c r="P29" s="878"/>
      <c r="Q29" s="878"/>
      <c r="R29" s="878"/>
      <c r="S29" s="878"/>
      <c r="T29" s="878"/>
      <c r="U29" s="878"/>
    </row>
    <row r="30" spans="1:25" ht="26.25" customHeight="1">
      <c r="A30" s="878"/>
      <c r="B30" s="2427" t="s">
        <v>1243</v>
      </c>
      <c r="C30" s="2427"/>
      <c r="D30" s="2427"/>
      <c r="E30" s="2427"/>
      <c r="F30" s="2427"/>
      <c r="G30" s="2427"/>
      <c r="H30" s="2427"/>
      <c r="I30" s="2427"/>
      <c r="J30" s="2427"/>
      <c r="K30" s="878"/>
      <c r="L30" s="878"/>
      <c r="M30" s="878"/>
      <c r="N30" s="878"/>
      <c r="O30" s="878"/>
      <c r="P30" s="878"/>
      <c r="Q30" s="878"/>
      <c r="R30" s="878"/>
      <c r="S30" s="878"/>
      <c r="T30" s="878"/>
      <c r="U30" s="878"/>
    </row>
    <row r="31" spans="1:25" ht="15.75" customHeight="1">
      <c r="A31" s="878"/>
      <c r="B31" s="1507"/>
      <c r="C31" s="1508"/>
      <c r="D31" s="1508"/>
      <c r="E31" s="1508"/>
      <c r="F31" s="1508"/>
      <c r="G31" s="1508"/>
      <c r="H31" s="1508"/>
      <c r="I31" s="1508"/>
      <c r="J31" s="1508"/>
      <c r="K31" s="878"/>
      <c r="L31" s="878"/>
      <c r="M31" s="878"/>
      <c r="N31" s="878"/>
      <c r="O31" s="878"/>
      <c r="P31" s="878"/>
      <c r="Q31" s="878"/>
      <c r="R31" s="878"/>
      <c r="S31" s="878"/>
      <c r="T31" s="878"/>
      <c r="U31" s="878"/>
    </row>
    <row r="32" spans="1:25" ht="18.75" customHeight="1">
      <c r="A32" s="878"/>
      <c r="B32" s="878"/>
      <c r="C32" s="878"/>
      <c r="D32" s="878"/>
      <c r="E32" s="878"/>
      <c r="F32" s="878"/>
      <c r="G32" s="878"/>
      <c r="H32" s="878"/>
      <c r="I32" s="878"/>
      <c r="J32" s="878"/>
      <c r="K32" s="878"/>
      <c r="L32" s="878"/>
      <c r="M32" s="878"/>
      <c r="N32" s="878"/>
      <c r="O32" s="878"/>
      <c r="P32" s="878"/>
      <c r="Q32" s="878"/>
      <c r="R32" s="878"/>
      <c r="S32" s="878"/>
      <c r="T32" s="878"/>
      <c r="U32" s="878"/>
    </row>
    <row r="33" spans="1:21" ht="18" customHeight="1">
      <c r="A33" s="878"/>
      <c r="B33" s="878"/>
      <c r="C33" s="878"/>
      <c r="D33" s="878"/>
      <c r="E33" s="878"/>
      <c r="F33" s="878"/>
      <c r="G33" s="878"/>
      <c r="H33" s="878"/>
      <c r="I33" s="878"/>
      <c r="J33" s="878"/>
      <c r="K33" s="878"/>
      <c r="L33" s="878"/>
      <c r="M33" s="878"/>
      <c r="N33" s="878"/>
      <c r="O33" s="878"/>
      <c r="P33" s="878"/>
      <c r="Q33" s="878"/>
      <c r="R33" s="878"/>
      <c r="S33" s="878"/>
      <c r="T33" s="878"/>
      <c r="U33" s="878"/>
    </row>
    <row r="34" spans="1:21">
      <c r="A34" s="878"/>
      <c r="B34" s="878"/>
      <c r="C34" s="878"/>
      <c r="D34" s="878"/>
      <c r="E34" s="878"/>
      <c r="F34" s="878"/>
      <c r="G34" s="878"/>
      <c r="H34" s="878"/>
      <c r="I34" s="878"/>
      <c r="J34" s="878"/>
      <c r="K34" s="878"/>
      <c r="L34" s="878"/>
      <c r="M34" s="878"/>
      <c r="N34" s="878"/>
      <c r="O34" s="878"/>
      <c r="P34" s="878"/>
      <c r="Q34" s="878"/>
      <c r="R34" s="878"/>
      <c r="S34" s="878"/>
      <c r="T34" s="878"/>
      <c r="U34" s="878"/>
    </row>
    <row r="35" spans="1:21">
      <c r="A35" s="878"/>
      <c r="B35" s="878"/>
      <c r="C35" s="878"/>
      <c r="D35" s="878"/>
      <c r="E35" s="878"/>
      <c r="F35" s="878"/>
      <c r="G35" s="878"/>
      <c r="H35" s="878"/>
      <c r="I35" s="878"/>
      <c r="J35" s="878"/>
      <c r="K35" s="878"/>
      <c r="L35" s="878"/>
      <c r="M35" s="878"/>
      <c r="N35" s="878"/>
      <c r="O35" s="878"/>
      <c r="P35" s="878"/>
      <c r="Q35" s="878"/>
      <c r="R35" s="878"/>
      <c r="S35" s="878"/>
      <c r="T35" s="878"/>
      <c r="U35" s="878"/>
    </row>
    <row r="36" spans="1:21">
      <c r="A36" s="878"/>
      <c r="B36" s="878"/>
      <c r="C36" s="878"/>
      <c r="D36" s="878"/>
      <c r="E36" s="878"/>
      <c r="F36" s="878"/>
      <c r="G36" s="878"/>
      <c r="H36" s="878"/>
      <c r="I36" s="878"/>
      <c r="J36" s="878"/>
      <c r="K36" s="878"/>
      <c r="L36" s="878"/>
      <c r="M36" s="878"/>
      <c r="N36" s="878"/>
      <c r="O36" s="878"/>
      <c r="P36" s="878"/>
      <c r="Q36" s="878"/>
      <c r="R36" s="878"/>
      <c r="S36" s="878"/>
      <c r="T36" s="878"/>
      <c r="U36" s="878"/>
    </row>
    <row r="37" spans="1:21">
      <c r="A37" s="878"/>
      <c r="B37" s="878"/>
      <c r="C37" s="878"/>
      <c r="D37" s="878"/>
      <c r="E37" s="878"/>
      <c r="F37" s="878"/>
      <c r="G37" s="878"/>
      <c r="H37" s="878"/>
      <c r="I37" s="878"/>
      <c r="J37" s="878"/>
      <c r="K37" s="878"/>
      <c r="L37" s="878"/>
      <c r="M37" s="878"/>
      <c r="N37" s="878"/>
      <c r="O37" s="878"/>
      <c r="P37" s="878"/>
      <c r="Q37" s="878"/>
      <c r="R37" s="878"/>
      <c r="S37" s="878"/>
      <c r="T37" s="878"/>
      <c r="U37" s="878"/>
    </row>
    <row r="38" spans="1:21">
      <c r="A38" s="878"/>
      <c r="B38" s="878"/>
      <c r="C38" s="878"/>
      <c r="D38" s="878"/>
      <c r="E38" s="878"/>
      <c r="F38" s="878"/>
      <c r="G38" s="878"/>
      <c r="H38" s="878"/>
      <c r="I38" s="878"/>
      <c r="J38" s="878"/>
      <c r="K38" s="878"/>
      <c r="L38" s="878"/>
      <c r="M38" s="878"/>
      <c r="N38" s="878"/>
      <c r="O38" s="878"/>
      <c r="P38" s="878"/>
      <c r="Q38" s="878"/>
      <c r="R38" s="878"/>
      <c r="S38" s="878"/>
      <c r="T38" s="878"/>
      <c r="U38" s="878"/>
    </row>
    <row r="39" spans="1:21">
      <c r="A39" s="878"/>
      <c r="B39" s="878"/>
      <c r="C39" s="878"/>
      <c r="D39" s="878"/>
      <c r="E39" s="878"/>
      <c r="F39" s="878"/>
      <c r="G39" s="878"/>
      <c r="H39" s="878"/>
      <c r="I39" s="878"/>
      <c r="J39" s="878"/>
      <c r="K39" s="878"/>
      <c r="L39" s="878"/>
      <c r="M39" s="878"/>
      <c r="N39" s="878"/>
      <c r="O39" s="878"/>
      <c r="P39" s="878"/>
      <c r="Q39" s="878"/>
      <c r="R39" s="878"/>
      <c r="S39" s="878"/>
      <c r="T39" s="878"/>
      <c r="U39" s="878"/>
    </row>
    <row r="40" spans="1:21">
      <c r="A40" s="878"/>
      <c r="B40" s="878"/>
      <c r="C40" s="878"/>
      <c r="D40" s="878"/>
      <c r="E40" s="878"/>
      <c r="F40" s="878"/>
      <c r="G40" s="878"/>
      <c r="H40" s="878"/>
      <c r="I40" s="878"/>
      <c r="J40" s="878"/>
      <c r="K40" s="878"/>
      <c r="L40" s="878"/>
      <c r="M40" s="878"/>
      <c r="N40" s="878"/>
      <c r="O40" s="878"/>
      <c r="P40" s="878"/>
      <c r="Q40" s="878"/>
      <c r="R40" s="878"/>
      <c r="S40" s="878"/>
      <c r="T40" s="878"/>
      <c r="U40" s="878"/>
    </row>
  </sheetData>
  <sheetProtection algorithmName="SHA-512" hashValue="mOLYzy5IvlBeGg5x+60Q46Rh1F1kZAbeq6V0oNNABK3S34p/FgeioSb7ipv4GQGoNIXEhWeeSGQH0hrk5Pd8OA==" saltValue="ZvG7wX4Bvj6ltZaVoYyb8g==" spinCount="100000" sheet="1" formatCells="0" formatColumns="0" formatRows="0"/>
  <mergeCells count="3">
    <mergeCell ref="M1:N1"/>
    <mergeCell ref="B30:J30"/>
    <mergeCell ref="B1:K1"/>
  </mergeCells>
  <conditionalFormatting sqref="G3:I28">
    <cfRule type="cellIs" dxfId="1243" priority="1" stopIfTrue="1" operator="greaterThan">
      <formula>0</formula>
    </cfRule>
  </conditionalFormatting>
  <hyperlinks>
    <hyperlink ref="L1" location="Hofdung!A3" display="◄"/>
    <hyperlink ref="M1" location="N_Bedarf!C5" display="  ►"/>
    <hyperlink ref="M1:N1" location="Organ__Dü!C5" display="  ►"/>
  </hyperlinks>
  <pageMargins left="0.55118110236220474" right="0.39370078740157483" top="0.94488188976377963" bottom="0.70866141732283472" header="0.39370078740157483" footer="0.39370078740157483"/>
  <pageSetup paperSize="9" scale="85" firstPageNumber="0" orientation="portrait" blackAndWhite="1" horizontalDpi="300" verticalDpi="300" r:id="rId1"/>
  <headerFooter alignWithMargins="0">
    <oddHeader>&amp;R&amp;G</oddHeader>
    <oddFooter>&amp;L&amp;11&amp;F&amp;C&amp;D&amp;R&amp;P&amp;N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C000"/>
    <pageSetUpPr fitToPage="1"/>
  </sheetPr>
  <dimension ref="A1:AA93"/>
  <sheetViews>
    <sheetView zoomScaleNormal="100" workbookViewId="0">
      <selection activeCell="F16" sqref="F16"/>
    </sheetView>
  </sheetViews>
  <sheetFormatPr baseColWidth="10" defaultColWidth="12.28515625" defaultRowHeight="12.75"/>
  <cols>
    <col min="1" max="1" width="2.85546875" customWidth="1"/>
    <col min="2" max="2" width="22.5703125" customWidth="1"/>
    <col min="3" max="3" width="12" customWidth="1"/>
    <col min="4" max="4" width="11.140625" customWidth="1"/>
    <col min="5" max="6" width="12.5703125" customWidth="1"/>
    <col min="7" max="7" width="13" customWidth="1"/>
    <col min="8" max="8" width="12" customWidth="1"/>
    <col min="9" max="9" width="11.7109375" customWidth="1"/>
    <col min="10" max="10" width="10.42578125" customWidth="1"/>
    <col min="11" max="11" width="9.7109375" customWidth="1"/>
    <col min="12" max="13" width="9.85546875" customWidth="1"/>
    <col min="14" max="14" width="15" customWidth="1"/>
    <col min="15" max="15" width="7.5703125" customWidth="1"/>
    <col min="16" max="17" width="7.5703125" style="747" customWidth="1"/>
    <col min="18" max="18" width="14.42578125" customWidth="1"/>
    <col min="19" max="19" width="15.85546875" customWidth="1"/>
    <col min="20" max="20" width="10.85546875" customWidth="1"/>
    <col min="22" max="22" width="14.7109375" customWidth="1"/>
    <col min="24" max="24" width="15" customWidth="1"/>
    <col min="25" max="25" width="10.42578125" customWidth="1"/>
    <col min="26" max="26" width="7.5703125" customWidth="1"/>
    <col min="27" max="27" width="15" customWidth="1"/>
  </cols>
  <sheetData>
    <row r="1" spans="1:24" ht="28.5" customHeight="1">
      <c r="A1" s="878"/>
      <c r="B1" s="1839" t="s">
        <v>486</v>
      </c>
      <c r="C1" s="1840"/>
      <c r="D1" s="1840"/>
      <c r="E1" s="1840"/>
      <c r="F1" s="1841"/>
      <c r="G1" s="1842"/>
      <c r="H1" s="1842"/>
      <c r="I1" s="1842"/>
      <c r="J1" s="1842"/>
      <c r="K1" s="1842"/>
      <c r="L1" s="2444" t="s">
        <v>0</v>
      </c>
      <c r="M1" s="2444"/>
      <c r="N1" s="1838" t="s">
        <v>1</v>
      </c>
      <c r="O1" s="1004"/>
      <c r="P1" s="1004"/>
      <c r="Q1" s="1004"/>
      <c r="R1" s="878"/>
      <c r="S1" s="878"/>
      <c r="T1" s="878"/>
      <c r="U1" s="878"/>
      <c r="V1" s="878"/>
      <c r="W1" s="878"/>
      <c r="X1" s="878"/>
    </row>
    <row r="2" spans="1:24" s="747" customFormat="1" ht="9" customHeight="1">
      <c r="A2" s="878"/>
      <c r="B2" s="1258"/>
      <c r="C2" s="1259"/>
      <c r="D2" s="1259"/>
      <c r="E2" s="1259"/>
      <c r="F2" s="1004"/>
      <c r="G2" s="1260"/>
      <c r="H2" s="1260"/>
      <c r="I2" s="1260"/>
      <c r="J2" s="1260"/>
      <c r="K2" s="1260"/>
      <c r="L2" s="1243"/>
      <c r="M2" s="1243"/>
      <c r="N2" s="1265"/>
      <c r="O2" s="1004"/>
      <c r="P2" s="1004"/>
      <c r="Q2" s="1004"/>
      <c r="R2" s="878"/>
      <c r="S2" s="878"/>
      <c r="T2" s="878"/>
      <c r="U2" s="878"/>
      <c r="V2" s="878"/>
      <c r="W2" s="878"/>
      <c r="X2" s="878"/>
    </row>
    <row r="3" spans="1:24" ht="18">
      <c r="A3" s="878"/>
      <c r="B3" s="1266" t="s">
        <v>487</v>
      </c>
      <c r="C3" s="1267"/>
      <c r="D3" s="1267"/>
      <c r="E3" s="1267"/>
      <c r="F3" s="1267"/>
      <c r="G3" s="1267"/>
      <c r="H3" s="1267"/>
      <c r="I3" s="1267" t="s">
        <v>212</v>
      </c>
      <c r="J3" s="1267"/>
      <c r="K3" s="1267"/>
      <c r="L3" s="1267"/>
      <c r="M3" s="1267"/>
      <c r="N3" s="1268" t="s">
        <v>488</v>
      </c>
      <c r="O3" s="1004"/>
      <c r="P3" s="1004"/>
      <c r="Q3" s="1004"/>
      <c r="R3" s="878"/>
      <c r="S3" s="878"/>
      <c r="T3" s="878"/>
      <c r="U3" s="878"/>
      <c r="V3" s="878"/>
      <c r="W3" s="878"/>
      <c r="X3" s="878"/>
    </row>
    <row r="4" spans="1:24" ht="25.5" customHeight="1">
      <c r="A4" s="878"/>
      <c r="B4" s="1269" t="s">
        <v>490</v>
      </c>
      <c r="C4" s="1181" t="s">
        <v>517</v>
      </c>
      <c r="D4" s="1181" t="s">
        <v>491</v>
      </c>
      <c r="E4" s="1180" t="s">
        <v>1202</v>
      </c>
      <c r="F4" s="1180" t="s">
        <v>1203</v>
      </c>
      <c r="G4" s="1180" t="s">
        <v>492</v>
      </c>
      <c r="H4" s="1180" t="s">
        <v>1204</v>
      </c>
      <c r="I4" s="1180" t="s">
        <v>109</v>
      </c>
      <c r="J4" s="1180" t="s">
        <v>493</v>
      </c>
      <c r="K4" s="1180" t="s">
        <v>494</v>
      </c>
      <c r="L4" s="1180" t="s">
        <v>157</v>
      </c>
      <c r="M4" s="1180" t="s">
        <v>1205</v>
      </c>
      <c r="N4" s="1270" t="s">
        <v>495</v>
      </c>
      <c r="O4" s="1004"/>
      <c r="P4" s="1004"/>
      <c r="Q4" s="1004"/>
      <c r="R4" s="878"/>
      <c r="S4" s="878"/>
      <c r="T4" s="878"/>
      <c r="U4" s="878"/>
      <c r="V4" s="878"/>
      <c r="W4" s="878"/>
      <c r="X4" s="878"/>
    </row>
    <row r="5" spans="1:24" ht="23.25" customHeight="1">
      <c r="A5" s="878"/>
      <c r="B5" s="1271"/>
      <c r="C5" s="1162"/>
      <c r="D5" s="1163"/>
      <c r="E5" s="1163"/>
      <c r="F5" s="1163"/>
      <c r="G5" s="1164"/>
      <c r="H5" s="1165"/>
      <c r="I5" s="1166">
        <f>C5</f>
        <v>0</v>
      </c>
      <c r="J5" s="1167">
        <f t="shared" ref="J5:L6" si="0">$C5*D5</f>
        <v>0</v>
      </c>
      <c r="K5" s="1167">
        <f t="shared" si="0"/>
        <v>0</v>
      </c>
      <c r="L5" s="1167">
        <f t="shared" si="0"/>
        <v>0</v>
      </c>
      <c r="M5" s="1168">
        <f>IF(D5=0,0,H5/D5)</f>
        <v>0</v>
      </c>
      <c r="N5" s="1416" t="str">
        <f>IF(L29&gt;0,P29,IF(L30&gt;0,P30,IF(L31&gt;0,P31,IF(L32&gt;0,P32,IF(L33&gt;0,P33,"")))))</f>
        <v/>
      </c>
      <c r="O5" s="1004"/>
      <c r="P5" s="1004"/>
      <c r="Q5" s="1004"/>
      <c r="R5" s="878"/>
      <c r="S5" s="878"/>
      <c r="T5" s="878"/>
      <c r="U5" s="878"/>
      <c r="V5" s="878"/>
      <c r="W5" s="878"/>
      <c r="X5" s="878"/>
    </row>
    <row r="6" spans="1:24" ht="23.25" customHeight="1">
      <c r="A6" s="878"/>
      <c r="B6" s="1271"/>
      <c r="C6" s="1162"/>
      <c r="D6" s="1163"/>
      <c r="E6" s="1163"/>
      <c r="F6" s="1163"/>
      <c r="G6" s="1164"/>
      <c r="H6" s="1165"/>
      <c r="I6" s="1166">
        <f>C6</f>
        <v>0</v>
      </c>
      <c r="J6" s="1167">
        <f t="shared" si="0"/>
        <v>0</v>
      </c>
      <c r="K6" s="1167">
        <f t="shared" si="0"/>
        <v>0</v>
      </c>
      <c r="L6" s="1167">
        <f t="shared" si="0"/>
        <v>0</v>
      </c>
      <c r="M6" s="1168">
        <f>IF(D6=0,0,H6/D6)</f>
        <v>0</v>
      </c>
      <c r="N6" s="1416" t="str">
        <f>IF(L35&gt;0,P35,IF(L36&gt;0,P36,IF(L37&gt;0,P37,IF(L38&gt;0,P38,IF(L39&gt;0,P39,"")))))</f>
        <v/>
      </c>
      <c r="O6" s="1004"/>
      <c r="P6" s="1004"/>
      <c r="Q6" s="1004"/>
      <c r="R6" s="878"/>
      <c r="S6" s="878"/>
      <c r="T6" s="878"/>
      <c r="U6" s="878"/>
      <c r="V6" s="878"/>
      <c r="W6" s="878"/>
      <c r="X6" s="878"/>
    </row>
    <row r="7" spans="1:24" ht="23.25" customHeight="1">
      <c r="A7" s="878"/>
      <c r="B7" s="1272" t="s">
        <v>506</v>
      </c>
      <c r="C7" s="1161"/>
      <c r="D7" s="1161"/>
      <c r="E7" s="1161"/>
      <c r="F7" s="1161"/>
      <c r="G7" s="1161"/>
      <c r="H7" s="1161"/>
      <c r="I7" s="1161" t="s">
        <v>212</v>
      </c>
      <c r="J7" s="330"/>
      <c r="K7" s="330"/>
      <c r="L7" s="330"/>
      <c r="M7" s="330"/>
      <c r="N7" s="1416"/>
      <c r="O7" s="1004"/>
      <c r="P7" s="1004"/>
      <c r="Q7" s="1004"/>
      <c r="R7" s="878"/>
      <c r="S7" s="878"/>
      <c r="T7" s="878"/>
      <c r="U7" s="878"/>
      <c r="V7" s="878"/>
      <c r="W7" s="878"/>
      <c r="X7" s="878"/>
    </row>
    <row r="8" spans="1:24" ht="23.25" customHeight="1">
      <c r="A8" s="878"/>
      <c r="B8" s="1273"/>
      <c r="C8" s="1170"/>
      <c r="D8" s="1171"/>
      <c r="E8" s="1171"/>
      <c r="F8" s="1171"/>
      <c r="G8" s="1172"/>
      <c r="H8" s="1173"/>
      <c r="I8" s="1174">
        <f>C8</f>
        <v>0</v>
      </c>
      <c r="J8" s="1175">
        <f t="shared" ref="J8:L9" si="1">$C8*D8</f>
        <v>0</v>
      </c>
      <c r="K8" s="1175">
        <f t="shared" si="1"/>
        <v>0</v>
      </c>
      <c r="L8" s="1175">
        <f t="shared" si="1"/>
        <v>0</v>
      </c>
      <c r="M8" s="1176">
        <f>IF(D8=0,0,H8/D8)</f>
        <v>0</v>
      </c>
      <c r="N8" s="1416" t="str">
        <f>IF(L41&gt;0,P41,IF(L42&gt;0,P42,IF(L43&gt;0,P43,"")))</f>
        <v/>
      </c>
      <c r="O8" s="1004"/>
      <c r="P8" s="1004"/>
      <c r="Q8" s="1004"/>
      <c r="R8" s="878"/>
      <c r="S8" s="878"/>
      <c r="T8" s="878"/>
      <c r="U8" s="878"/>
      <c r="V8" s="878"/>
      <c r="W8" s="878"/>
      <c r="X8" s="878"/>
    </row>
    <row r="9" spans="1:24" ht="23.25" customHeight="1">
      <c r="A9" s="878"/>
      <c r="B9" s="1273"/>
      <c r="C9" s="1162"/>
      <c r="D9" s="1163"/>
      <c r="E9" s="1163"/>
      <c r="F9" s="1163"/>
      <c r="G9" s="1164"/>
      <c r="H9" s="1165"/>
      <c r="I9" s="1166">
        <f>C9</f>
        <v>0</v>
      </c>
      <c r="J9" s="1167">
        <f t="shared" si="1"/>
        <v>0</v>
      </c>
      <c r="K9" s="1167">
        <f t="shared" si="1"/>
        <v>0</v>
      </c>
      <c r="L9" s="1167">
        <f t="shared" si="1"/>
        <v>0</v>
      </c>
      <c r="M9" s="1168">
        <f>IF(D9=0,0,H9/D9)</f>
        <v>0</v>
      </c>
      <c r="N9" s="1416" t="str">
        <f>IF(L45&gt;0,P45,IF(L46&gt;0,P46,IF(L47&gt;0,P47,"")))</f>
        <v/>
      </c>
      <c r="O9" s="1004"/>
      <c r="P9" s="1004"/>
      <c r="Q9" s="1004"/>
      <c r="R9" s="878"/>
      <c r="S9" s="878"/>
      <c r="T9" s="878"/>
      <c r="U9" s="878"/>
      <c r="V9" s="878"/>
      <c r="W9" s="878"/>
      <c r="X9" s="878"/>
    </row>
    <row r="10" spans="1:24" ht="23.25" customHeight="1">
      <c r="A10" s="878"/>
      <c r="B10" s="1272" t="s">
        <v>509</v>
      </c>
      <c r="C10" s="1161"/>
      <c r="D10" s="1161" t="s">
        <v>510</v>
      </c>
      <c r="E10" s="1161"/>
      <c r="F10" s="1161"/>
      <c r="G10" s="1161"/>
      <c r="H10" s="1161"/>
      <c r="I10" s="1161" t="s">
        <v>212</v>
      </c>
      <c r="J10" s="1161"/>
      <c r="K10" s="336"/>
      <c r="L10" s="336"/>
      <c r="M10" s="336"/>
      <c r="N10" s="1416"/>
      <c r="O10" s="1004"/>
      <c r="P10" s="1004"/>
      <c r="Q10" s="1004"/>
      <c r="R10" s="878"/>
      <c r="S10" s="878"/>
      <c r="T10" s="878"/>
      <c r="U10" s="878"/>
      <c r="V10" s="878"/>
      <c r="W10" s="878"/>
      <c r="X10" s="878"/>
    </row>
    <row r="11" spans="1:24" ht="23.25" customHeight="1">
      <c r="A11" s="878"/>
      <c r="B11" s="1274"/>
      <c r="C11" s="1162"/>
      <c r="D11" s="1163"/>
      <c r="E11" s="1163"/>
      <c r="F11" s="1163"/>
      <c r="G11" s="1164"/>
      <c r="H11" s="1165"/>
      <c r="I11" s="1166">
        <f>C11</f>
        <v>0</v>
      </c>
      <c r="J11" s="1167">
        <f t="shared" ref="J11:L12" si="2">$C11*D11</f>
        <v>0</v>
      </c>
      <c r="K11" s="1167">
        <f t="shared" si="2"/>
        <v>0</v>
      </c>
      <c r="L11" s="1167">
        <f t="shared" si="2"/>
        <v>0</v>
      </c>
      <c r="M11" s="1168">
        <f>IF(D11=0,0,H11/D11)</f>
        <v>0</v>
      </c>
      <c r="N11" s="1416" t="str">
        <f>IF(L49&gt;0,P49,IF(L50&gt;0,P50,IF(L51&gt;0,P51,IF(L52&gt;0,P52,IF(L53&gt;0,P53,IF(L54&gt;0,P54,IF(L55&gt;0,P55,IF(L56&gt;0,P56,""))))))))</f>
        <v/>
      </c>
      <c r="O11" s="1004"/>
      <c r="P11" s="1004"/>
      <c r="Q11" s="1004"/>
      <c r="R11" s="878"/>
      <c r="S11" s="878"/>
      <c r="T11" s="878"/>
      <c r="U11" s="878"/>
      <c r="V11" s="878"/>
      <c r="W11" s="878"/>
      <c r="X11" s="878"/>
    </row>
    <row r="12" spans="1:24" ht="23.25" customHeight="1">
      <c r="A12" s="878"/>
      <c r="B12" s="1274"/>
      <c r="C12" s="1162"/>
      <c r="D12" s="1163"/>
      <c r="E12" s="1163"/>
      <c r="F12" s="1163"/>
      <c r="G12" s="1164"/>
      <c r="H12" s="1165"/>
      <c r="I12" s="1166">
        <f>C12</f>
        <v>0</v>
      </c>
      <c r="J12" s="1167">
        <f t="shared" si="2"/>
        <v>0</v>
      </c>
      <c r="K12" s="1167">
        <f t="shared" si="2"/>
        <v>0</v>
      </c>
      <c r="L12" s="1167">
        <f t="shared" si="2"/>
        <v>0</v>
      </c>
      <c r="M12" s="1168">
        <f>IF(D12=0,0,H12/D12)</f>
        <v>0</v>
      </c>
      <c r="N12" s="1416" t="str">
        <f>IF(L58&gt;0,P58,IF(L59&gt;0,P59,IF(L60&gt;0,P60,IF(L61&gt;0,P61,IF(L62&gt;0,P62,IF(L63&gt;0,P63,IF(L64&gt;0,P64,IF(L65&gt;0,P65,""))))))))</f>
        <v/>
      </c>
      <c r="O12" s="1004"/>
      <c r="P12" s="1004"/>
      <c r="Q12" s="1004"/>
      <c r="R12" s="878"/>
      <c r="S12" s="878"/>
      <c r="T12" s="878"/>
      <c r="U12" s="878"/>
      <c r="V12" s="878"/>
      <c r="W12" s="878"/>
      <c r="X12" s="878"/>
    </row>
    <row r="13" spans="1:24" ht="20.25" customHeight="1">
      <c r="A13" s="878"/>
      <c r="B13" s="1272" t="s">
        <v>515</v>
      </c>
      <c r="C13" s="1161"/>
      <c r="D13" s="1161"/>
      <c r="E13" s="1161"/>
      <c r="F13" s="1161"/>
      <c r="G13" s="1161"/>
      <c r="H13" s="1161"/>
      <c r="I13" s="1161" t="s">
        <v>212</v>
      </c>
      <c r="J13" s="330"/>
      <c r="K13" s="336"/>
      <c r="L13" s="336"/>
      <c r="M13" s="336"/>
      <c r="N13" s="1275"/>
      <c r="O13" s="1004"/>
      <c r="P13" s="1004"/>
      <c r="Q13" s="1004"/>
      <c r="R13" s="878"/>
      <c r="S13" s="878"/>
      <c r="T13" s="878"/>
      <c r="U13" s="878"/>
      <c r="V13" s="878"/>
      <c r="W13" s="878"/>
      <c r="X13" s="878"/>
    </row>
    <row r="14" spans="1:24" ht="34.5" customHeight="1">
      <c r="A14" s="878"/>
      <c r="B14" s="1269" t="s">
        <v>516</v>
      </c>
      <c r="C14" s="1248" t="s">
        <v>517</v>
      </c>
      <c r="D14" s="1248" t="s">
        <v>1201</v>
      </c>
      <c r="E14" s="1248" t="s">
        <v>1206</v>
      </c>
      <c r="F14" s="1248" t="s">
        <v>1207</v>
      </c>
      <c r="G14" s="2440" t="s">
        <v>518</v>
      </c>
      <c r="H14" s="2441"/>
      <c r="I14" s="1249" t="s">
        <v>109</v>
      </c>
      <c r="J14" s="1249" t="s">
        <v>493</v>
      </c>
      <c r="K14" s="1249" t="s">
        <v>494</v>
      </c>
      <c r="L14" s="1249" t="s">
        <v>157</v>
      </c>
      <c r="M14" s="2442" t="s">
        <v>495</v>
      </c>
      <c r="N14" s="2443"/>
      <c r="O14" s="1004"/>
      <c r="P14" s="1004"/>
      <c r="Q14" s="1004"/>
      <c r="R14" s="878"/>
      <c r="S14" s="878"/>
      <c r="T14" s="878"/>
      <c r="U14" s="878"/>
      <c r="V14" s="878"/>
      <c r="W14" s="878"/>
      <c r="X14" s="878"/>
    </row>
    <row r="15" spans="1:24" ht="24.75" customHeight="1">
      <c r="A15" s="878"/>
      <c r="B15" s="1271"/>
      <c r="C15" s="1162"/>
      <c r="D15" s="1163"/>
      <c r="E15" s="1163"/>
      <c r="F15" s="1163"/>
      <c r="G15" s="2431" t="s">
        <v>521</v>
      </c>
      <c r="H15" s="2431"/>
      <c r="I15" s="1177">
        <f>C15</f>
        <v>0</v>
      </c>
      <c r="J15" s="1178">
        <f t="shared" ref="J15:L18" si="3">$C15*D15</f>
        <v>0</v>
      </c>
      <c r="K15" s="1178">
        <f t="shared" si="3"/>
        <v>0</v>
      </c>
      <c r="L15" s="1178">
        <f t="shared" si="3"/>
        <v>0</v>
      </c>
      <c r="M15" s="2432" t="s">
        <v>1199</v>
      </c>
      <c r="N15" s="2433"/>
      <c r="O15" s="1004"/>
      <c r="P15" s="1004"/>
      <c r="Q15" s="1004"/>
      <c r="R15" s="878"/>
      <c r="S15" s="878"/>
      <c r="T15" s="878"/>
      <c r="U15" s="878"/>
      <c r="V15" s="878"/>
      <c r="W15" s="878"/>
      <c r="X15" s="878"/>
    </row>
    <row r="16" spans="1:24" ht="24" customHeight="1">
      <c r="A16" s="878"/>
      <c r="B16" s="1271"/>
      <c r="C16" s="1162"/>
      <c r="D16" s="1163"/>
      <c r="E16" s="1163"/>
      <c r="F16" s="1163"/>
      <c r="G16" s="2431" t="s">
        <v>1196</v>
      </c>
      <c r="H16" s="2431"/>
      <c r="I16" s="1177">
        <f>C16</f>
        <v>0</v>
      </c>
      <c r="J16" s="1178">
        <f t="shared" si="3"/>
        <v>0</v>
      </c>
      <c r="K16" s="1178">
        <f t="shared" si="3"/>
        <v>0</v>
      </c>
      <c r="L16" s="1178">
        <f t="shared" si="3"/>
        <v>0</v>
      </c>
      <c r="M16" s="2432" t="s">
        <v>1200</v>
      </c>
      <c r="N16" s="2433"/>
      <c r="O16" s="1004"/>
      <c r="P16" s="1004"/>
      <c r="Q16" s="1004"/>
      <c r="R16" s="878"/>
      <c r="S16" s="878"/>
      <c r="T16" s="878"/>
      <c r="U16" s="878"/>
      <c r="V16" s="878"/>
      <c r="W16" s="878"/>
      <c r="X16" s="878"/>
    </row>
    <row r="17" spans="1:27" ht="24" customHeight="1">
      <c r="A17" s="878"/>
      <c r="B17" s="1271"/>
      <c r="C17" s="1162"/>
      <c r="D17" s="1163"/>
      <c r="E17" s="1163"/>
      <c r="F17" s="1163"/>
      <c r="G17" s="2431"/>
      <c r="H17" s="2431"/>
      <c r="I17" s="1177">
        <f>C17</f>
        <v>0</v>
      </c>
      <c r="J17" s="1178">
        <f t="shared" si="3"/>
        <v>0</v>
      </c>
      <c r="K17" s="1178">
        <f t="shared" si="3"/>
        <v>0</v>
      </c>
      <c r="L17" s="1178">
        <f t="shared" si="3"/>
        <v>0</v>
      </c>
      <c r="M17" s="2432"/>
      <c r="N17" s="2433"/>
      <c r="O17" s="1004"/>
      <c r="P17" s="1004"/>
      <c r="Q17" s="1004"/>
      <c r="R17" s="878"/>
      <c r="S17" s="878"/>
      <c r="T17" s="878"/>
      <c r="U17" s="878"/>
      <c r="V17" s="878"/>
      <c r="W17" s="878"/>
      <c r="X17" s="878"/>
    </row>
    <row r="18" spans="1:27" ht="22.5" customHeight="1">
      <c r="A18" s="878"/>
      <c r="B18" s="1271"/>
      <c r="C18" s="1162"/>
      <c r="D18" s="1163"/>
      <c r="E18" s="1163"/>
      <c r="F18" s="1163"/>
      <c r="G18" s="2431" t="s">
        <v>525</v>
      </c>
      <c r="H18" s="2431"/>
      <c r="I18" s="1177">
        <f>C18</f>
        <v>0</v>
      </c>
      <c r="J18" s="1178">
        <f t="shared" si="3"/>
        <v>0</v>
      </c>
      <c r="K18" s="1178">
        <f t="shared" si="3"/>
        <v>0</v>
      </c>
      <c r="L18" s="1178">
        <f t="shared" si="3"/>
        <v>0</v>
      </c>
      <c r="M18" s="2432" t="s">
        <v>526</v>
      </c>
      <c r="N18" s="2433"/>
      <c r="O18" s="1004"/>
      <c r="P18" s="1004"/>
      <c r="Q18" s="1004"/>
      <c r="R18" s="878"/>
      <c r="S18" s="878"/>
      <c r="T18" s="878"/>
      <c r="U18" s="878"/>
      <c r="V18" s="878"/>
      <c r="W18" s="878"/>
      <c r="X18" s="878"/>
    </row>
    <row r="19" spans="1:27" ht="20.25" customHeight="1">
      <c r="A19" s="878"/>
      <c r="B19" s="1276"/>
      <c r="C19" s="1277"/>
      <c r="D19" s="1277"/>
      <c r="E19" s="1277"/>
      <c r="F19" s="1277"/>
      <c r="G19" s="1277"/>
      <c r="H19" s="1277"/>
      <c r="I19" s="1278"/>
      <c r="J19" s="1279">
        <f>SUM(J5:J18)</f>
        <v>0</v>
      </c>
      <c r="K19" s="1279">
        <f>SUM(K5:K18)</f>
        <v>0</v>
      </c>
      <c r="L19" s="1279">
        <f>SUM(L5:L18)</f>
        <v>0</v>
      </c>
      <c r="M19" s="1277"/>
      <c r="N19" s="1280"/>
      <c r="O19" s="1004"/>
      <c r="P19" s="1004"/>
      <c r="Q19" s="1004"/>
      <c r="R19" s="878"/>
      <c r="S19" s="878"/>
      <c r="T19" s="878"/>
      <c r="U19" s="878"/>
      <c r="V19" s="878"/>
      <c r="W19" s="878"/>
      <c r="X19" s="878"/>
    </row>
    <row r="20" spans="1:27" ht="17.25" customHeight="1" thickBot="1">
      <c r="A20" s="878"/>
      <c r="B20" s="1004"/>
      <c r="C20" s="1004"/>
      <c r="D20" s="1004"/>
      <c r="E20" s="1004"/>
      <c r="F20" s="1004"/>
      <c r="G20" s="1004"/>
      <c r="H20" s="1004"/>
      <c r="I20" s="1004"/>
      <c r="J20" s="1004"/>
      <c r="K20" s="1004"/>
      <c r="L20" s="1004"/>
      <c r="M20" s="1004"/>
      <c r="N20" s="1004"/>
      <c r="O20" s="1004"/>
      <c r="P20" s="1004"/>
      <c r="Q20" s="1004"/>
      <c r="R20" s="878"/>
      <c r="S20" s="878"/>
      <c r="T20" s="878"/>
      <c r="U20" s="878"/>
      <c r="V20" s="878"/>
      <c r="W20" s="878"/>
      <c r="X20" s="878"/>
    </row>
    <row r="21" spans="1:27" ht="32.25" customHeight="1">
      <c r="A21" s="878"/>
      <c r="B21" s="2434" t="s">
        <v>1197</v>
      </c>
      <c r="C21" s="1281" t="s">
        <v>1198</v>
      </c>
      <c r="D21" s="1282" t="s">
        <v>275</v>
      </c>
      <c r="E21" s="1281" t="s">
        <v>276</v>
      </c>
      <c r="F21" s="1281" t="s">
        <v>90</v>
      </c>
      <c r="G21" s="1281" t="s">
        <v>91</v>
      </c>
      <c r="H21" s="1281" t="s">
        <v>278</v>
      </c>
      <c r="I21" s="1281" t="s">
        <v>279</v>
      </c>
      <c r="J21" s="1283" t="s">
        <v>212</v>
      </c>
      <c r="K21" s="1004"/>
      <c r="L21" s="2401" t="s">
        <v>1218</v>
      </c>
      <c r="M21" s="2436" t="s">
        <v>1242</v>
      </c>
      <c r="N21" s="2437"/>
      <c r="O21" s="1004"/>
      <c r="P21" s="1004"/>
      <c r="Q21" s="1004"/>
      <c r="R21" s="878"/>
      <c r="S21" s="878"/>
      <c r="T21" s="878"/>
      <c r="U21" s="878"/>
      <c r="V21" s="878"/>
      <c r="W21" s="878"/>
      <c r="X21" s="878"/>
    </row>
    <row r="22" spans="1:27" ht="15" customHeight="1" thickBot="1">
      <c r="A22" s="878"/>
      <c r="B22" s="2435"/>
      <c r="C22" s="1179">
        <f>M30+M36+M41+M42+M45+M46+M53+M62+J15</f>
        <v>0</v>
      </c>
      <c r="D22" s="1179">
        <f>M29+M32+M35+M38+M49+M55+M58+M64</f>
        <v>0</v>
      </c>
      <c r="E22" s="1179">
        <f>M31+M37+M54+M63</f>
        <v>0</v>
      </c>
      <c r="F22" s="1179">
        <f>M33+M39+M56+M65</f>
        <v>0</v>
      </c>
      <c r="G22" s="1179">
        <f>M43+M47+M52+M61+J16+J17</f>
        <v>0</v>
      </c>
      <c r="H22" s="1179">
        <f>M51+M60</f>
        <v>0</v>
      </c>
      <c r="I22" s="1179">
        <f>M50+M59+J18</f>
        <v>0</v>
      </c>
      <c r="J22" s="1284">
        <f>SUM(C22:I22)</f>
        <v>0</v>
      </c>
      <c r="K22" s="1004"/>
      <c r="L22" s="2403"/>
      <c r="M22" s="2438"/>
      <c r="N22" s="2439"/>
      <c r="O22" s="1004"/>
      <c r="P22" s="1004"/>
      <c r="Q22" s="1004"/>
      <c r="R22" s="878"/>
      <c r="S22" s="878"/>
      <c r="T22" s="878"/>
      <c r="U22" s="878"/>
      <c r="V22" s="878"/>
      <c r="W22" s="878"/>
      <c r="X22" s="878"/>
    </row>
    <row r="23" spans="1:27" ht="15" customHeight="1">
      <c r="A23" s="878"/>
      <c r="B23" s="1285" t="s">
        <v>286</v>
      </c>
      <c r="C23" s="1169">
        <f t="shared" ref="C23:I23" si="4">C72</f>
        <v>0</v>
      </c>
      <c r="D23" s="1169">
        <f t="shared" si="4"/>
        <v>0</v>
      </c>
      <c r="E23" s="1169">
        <f t="shared" si="4"/>
        <v>0</v>
      </c>
      <c r="F23" s="1169">
        <f t="shared" si="4"/>
        <v>0</v>
      </c>
      <c r="G23" s="1169">
        <f t="shared" si="4"/>
        <v>0</v>
      </c>
      <c r="H23" s="1169">
        <f t="shared" si="4"/>
        <v>0</v>
      </c>
      <c r="I23" s="1169">
        <f t="shared" si="4"/>
        <v>0</v>
      </c>
      <c r="J23" s="1286">
        <f>SUM(C23:I23)</f>
        <v>0</v>
      </c>
      <c r="K23" s="1004"/>
      <c r="L23" s="1478"/>
      <c r="M23" s="1479"/>
      <c r="N23" s="1479"/>
      <c r="O23" s="1004"/>
      <c r="P23" s="1004"/>
      <c r="Q23" s="1004"/>
      <c r="R23" s="878"/>
      <c r="S23" s="878"/>
      <c r="T23" s="878"/>
      <c r="U23" s="878"/>
      <c r="V23" s="878"/>
      <c r="W23" s="878"/>
      <c r="X23" s="878"/>
    </row>
    <row r="24" spans="1:27" ht="15" customHeight="1">
      <c r="A24" s="878"/>
      <c r="B24" s="1287" t="s">
        <v>294</v>
      </c>
      <c r="C24" s="1288">
        <f t="shared" ref="C24:I24" si="5">C22-C23</f>
        <v>0</v>
      </c>
      <c r="D24" s="1288">
        <f t="shared" si="5"/>
        <v>0</v>
      </c>
      <c r="E24" s="1288">
        <f t="shared" si="5"/>
        <v>0</v>
      </c>
      <c r="F24" s="1288">
        <f t="shared" si="5"/>
        <v>0</v>
      </c>
      <c r="G24" s="1288">
        <f t="shared" si="5"/>
        <v>0</v>
      </c>
      <c r="H24" s="1288">
        <f t="shared" si="5"/>
        <v>0</v>
      </c>
      <c r="I24" s="1288">
        <f t="shared" si="5"/>
        <v>0</v>
      </c>
      <c r="J24" s="1289">
        <f>SUM(C24:I24)</f>
        <v>0</v>
      </c>
      <c r="K24" s="1004"/>
      <c r="L24" s="1478"/>
      <c r="M24" s="1479"/>
      <c r="N24" s="1479"/>
      <c r="O24" s="1004"/>
      <c r="P24" s="1004"/>
      <c r="Q24" s="1004"/>
      <c r="R24" s="878"/>
      <c r="S24" s="878"/>
      <c r="T24" s="878"/>
      <c r="U24" s="878"/>
      <c r="V24" s="878"/>
      <c r="W24" s="878"/>
      <c r="X24" s="878"/>
    </row>
    <row r="25" spans="1:27">
      <c r="A25" s="878"/>
      <c r="B25" s="878"/>
      <c r="C25" s="878"/>
      <c r="D25" s="878"/>
      <c r="E25" s="878"/>
      <c r="F25" s="878"/>
      <c r="G25" s="878"/>
      <c r="H25" s="878"/>
      <c r="I25" s="878"/>
      <c r="J25" s="878"/>
      <c r="K25" s="878"/>
      <c r="L25" s="878"/>
      <c r="M25" s="878"/>
      <c r="N25" s="878"/>
      <c r="O25" s="878"/>
      <c r="P25" s="878"/>
      <c r="Q25" s="878"/>
      <c r="R25" s="878"/>
      <c r="S25" s="878"/>
      <c r="T25" s="878"/>
      <c r="U25" s="878"/>
      <c r="V25" s="878"/>
      <c r="W25" s="878"/>
      <c r="X25" s="878"/>
      <c r="Y25" s="172"/>
      <c r="Z25" s="172"/>
      <c r="AA25" s="172"/>
    </row>
    <row r="26" spans="1:27">
      <c r="A26" s="878"/>
      <c r="B26" s="878"/>
      <c r="C26" s="878"/>
      <c r="D26" s="878"/>
      <c r="E26" s="878"/>
      <c r="F26" s="878"/>
      <c r="G26" s="878"/>
      <c r="H26" s="878"/>
      <c r="I26" s="878"/>
      <c r="J26" s="878"/>
      <c r="K26" s="878"/>
      <c r="L26" s="878"/>
      <c r="M26" s="878"/>
      <c r="N26" s="878"/>
      <c r="O26" s="878"/>
      <c r="P26" s="878"/>
      <c r="Q26" s="878"/>
      <c r="R26" s="878"/>
      <c r="S26" s="878"/>
      <c r="T26" s="878"/>
      <c r="U26" s="878"/>
      <c r="V26" s="878"/>
      <c r="W26" s="878"/>
      <c r="X26" s="878"/>
      <c r="Y26" s="172"/>
      <c r="Z26" s="172"/>
      <c r="AA26" s="172"/>
    </row>
    <row r="27" spans="1:27" ht="14.25" hidden="1">
      <c r="A27" s="1257"/>
      <c r="B27" s="1250"/>
      <c r="C27" s="1250" t="s">
        <v>538</v>
      </c>
      <c r="D27" s="1250"/>
      <c r="E27" s="1250"/>
      <c r="F27" s="1250"/>
      <c r="G27" s="1250" t="s">
        <v>539</v>
      </c>
      <c r="H27" s="1250"/>
      <c r="I27" s="1250"/>
      <c r="J27" s="1250"/>
      <c r="K27" s="1250"/>
      <c r="L27" s="1250" t="s">
        <v>495</v>
      </c>
      <c r="M27" s="1250"/>
      <c r="N27" s="1250"/>
      <c r="O27" s="1250"/>
      <c r="P27" s="1251" t="s">
        <v>1192</v>
      </c>
      <c r="Q27" s="1251"/>
      <c r="R27" s="1250" t="s">
        <v>540</v>
      </c>
      <c r="S27" s="1250" t="s">
        <v>541</v>
      </c>
      <c r="T27" s="1250" t="s">
        <v>542</v>
      </c>
      <c r="U27" s="1254" t="s">
        <v>540</v>
      </c>
      <c r="V27" s="1254" t="s">
        <v>541</v>
      </c>
      <c r="W27" s="1254" t="s">
        <v>543</v>
      </c>
      <c r="X27" s="878"/>
    </row>
    <row r="28" spans="1:27" ht="14.25" hidden="1">
      <c r="A28" s="1257"/>
      <c r="B28" s="1261"/>
      <c r="C28" s="1250" t="s">
        <v>109</v>
      </c>
      <c r="D28" s="1250" t="s">
        <v>112</v>
      </c>
      <c r="E28" s="1250" t="s">
        <v>113</v>
      </c>
      <c r="F28" s="1250" t="s">
        <v>114</v>
      </c>
      <c r="G28" s="1250" t="s">
        <v>109</v>
      </c>
      <c r="H28" s="1250" t="s">
        <v>112</v>
      </c>
      <c r="I28" s="1250" t="s">
        <v>113</v>
      </c>
      <c r="J28" s="1250" t="s">
        <v>114</v>
      </c>
      <c r="K28" s="1250" t="s">
        <v>544</v>
      </c>
      <c r="L28" s="1250" t="s">
        <v>109</v>
      </c>
      <c r="M28" s="1250" t="s">
        <v>112</v>
      </c>
      <c r="N28" s="1250" t="s">
        <v>113</v>
      </c>
      <c r="O28" s="1250" t="s">
        <v>114</v>
      </c>
      <c r="P28" s="1252"/>
      <c r="Q28" s="1253"/>
      <c r="R28" s="1254"/>
      <c r="S28" s="1254"/>
      <c r="T28" s="1254"/>
      <c r="U28" s="1254"/>
      <c r="V28" s="1254"/>
      <c r="W28" s="1254"/>
      <c r="X28" s="1261"/>
      <c r="Y28" s="160" t="s">
        <v>545</v>
      </c>
      <c r="Z28" s="160"/>
      <c r="AA28" s="157"/>
    </row>
    <row r="29" spans="1:27" ht="21" hidden="1">
      <c r="A29" s="1257"/>
      <c r="B29" s="1261" t="s">
        <v>546</v>
      </c>
      <c r="C29" s="1250">
        <f>C5*$G$5</f>
        <v>0</v>
      </c>
      <c r="D29" s="1250">
        <f>$C29*D5</f>
        <v>0</v>
      </c>
      <c r="E29" s="1250">
        <f>$C29*E5</f>
        <v>0</v>
      </c>
      <c r="F29" s="1250">
        <f>$C29*F5</f>
        <v>0</v>
      </c>
      <c r="G29" s="1250">
        <f>C5-C29</f>
        <v>0</v>
      </c>
      <c r="H29" s="1250">
        <f>$G29*D5</f>
        <v>0</v>
      </c>
      <c r="I29" s="1250">
        <f>$G29*E5</f>
        <v>0</v>
      </c>
      <c r="J29" s="1250">
        <f>$G29*F5</f>
        <v>0</v>
      </c>
      <c r="K29" s="1250">
        <f>G$5*M29</f>
        <v>0</v>
      </c>
      <c r="L29" s="1250">
        <f>IF($M$5=0,I$5,0)</f>
        <v>0</v>
      </c>
      <c r="M29" s="1250">
        <f>IF($M$5=0,J$5,0)</f>
        <v>0</v>
      </c>
      <c r="N29" s="1250">
        <f>IF($M$5=0,K$5,0)</f>
        <v>0</v>
      </c>
      <c r="O29" s="1254">
        <f>IF($M$5=0,L$5,0)</f>
        <v>0</v>
      </c>
      <c r="P29" s="1252" t="s">
        <v>1193</v>
      </c>
      <c r="Q29" s="1253">
        <v>58</v>
      </c>
      <c r="R29" s="1254">
        <f>D$5*0.87</f>
        <v>0</v>
      </c>
      <c r="S29" s="1254">
        <f>R29*Y$31</f>
        <v>0</v>
      </c>
      <c r="T29" s="1254">
        <v>0.65</v>
      </c>
      <c r="U29" s="1254">
        <f>IF(M29=0,0,R29)</f>
        <v>0</v>
      </c>
      <c r="V29" s="1484">
        <f>IF(M29=0,0,S29)</f>
        <v>0</v>
      </c>
      <c r="W29" s="1484">
        <f>IF(M29=0,0,T29)</f>
        <v>0</v>
      </c>
      <c r="X29" s="1261" t="s">
        <v>546</v>
      </c>
      <c r="Y29" s="161">
        <v>0.7</v>
      </c>
      <c r="Z29" s="160" t="s">
        <v>547</v>
      </c>
      <c r="AA29" s="157" t="s">
        <v>548</v>
      </c>
    </row>
    <row r="30" spans="1:27" ht="14.25" hidden="1">
      <c r="A30" s="1257"/>
      <c r="B30" s="1261"/>
      <c r="C30" s="1250"/>
      <c r="D30" s="1250"/>
      <c r="E30" s="1250"/>
      <c r="F30" s="1250"/>
      <c r="G30" s="1250"/>
      <c r="H30" s="1250"/>
      <c r="I30" s="1250"/>
      <c r="J30" s="1250"/>
      <c r="K30" s="1250">
        <f>G$5*M30</f>
        <v>0</v>
      </c>
      <c r="L30" s="1250">
        <f>IF($M$5=0,0,IF($M$5&lt;0.55,I$5,0))</f>
        <v>0</v>
      </c>
      <c r="M30" s="1250">
        <f>IF($M$5=0,0,IF($M$5&lt;0.55,J$5,0))</f>
        <v>0</v>
      </c>
      <c r="N30" s="1250">
        <f>IF($M$5=0,0,IF($M$5&lt;0.55,K$5,0))</f>
        <v>0</v>
      </c>
      <c r="O30" s="1254">
        <f>IF($M$5=0,0,IF($M$5&lt;0.55,L$5,0))</f>
        <v>0</v>
      </c>
      <c r="P30" s="1252" t="s">
        <v>547</v>
      </c>
      <c r="Q30" s="1253">
        <v>59</v>
      </c>
      <c r="R30" s="1254">
        <f>D$5*0.87</f>
        <v>0</v>
      </c>
      <c r="S30" s="1254">
        <f>R30*Y$29</f>
        <v>0</v>
      </c>
      <c r="T30" s="1254">
        <v>0.5</v>
      </c>
      <c r="U30" s="1254">
        <f>IF(M30=0,0,R30)</f>
        <v>0</v>
      </c>
      <c r="V30" s="1484">
        <f>IF(M30=0,0,S30)</f>
        <v>0</v>
      </c>
      <c r="W30" s="1484">
        <f>IF(M30=0,0,T30)</f>
        <v>0</v>
      </c>
      <c r="X30" s="1261"/>
      <c r="Y30" s="161">
        <v>0.85</v>
      </c>
      <c r="Z30" s="160" t="s">
        <v>549</v>
      </c>
      <c r="AA30" s="157" t="s">
        <v>550</v>
      </c>
    </row>
    <row r="31" spans="1:27" ht="14.25" hidden="1">
      <c r="A31" s="1257"/>
      <c r="B31" s="1261"/>
      <c r="C31" s="1250"/>
      <c r="D31" s="1250"/>
      <c r="E31" s="1250"/>
      <c r="F31" s="1250"/>
      <c r="G31" s="1250"/>
      <c r="H31" s="1250"/>
      <c r="I31" s="1250"/>
      <c r="J31" s="1250"/>
      <c r="K31" s="1250">
        <f>G$5*M31</f>
        <v>0</v>
      </c>
      <c r="L31" s="1250">
        <f>IF(AND($M$5&gt;=0.55,$M$5&lt;0.625),I$5,0)</f>
        <v>0</v>
      </c>
      <c r="M31" s="1250">
        <f>IF(AND($M$5&gt;=0.55,$M$5&lt;0.625),J$5,0)</f>
        <v>0</v>
      </c>
      <c r="N31" s="1250">
        <f>IF(AND($M$5&gt;=0.55,$M$5&lt;0.625),K$5,0)</f>
        <v>0</v>
      </c>
      <c r="O31" s="1254">
        <f>IF(AND($M$5&gt;=0.55,$M$5&lt;0.625),L$5,0)</f>
        <v>0</v>
      </c>
      <c r="P31" s="1252" t="s">
        <v>549</v>
      </c>
      <c r="Q31" s="1253">
        <v>60</v>
      </c>
      <c r="R31" s="1254">
        <f>D$5*0.87</f>
        <v>0</v>
      </c>
      <c r="S31" s="1254">
        <f>R31*Y$30</f>
        <v>0</v>
      </c>
      <c r="T31" s="1254">
        <v>0.60000000000000009</v>
      </c>
      <c r="U31" s="1254">
        <f>IF(M31=0,0,R31)</f>
        <v>0</v>
      </c>
      <c r="V31" s="1484">
        <f>IF(M31=0,0,S31)</f>
        <v>0</v>
      </c>
      <c r="W31" s="1484">
        <f>IF(M31=0,0,T31)</f>
        <v>0</v>
      </c>
      <c r="X31" s="1261"/>
      <c r="Y31" s="161">
        <v>0.8</v>
      </c>
      <c r="Z31" s="160" t="s">
        <v>551</v>
      </c>
      <c r="AA31" s="157" t="s">
        <v>552</v>
      </c>
    </row>
    <row r="32" spans="1:27" ht="14.25" hidden="1">
      <c r="A32" s="1257"/>
      <c r="B32" s="1261"/>
      <c r="C32" s="1250"/>
      <c r="D32" s="1250"/>
      <c r="E32" s="1250"/>
      <c r="F32" s="1250"/>
      <c r="G32" s="1250"/>
      <c r="H32" s="1250"/>
      <c r="I32" s="1250"/>
      <c r="J32" s="1250"/>
      <c r="K32" s="1250">
        <f>G$5*M32</f>
        <v>0</v>
      </c>
      <c r="L32" s="1250">
        <f>IF(AND($M$5&gt;=0.625,$M$5&lt;0.775),I$5,0)</f>
        <v>0</v>
      </c>
      <c r="M32" s="1250">
        <f>IF(AND($M$5&gt;=0.625,$M$5&lt;0.775),J$5,0)</f>
        <v>0</v>
      </c>
      <c r="N32" s="1250">
        <f>IF(AND($M$5&gt;=0.625,$M$5&lt;0.775),K$5,0)</f>
        <v>0</v>
      </c>
      <c r="O32" s="1254">
        <f>IF(AND($M$5&gt;=0.625,$M$5&lt;0.775),L$5,0)</f>
        <v>0</v>
      </c>
      <c r="P32" s="1252" t="s">
        <v>551</v>
      </c>
      <c r="Q32" s="1253">
        <v>61</v>
      </c>
      <c r="R32" s="1254">
        <f>D$5*0.87</f>
        <v>0</v>
      </c>
      <c r="S32" s="1254">
        <f>R32*Y$31</f>
        <v>0</v>
      </c>
      <c r="T32" s="1254">
        <v>0.65</v>
      </c>
      <c r="U32" s="1254">
        <f>IF(M32=0,0,R32)</f>
        <v>0</v>
      </c>
      <c r="V32" s="1484">
        <f>IF(M32=0,0,S32)</f>
        <v>0</v>
      </c>
      <c r="W32" s="1484">
        <f>IF(M32=0,0,T32)</f>
        <v>0</v>
      </c>
      <c r="X32" s="1261"/>
      <c r="Y32" s="161">
        <v>1</v>
      </c>
      <c r="Z32" s="160" t="s">
        <v>553</v>
      </c>
      <c r="AA32" s="157" t="s">
        <v>554</v>
      </c>
    </row>
    <row r="33" spans="1:27" ht="14.25" hidden="1">
      <c r="A33" s="1257"/>
      <c r="B33" s="1261"/>
      <c r="C33" s="1250"/>
      <c r="D33" s="1250"/>
      <c r="E33" s="1250"/>
      <c r="F33" s="1250"/>
      <c r="G33" s="1250"/>
      <c r="H33" s="1250"/>
      <c r="I33" s="1250"/>
      <c r="J33" s="1250"/>
      <c r="K33" s="1250">
        <f>G$5*M33</f>
        <v>0</v>
      </c>
      <c r="L33" s="1250">
        <f>IF($M$5&gt;=0.775,I$5,0)</f>
        <v>0</v>
      </c>
      <c r="M33" s="1250">
        <f>IF($M$5&gt;=0.775,J$5,0)</f>
        <v>0</v>
      </c>
      <c r="N33" s="1250">
        <f>IF($M$5&gt;=0.775,K$5,0)</f>
        <v>0</v>
      </c>
      <c r="O33" s="1254">
        <f>IF($M$5&gt;=0.775,L$5,0)</f>
        <v>0</v>
      </c>
      <c r="P33" s="1252" t="s">
        <v>553</v>
      </c>
      <c r="Q33" s="1253">
        <v>62</v>
      </c>
      <c r="R33" s="1254">
        <f>D$5*0.87</f>
        <v>0</v>
      </c>
      <c r="S33" s="1254">
        <f>R33*Y$32</f>
        <v>0</v>
      </c>
      <c r="T33" s="1254">
        <v>0.9</v>
      </c>
      <c r="U33" s="1254">
        <f>IF(M33=0,0,R33)</f>
        <v>0</v>
      </c>
      <c r="V33" s="1484">
        <f>IF(M33=0,0,S33)</f>
        <v>0</v>
      </c>
      <c r="W33" s="1484">
        <f>IF(M33=0,0,T33)</f>
        <v>0</v>
      </c>
      <c r="X33" s="1261"/>
      <c r="Y33" s="161">
        <v>0.5</v>
      </c>
      <c r="Z33" s="160" t="s">
        <v>555</v>
      </c>
      <c r="AA33" s="157" t="s">
        <v>556</v>
      </c>
    </row>
    <row r="34" spans="1:27" ht="14.25" hidden="1">
      <c r="A34" s="1257"/>
      <c r="B34" s="1261"/>
      <c r="C34" s="1250"/>
      <c r="D34" s="1250"/>
      <c r="E34" s="1250"/>
      <c r="F34" s="1250"/>
      <c r="G34" s="1250"/>
      <c r="H34" s="1250"/>
      <c r="I34" s="1250"/>
      <c r="J34" s="1250"/>
      <c r="K34" s="1250"/>
      <c r="L34" s="1250"/>
      <c r="M34" s="1250"/>
      <c r="N34" s="1250"/>
      <c r="O34" s="1254"/>
      <c r="P34" s="1252"/>
      <c r="Q34" s="1253">
        <v>63</v>
      </c>
      <c r="R34" s="1254"/>
      <c r="S34" s="1254"/>
      <c r="T34" s="1254" t="s">
        <v>546</v>
      </c>
      <c r="U34" s="1254">
        <f>SUM(U29:U33)</f>
        <v>0</v>
      </c>
      <c r="V34" s="1484">
        <f>SUM(V29:V33)</f>
        <v>0</v>
      </c>
      <c r="W34" s="1484">
        <f>SUM(W29:W33)</f>
        <v>0</v>
      </c>
      <c r="X34" s="1261"/>
      <c r="Y34" s="161">
        <v>0.30000000000000004</v>
      </c>
      <c r="Z34" s="160" t="s">
        <v>557</v>
      </c>
      <c r="AA34" s="157" t="s">
        <v>558</v>
      </c>
    </row>
    <row r="35" spans="1:27" ht="21" hidden="1">
      <c r="A35" s="1257"/>
      <c r="B35" s="1261" t="s">
        <v>559</v>
      </c>
      <c r="C35" s="1250">
        <f>C6*$G$6</f>
        <v>0</v>
      </c>
      <c r="D35" s="1250">
        <f>$C35*D6</f>
        <v>0</v>
      </c>
      <c r="E35" s="1250">
        <f>$C35*E6</f>
        <v>0</v>
      </c>
      <c r="F35" s="1250">
        <f>$C35*F6</f>
        <v>0</v>
      </c>
      <c r="G35" s="1250">
        <f>C6-C35</f>
        <v>0</v>
      </c>
      <c r="H35" s="1250">
        <f>$G35*D6</f>
        <v>0</v>
      </c>
      <c r="I35" s="1250">
        <f>$G35*E6</f>
        <v>0</v>
      </c>
      <c r="J35" s="1250">
        <f>$G35*F6</f>
        <v>0</v>
      </c>
      <c r="K35" s="1250">
        <f>G$6*M35</f>
        <v>0</v>
      </c>
      <c r="L35" s="1250">
        <f>IF($M$6=0,I$6,0)</f>
        <v>0</v>
      </c>
      <c r="M35" s="1250">
        <f>IF($M$6=0,J$6,0)</f>
        <v>0</v>
      </c>
      <c r="N35" s="1250">
        <f>IF($M$6=0,K$6,0)</f>
        <v>0</v>
      </c>
      <c r="O35" s="1254">
        <f>IF($M$6=0,L$6,0)</f>
        <v>0</v>
      </c>
      <c r="P35" s="1252" t="s">
        <v>1193</v>
      </c>
      <c r="Q35" s="1253">
        <v>64</v>
      </c>
      <c r="R35" s="1254">
        <f>D$6*0.87</f>
        <v>0</v>
      </c>
      <c r="S35" s="1254">
        <f>R35*Y$31</f>
        <v>0</v>
      </c>
      <c r="T35" s="1254">
        <v>0.65</v>
      </c>
      <c r="U35" s="1254">
        <f>IF(M35=0,0,R35)</f>
        <v>0</v>
      </c>
      <c r="V35" s="1484">
        <f>IF(M35=0,0,S35)</f>
        <v>0</v>
      </c>
      <c r="W35" s="1484">
        <f>IF(M35=0,0,T35)</f>
        <v>0</v>
      </c>
      <c r="X35" s="1261" t="s">
        <v>559</v>
      </c>
      <c r="Y35" s="161">
        <v>0.1</v>
      </c>
      <c r="Z35" s="160" t="s">
        <v>526</v>
      </c>
      <c r="AA35" s="157" t="s">
        <v>560</v>
      </c>
    </row>
    <row r="36" spans="1:27" ht="14.25" hidden="1">
      <c r="A36" s="1257"/>
      <c r="B36" s="1261"/>
      <c r="C36" s="1250"/>
      <c r="D36" s="1250"/>
      <c r="E36" s="1250"/>
      <c r="F36" s="1250"/>
      <c r="G36" s="1250"/>
      <c r="H36" s="1250"/>
      <c r="I36" s="1250"/>
      <c r="J36" s="1250"/>
      <c r="K36" s="1250">
        <f>G$6*M36</f>
        <v>0</v>
      </c>
      <c r="L36" s="1250">
        <f>IF($M$6=0,0,IF($M$6&lt;0.55,I$6,0))</f>
        <v>0</v>
      </c>
      <c r="M36" s="1250">
        <f>IF($M$6=0,0,IF($M$6&lt;0.55,J$6,0))</f>
        <v>0</v>
      </c>
      <c r="N36" s="1250">
        <f>IF($M$6=0,0,IF($M$6&lt;0.55,K$6,0))</f>
        <v>0</v>
      </c>
      <c r="O36" s="1254">
        <f>IF($M$6=0,0,IF($M$6&lt;0.55,L$6,0))</f>
        <v>0</v>
      </c>
      <c r="P36" s="1252" t="s">
        <v>547</v>
      </c>
      <c r="Q36" s="1253">
        <v>65</v>
      </c>
      <c r="R36" s="1254">
        <f>D$6*0.87</f>
        <v>0</v>
      </c>
      <c r="S36" s="1254">
        <f>R36*Y$29</f>
        <v>0</v>
      </c>
      <c r="T36" s="1254">
        <v>0.5</v>
      </c>
      <c r="U36" s="1254">
        <f>IF(M36=0,0,R36)</f>
        <v>0</v>
      </c>
      <c r="V36" s="1484">
        <f>IF(M36=0,0,S36)</f>
        <v>0</v>
      </c>
      <c r="W36" s="1484">
        <f>IF(M36=0,0,T36)</f>
        <v>0</v>
      </c>
      <c r="X36" s="1261"/>
      <c r="Y36" s="160"/>
      <c r="Z36" s="160"/>
      <c r="AA36" s="157"/>
    </row>
    <row r="37" spans="1:27" ht="14.25" hidden="1">
      <c r="A37" s="1257"/>
      <c r="B37" s="1261"/>
      <c r="C37" s="1250"/>
      <c r="D37" s="1250"/>
      <c r="E37" s="1250"/>
      <c r="F37" s="1250"/>
      <c r="G37" s="1250"/>
      <c r="H37" s="1250"/>
      <c r="I37" s="1250"/>
      <c r="J37" s="1250"/>
      <c r="K37" s="1250">
        <f>G$6*M37</f>
        <v>0</v>
      </c>
      <c r="L37" s="1250">
        <f>IF(AND($M$6&gt;=0.55,$M$6&lt;0.625),I$6,0)</f>
        <v>0</v>
      </c>
      <c r="M37" s="1250">
        <f>IF(AND($M$6&gt;=0.55,$M$6&lt;0.625),J$6,0)</f>
        <v>0</v>
      </c>
      <c r="N37" s="1250">
        <f>IF(AND($M$6&gt;=0.55,$M$6&lt;0.625),K$6,0)</f>
        <v>0</v>
      </c>
      <c r="O37" s="1254">
        <f>IF(AND($M$6&gt;=0.55,$M$6&lt;0.625),L$6,0)</f>
        <v>0</v>
      </c>
      <c r="P37" s="1252" t="s">
        <v>549</v>
      </c>
      <c r="Q37" s="1253">
        <v>66</v>
      </c>
      <c r="R37" s="1254">
        <f>D$6*0.87</f>
        <v>0</v>
      </c>
      <c r="S37" s="1254">
        <f>R37*Y$30</f>
        <v>0</v>
      </c>
      <c r="T37" s="1254">
        <v>0.60000000000000009</v>
      </c>
      <c r="U37" s="1254">
        <f>IF(M37=0,0,R37)</f>
        <v>0</v>
      </c>
      <c r="V37" s="1484">
        <f>IF(M37=0,0,S37)</f>
        <v>0</v>
      </c>
      <c r="W37" s="1484">
        <f>IF(M37=0,0,T37)</f>
        <v>0</v>
      </c>
      <c r="X37" s="1261"/>
      <c r="Y37" s="160"/>
      <c r="Z37" s="160"/>
      <c r="AA37" s="157"/>
    </row>
    <row r="38" spans="1:27" ht="14.25" hidden="1">
      <c r="A38" s="1257"/>
      <c r="B38" s="1261"/>
      <c r="C38" s="1250"/>
      <c r="D38" s="1250"/>
      <c r="E38" s="1250"/>
      <c r="F38" s="1250"/>
      <c r="G38" s="1250"/>
      <c r="H38" s="1250"/>
      <c r="I38" s="1250"/>
      <c r="J38" s="1250"/>
      <c r="K38" s="1250">
        <f>G$6*M38</f>
        <v>0</v>
      </c>
      <c r="L38" s="1250">
        <f>IF(AND($M$6&gt;=0.625,$M$6&lt;0.775),I$6,0)</f>
        <v>0</v>
      </c>
      <c r="M38" s="1250">
        <f>IF(AND($M$6&gt;=0.625,$M$6&lt;0.775),J$6,0)</f>
        <v>0</v>
      </c>
      <c r="N38" s="1250">
        <f>IF(AND($M$6&gt;=0.625,$M$6&lt;0.775),K$6,0)</f>
        <v>0</v>
      </c>
      <c r="O38" s="1254">
        <f>IF(AND($M$6&gt;=0.625,$M$6&lt;0.775),L$6,0)</f>
        <v>0</v>
      </c>
      <c r="P38" s="1252" t="s">
        <v>551</v>
      </c>
      <c r="Q38" s="1253">
        <v>67</v>
      </c>
      <c r="R38" s="1254">
        <f>D$6*0.87</f>
        <v>0</v>
      </c>
      <c r="S38" s="1254">
        <f>R38*Y$31</f>
        <v>0</v>
      </c>
      <c r="T38" s="1254">
        <v>0.65</v>
      </c>
      <c r="U38" s="1254">
        <f>IF(M38=0,0,R38)</f>
        <v>0</v>
      </c>
      <c r="V38" s="1484">
        <f>IF(M38=0,0,S38)</f>
        <v>0</v>
      </c>
      <c r="W38" s="1484">
        <f>IF(M38=0,0,T38)</f>
        <v>0</v>
      </c>
      <c r="X38" s="1261"/>
      <c r="Y38" s="160"/>
      <c r="Z38" s="160"/>
      <c r="AA38" s="157"/>
    </row>
    <row r="39" spans="1:27" ht="14.25" hidden="1">
      <c r="A39" s="1257"/>
      <c r="B39" s="1261"/>
      <c r="C39" s="1250"/>
      <c r="D39" s="1250"/>
      <c r="E39" s="1250"/>
      <c r="F39" s="1250"/>
      <c r="G39" s="1250"/>
      <c r="H39" s="1250"/>
      <c r="I39" s="1250"/>
      <c r="J39" s="1250"/>
      <c r="K39" s="1250">
        <f>G$6*M39</f>
        <v>0</v>
      </c>
      <c r="L39" s="1250">
        <f>IF($M$6&gt;=0.775,I$6,0)</f>
        <v>0</v>
      </c>
      <c r="M39" s="1250">
        <f>IF($M$6&gt;=0.775,J$6,0)</f>
        <v>0</v>
      </c>
      <c r="N39" s="1250">
        <f>IF($M$6&gt;=0.775,K$6,0)</f>
        <v>0</v>
      </c>
      <c r="O39" s="1254">
        <f>IF($M$6&gt;=0.775,L$6,0)</f>
        <v>0</v>
      </c>
      <c r="P39" s="1252" t="s">
        <v>553</v>
      </c>
      <c r="Q39" s="1253">
        <v>68</v>
      </c>
      <c r="R39" s="1254">
        <f>D$6*0.87</f>
        <v>0</v>
      </c>
      <c r="S39" s="1254">
        <f>R39*Y$32</f>
        <v>0</v>
      </c>
      <c r="T39" s="1254">
        <v>0.9</v>
      </c>
      <c r="U39" s="1254">
        <f>IF(M39=0,0,R39)</f>
        <v>0</v>
      </c>
      <c r="V39" s="1484">
        <f>IF(M39=0,0,S39)</f>
        <v>0</v>
      </c>
      <c r="W39" s="1484">
        <f>IF(M39=0,0,T39)</f>
        <v>0</v>
      </c>
      <c r="X39" s="1261"/>
      <c r="Y39" s="160"/>
      <c r="Z39" s="160"/>
      <c r="AA39" s="157"/>
    </row>
    <row r="40" spans="1:27" ht="14.25" hidden="1">
      <c r="A40" s="1257"/>
      <c r="B40" s="1261"/>
      <c r="C40" s="1250"/>
      <c r="D40" s="1250"/>
      <c r="E40" s="1250"/>
      <c r="F40" s="1250"/>
      <c r="G40" s="1250"/>
      <c r="H40" s="1250"/>
      <c r="I40" s="1250"/>
      <c r="J40" s="1250"/>
      <c r="K40" s="1250"/>
      <c r="L40" s="1250"/>
      <c r="M40" s="1250"/>
      <c r="N40" s="1250"/>
      <c r="O40" s="1254"/>
      <c r="P40" s="1252"/>
      <c r="Q40" s="1253">
        <v>69</v>
      </c>
      <c r="R40" s="1254"/>
      <c r="S40" s="1254"/>
      <c r="T40" s="1254" t="s">
        <v>559</v>
      </c>
      <c r="U40" s="1254">
        <f>SUM(U35:U39)</f>
        <v>0</v>
      </c>
      <c r="V40" s="1484">
        <f>SUM(V35:V39)</f>
        <v>0</v>
      </c>
      <c r="W40" s="1484">
        <f>SUM(W35:W39)</f>
        <v>0</v>
      </c>
      <c r="X40" s="1261"/>
      <c r="Y40" s="160"/>
      <c r="Z40" s="160"/>
      <c r="AA40" s="157"/>
    </row>
    <row r="41" spans="1:27" ht="21" hidden="1">
      <c r="A41" s="1257"/>
      <c r="B41" s="1261" t="s">
        <v>561</v>
      </c>
      <c r="C41" s="1250">
        <f>C8*$G$8</f>
        <v>0</v>
      </c>
      <c r="D41" s="1250">
        <f>$C41*D8</f>
        <v>0</v>
      </c>
      <c r="E41" s="1250">
        <f>$C41*E8</f>
        <v>0</v>
      </c>
      <c r="F41" s="1250">
        <f>$C41*F8</f>
        <v>0</v>
      </c>
      <c r="G41" s="1250">
        <f>C8-C41</f>
        <v>0</v>
      </c>
      <c r="H41" s="1250">
        <f>$G41*D8</f>
        <v>0</v>
      </c>
      <c r="I41" s="1250">
        <f>$G41*E8</f>
        <v>0</v>
      </c>
      <c r="J41" s="1250">
        <f>$G41*F8</f>
        <v>0</v>
      </c>
      <c r="K41" s="1250">
        <f>G$8*M41</f>
        <v>0</v>
      </c>
      <c r="L41" s="1250">
        <f>IF($H$8=0,I$8,0)</f>
        <v>0</v>
      </c>
      <c r="M41" s="1250">
        <f>IF($H$8=0,J$8,0)</f>
        <v>0</v>
      </c>
      <c r="N41" s="1250">
        <f>IF($H$8=0,K$8,0)</f>
        <v>0</v>
      </c>
      <c r="O41" s="1254">
        <f>IF($H$8=0,L$8,0)</f>
        <v>0</v>
      </c>
      <c r="P41" s="1252" t="s">
        <v>1194</v>
      </c>
      <c r="Q41" s="1253">
        <v>82</v>
      </c>
      <c r="R41" s="1254">
        <f>D8*0.87</f>
        <v>0</v>
      </c>
      <c r="S41" s="1254">
        <f>R41*Y$29</f>
        <v>0</v>
      </c>
      <c r="T41" s="1254">
        <v>0.5</v>
      </c>
      <c r="U41" s="1254">
        <f>IF(M41=0,0,R41)</f>
        <v>0</v>
      </c>
      <c r="V41" s="1484">
        <f>IF(M41=0,0,S41)</f>
        <v>0</v>
      </c>
      <c r="W41" s="1484">
        <f>IF(M41=0,0,T41)</f>
        <v>0</v>
      </c>
      <c r="X41" s="1261" t="s">
        <v>561</v>
      </c>
      <c r="Y41" s="160"/>
      <c r="Z41" s="160"/>
      <c r="AA41" s="157"/>
    </row>
    <row r="42" spans="1:27" ht="14.25" hidden="1">
      <c r="A42" s="1257"/>
      <c r="B42" s="1261"/>
      <c r="C42" s="1250"/>
      <c r="D42" s="1250"/>
      <c r="E42" s="1250"/>
      <c r="F42" s="1250"/>
      <c r="G42" s="1250"/>
      <c r="H42" s="1250"/>
      <c r="I42" s="1250"/>
      <c r="J42" s="1250"/>
      <c r="K42" s="1250">
        <f>G$8*M42</f>
        <v>0</v>
      </c>
      <c r="L42" s="1250">
        <f>IF($M$8&gt;=0.325,I$8,0)</f>
        <v>0</v>
      </c>
      <c r="M42" s="1250">
        <f>IF($M$8&gt;=0.325,J$8,0)</f>
        <v>0</v>
      </c>
      <c r="N42" s="1250">
        <f>IF($M$8&gt;=0.325,K$8,0)</f>
        <v>0</v>
      </c>
      <c r="O42" s="1254">
        <f>IF($M$8&gt;=0.325,L$8,0)</f>
        <v>0</v>
      </c>
      <c r="P42" s="1252" t="s">
        <v>547</v>
      </c>
      <c r="Q42" s="1253">
        <v>83</v>
      </c>
      <c r="R42" s="1254">
        <f>D8*0.87</f>
        <v>0</v>
      </c>
      <c r="S42" s="1254">
        <f>R42*Y$29</f>
        <v>0</v>
      </c>
      <c r="T42" s="1254">
        <v>0.5</v>
      </c>
      <c r="U42" s="1254">
        <f>IF(M42=0,0,R42)</f>
        <v>0</v>
      </c>
      <c r="V42" s="1484">
        <f>IF(M42=0,0,S42)</f>
        <v>0</v>
      </c>
      <c r="W42" s="1484">
        <f>IF(M42=0,0,T42)</f>
        <v>0</v>
      </c>
      <c r="X42" s="1261"/>
      <c r="Y42" s="160"/>
      <c r="Z42" s="160"/>
      <c r="AA42" s="157"/>
    </row>
    <row r="43" spans="1:27" ht="14.25" hidden="1">
      <c r="A43" s="1257"/>
      <c r="B43" s="1261"/>
      <c r="C43" s="1250"/>
      <c r="D43" s="1250"/>
      <c r="E43" s="1250"/>
      <c r="F43" s="1250"/>
      <c r="G43" s="1250"/>
      <c r="H43" s="1250"/>
      <c r="I43" s="1250"/>
      <c r="J43" s="1250"/>
      <c r="K43" s="1250">
        <f>G$8*M43</f>
        <v>0</v>
      </c>
      <c r="L43" s="1250">
        <f>IF($M$8=0,0,IF($M$8&lt;0.325,I$8,0))</f>
        <v>0</v>
      </c>
      <c r="M43" s="1250">
        <f>IF($M$8=0,0,IF($M$8&lt;0.325,J$8,0))</f>
        <v>0</v>
      </c>
      <c r="N43" s="1250">
        <f>IF($M$8=0,0,IF($M$8&lt;0.325,K$8,0))</f>
        <v>0</v>
      </c>
      <c r="O43" s="1254">
        <f>IF($M$8=0,0,IF($M$8&lt;0.325,L$8,0))</f>
        <v>0</v>
      </c>
      <c r="P43" s="1252" t="s">
        <v>555</v>
      </c>
      <c r="Q43" s="1253">
        <v>84</v>
      </c>
      <c r="R43" s="1254">
        <f>D8*0.91</f>
        <v>0</v>
      </c>
      <c r="S43" s="1254">
        <f>R43*Y$33</f>
        <v>0</v>
      </c>
      <c r="T43" s="1254">
        <v>0.15</v>
      </c>
      <c r="U43" s="1254">
        <f>IF(M43=0,0,R43)</f>
        <v>0</v>
      </c>
      <c r="V43" s="1484">
        <f>IF(M43=0,0,S43)</f>
        <v>0</v>
      </c>
      <c r="W43" s="1484">
        <f>IF(M43=0,0,T43)</f>
        <v>0</v>
      </c>
      <c r="X43" s="1261"/>
      <c r="Y43" s="160"/>
      <c r="Z43" s="160"/>
      <c r="AA43" s="157"/>
    </row>
    <row r="44" spans="1:27" ht="14.25" hidden="1">
      <c r="A44" s="1257"/>
      <c r="B44" s="1261"/>
      <c r="C44" s="1250"/>
      <c r="D44" s="1250"/>
      <c r="E44" s="1250"/>
      <c r="F44" s="1250"/>
      <c r="G44" s="1250"/>
      <c r="H44" s="1250"/>
      <c r="I44" s="1250"/>
      <c r="J44" s="1250"/>
      <c r="K44" s="1250"/>
      <c r="L44" s="1250"/>
      <c r="M44" s="1250"/>
      <c r="N44" s="1250"/>
      <c r="O44" s="1254"/>
      <c r="P44" s="1252"/>
      <c r="Q44" s="1253">
        <v>85</v>
      </c>
      <c r="R44" s="1254"/>
      <c r="S44" s="1254"/>
      <c r="T44" s="1254" t="s">
        <v>561</v>
      </c>
      <c r="U44" s="1254">
        <f>SUM(U41:U43)</f>
        <v>0</v>
      </c>
      <c r="V44" s="1484">
        <f>SUM(V41:V43)</f>
        <v>0</v>
      </c>
      <c r="W44" s="1484">
        <f>SUM(W41:W43)</f>
        <v>0</v>
      </c>
      <c r="X44" s="1261"/>
      <c r="Y44" s="160"/>
      <c r="Z44" s="160"/>
      <c r="AA44" s="157"/>
    </row>
    <row r="45" spans="1:27" ht="21" hidden="1">
      <c r="A45" s="1257"/>
      <c r="B45" s="1261" t="s">
        <v>562</v>
      </c>
      <c r="C45" s="1250">
        <f>C9*$G$8</f>
        <v>0</v>
      </c>
      <c r="D45" s="1250">
        <f>$C45*D9</f>
        <v>0</v>
      </c>
      <c r="E45" s="1250">
        <f>$C45*E9</f>
        <v>0</v>
      </c>
      <c r="F45" s="1250">
        <f>$C45*F9</f>
        <v>0</v>
      </c>
      <c r="G45" s="1250">
        <f>C9-C45</f>
        <v>0</v>
      </c>
      <c r="H45" s="1250">
        <f>$G45*D9</f>
        <v>0</v>
      </c>
      <c r="I45" s="1250">
        <f>$G45*E9</f>
        <v>0</v>
      </c>
      <c r="J45" s="1250">
        <f>$G45*F9</f>
        <v>0</v>
      </c>
      <c r="K45" s="1250">
        <f>G$9*M45</f>
        <v>0</v>
      </c>
      <c r="L45" s="1250">
        <f>IF($H$9=0,I$9,0)</f>
        <v>0</v>
      </c>
      <c r="M45" s="1250">
        <f>IF($H$9=0,J$9,0)</f>
        <v>0</v>
      </c>
      <c r="N45" s="1250">
        <f>IF($H$9=0,K$9,0)</f>
        <v>0</v>
      </c>
      <c r="O45" s="1254">
        <f>IF($H$9=0,L$9,0)</f>
        <v>0</v>
      </c>
      <c r="P45" s="1252" t="s">
        <v>1194</v>
      </c>
      <c r="Q45" s="1253">
        <v>86</v>
      </c>
      <c r="R45" s="1254">
        <f>D9*0.87</f>
        <v>0</v>
      </c>
      <c r="S45" s="1254">
        <f>R45*Y$29</f>
        <v>0</v>
      </c>
      <c r="T45" s="1254">
        <v>0.5</v>
      </c>
      <c r="U45" s="1254">
        <f>IF(M45=0,0,R45)</f>
        <v>0</v>
      </c>
      <c r="V45" s="1484">
        <f>IF(M45=0,0,S45)</f>
        <v>0</v>
      </c>
      <c r="W45" s="1484">
        <f>IF(M45=0,0,T45)</f>
        <v>0</v>
      </c>
      <c r="X45" s="1261" t="s">
        <v>562</v>
      </c>
      <c r="Y45" s="160"/>
      <c r="Z45" s="160"/>
      <c r="AA45" s="157"/>
    </row>
    <row r="46" spans="1:27" ht="14.25" hidden="1">
      <c r="A46" s="1257"/>
      <c r="B46" s="1261"/>
      <c r="C46" s="1250"/>
      <c r="D46" s="1250"/>
      <c r="E46" s="1250"/>
      <c r="F46" s="1250"/>
      <c r="G46" s="1250"/>
      <c r="H46" s="1250"/>
      <c r="I46" s="1250"/>
      <c r="J46" s="1250"/>
      <c r="K46" s="1250">
        <f>G$9*M46</f>
        <v>0</v>
      </c>
      <c r="L46" s="1250">
        <f>IF($M$9&gt;=0.325,I$9,0)</f>
        <v>0</v>
      </c>
      <c r="M46" s="1250">
        <f>IF($M$9&gt;=0.325,J$9,0)</f>
        <v>0</v>
      </c>
      <c r="N46" s="1250">
        <f>IF($M$9&gt;=0.325,K$9,0)</f>
        <v>0</v>
      </c>
      <c r="O46" s="1254">
        <f>IF($M$9&gt;=0.325,L$9,0)</f>
        <v>0</v>
      </c>
      <c r="P46" s="1252" t="s">
        <v>547</v>
      </c>
      <c r="Q46" s="1253">
        <v>87</v>
      </c>
      <c r="R46" s="1254">
        <f>D9*0.87</f>
        <v>0</v>
      </c>
      <c r="S46" s="1254">
        <f>R46*Y$29</f>
        <v>0</v>
      </c>
      <c r="T46" s="1254">
        <v>0.5</v>
      </c>
      <c r="U46" s="1254">
        <f>IF(M46=0,0,R46)</f>
        <v>0</v>
      </c>
      <c r="V46" s="1484">
        <f>IF(M46=0,0,S46)</f>
        <v>0</v>
      </c>
      <c r="W46" s="1484">
        <f>IF(M46=0,0,T46)</f>
        <v>0</v>
      </c>
      <c r="X46" s="1261"/>
      <c r="Y46" s="160"/>
      <c r="Z46" s="160"/>
      <c r="AA46" s="157"/>
    </row>
    <row r="47" spans="1:27" ht="14.25" hidden="1">
      <c r="A47" s="1257"/>
      <c r="B47" s="1261"/>
      <c r="C47" s="1250"/>
      <c r="D47" s="1250"/>
      <c r="E47" s="1250"/>
      <c r="F47" s="1250"/>
      <c r="G47" s="1250"/>
      <c r="H47" s="1250"/>
      <c r="I47" s="1250"/>
      <c r="J47" s="1250"/>
      <c r="K47" s="1250">
        <f>G$9*M47</f>
        <v>0</v>
      </c>
      <c r="L47" s="1250">
        <f>IF($M$9=0,0,IF($M$9&lt;0.325,I$9,0))</f>
        <v>0</v>
      </c>
      <c r="M47" s="1250">
        <f>IF($M$9=0,0,IF($M$9&lt;0.325,J$9,0))</f>
        <v>0</v>
      </c>
      <c r="N47" s="1250">
        <f>IF($M$9=0,0,IF($M$9&lt;0.325,K$9,0))</f>
        <v>0</v>
      </c>
      <c r="O47" s="1254">
        <f>IF($M$9=0,0,IF($M$9&lt;0.325,L$9,0))</f>
        <v>0</v>
      </c>
      <c r="P47" s="1252" t="s">
        <v>555</v>
      </c>
      <c r="Q47" s="1253">
        <v>88</v>
      </c>
      <c r="R47" s="1254">
        <f>D9*0.91</f>
        <v>0</v>
      </c>
      <c r="S47" s="1254">
        <f>R47*Y$33</f>
        <v>0</v>
      </c>
      <c r="T47" s="1254">
        <v>0.15</v>
      </c>
      <c r="U47" s="1254">
        <f>IF(M47=0,0,R47)</f>
        <v>0</v>
      </c>
      <c r="V47" s="1484">
        <f>IF(M47=0,0,S47)</f>
        <v>0</v>
      </c>
      <c r="W47" s="1484">
        <f>IF(M47=0,0,T47)</f>
        <v>0</v>
      </c>
      <c r="X47" s="1261"/>
      <c r="Y47" s="160"/>
      <c r="Z47" s="160"/>
      <c r="AA47" s="157"/>
    </row>
    <row r="48" spans="1:27" ht="14.25" hidden="1">
      <c r="A48" s="1257"/>
      <c r="B48" s="1261"/>
      <c r="C48" s="1250"/>
      <c r="D48" s="1250"/>
      <c r="E48" s="1250"/>
      <c r="F48" s="1250"/>
      <c r="G48" s="1250"/>
      <c r="H48" s="1250"/>
      <c r="I48" s="1250"/>
      <c r="J48" s="1250"/>
      <c r="K48" s="1250"/>
      <c r="L48" s="1250"/>
      <c r="M48" s="1250"/>
      <c r="N48" s="1250"/>
      <c r="O48" s="1254"/>
      <c r="P48" s="1252"/>
      <c r="Q48" s="1253">
        <v>89</v>
      </c>
      <c r="R48" s="1254"/>
      <c r="S48" s="1254"/>
      <c r="T48" s="1254" t="s">
        <v>562</v>
      </c>
      <c r="U48" s="1254">
        <f>SUM(U45:U47)</f>
        <v>0</v>
      </c>
      <c r="V48" s="1484">
        <f>SUM(V45:V47)</f>
        <v>0</v>
      </c>
      <c r="W48" s="1484">
        <f>SUM(W45:W47)</f>
        <v>0</v>
      </c>
      <c r="X48" s="1261"/>
      <c r="Y48" s="160"/>
      <c r="Z48" s="160"/>
      <c r="AA48" s="157"/>
    </row>
    <row r="49" spans="1:27" ht="21" hidden="1">
      <c r="A49" s="1257"/>
      <c r="B49" s="1261" t="s">
        <v>563</v>
      </c>
      <c r="C49" s="1250">
        <f>C11*$G$11</f>
        <v>0</v>
      </c>
      <c r="D49" s="1250">
        <f>$C11*D11*$G$11</f>
        <v>0</v>
      </c>
      <c r="E49" s="1250">
        <f>$C11*E11*$G$11</f>
        <v>0</v>
      </c>
      <c r="F49" s="1250">
        <f>$C11*F11*$G$11</f>
        <v>0</v>
      </c>
      <c r="G49" s="1250">
        <f>C11-C49</f>
        <v>0</v>
      </c>
      <c r="H49" s="1250">
        <f>$G49*D11</f>
        <v>0</v>
      </c>
      <c r="I49" s="1250">
        <f>$G49*E11</f>
        <v>0</v>
      </c>
      <c r="J49" s="1250">
        <f>$G49*F11</f>
        <v>0</v>
      </c>
      <c r="K49" s="1250">
        <f t="shared" ref="K49:K56" si="6">G$11*M49</f>
        <v>0</v>
      </c>
      <c r="L49" s="1250">
        <f>IF($H$11=0,I$11,0)</f>
        <v>0</v>
      </c>
      <c r="M49" s="1250">
        <f>IF($H$11=0,J$11,0)</f>
        <v>0</v>
      </c>
      <c r="N49" s="1250">
        <f>IF($H$11=0,K$11,0)</f>
        <v>0</v>
      </c>
      <c r="O49" s="1254">
        <f>IF($H$11=0,L$11,0)</f>
        <v>0</v>
      </c>
      <c r="P49" s="1252" t="s">
        <v>1193</v>
      </c>
      <c r="Q49" s="1253">
        <v>94</v>
      </c>
      <c r="R49" s="1254">
        <f>D$11*0.87</f>
        <v>0</v>
      </c>
      <c r="S49" s="1254">
        <f>R49*Y$31</f>
        <v>0</v>
      </c>
      <c r="T49" s="1254">
        <v>0.65</v>
      </c>
      <c r="U49" s="1254">
        <f t="shared" ref="U49:U56" si="7">IF(M49=0,0,R49)</f>
        <v>0</v>
      </c>
      <c r="V49" s="1484">
        <f t="shared" ref="V49:V56" si="8">IF(M49=0,0,S49)</f>
        <v>0</v>
      </c>
      <c r="W49" s="1484">
        <f t="shared" ref="W49:W56" si="9">IF(M49=0,0,T49)</f>
        <v>0</v>
      </c>
      <c r="X49" s="1261" t="s">
        <v>563</v>
      </c>
      <c r="Y49" s="160"/>
      <c r="Z49" s="160"/>
      <c r="AA49" s="157"/>
    </row>
    <row r="50" spans="1:27" ht="14.25" hidden="1">
      <c r="A50" s="1257"/>
      <c r="B50" s="1261"/>
      <c r="C50" s="1250"/>
      <c r="D50" s="1250"/>
      <c r="E50" s="1250"/>
      <c r="F50" s="1250"/>
      <c r="G50" s="1250"/>
      <c r="H50" s="1250"/>
      <c r="I50" s="1250"/>
      <c r="J50" s="1250"/>
      <c r="K50" s="1250">
        <f t="shared" si="6"/>
        <v>0</v>
      </c>
      <c r="L50" s="1250">
        <f>IF($M$11=0,0,IF($M$11&lt;0.03,I$11,0))</f>
        <v>0</v>
      </c>
      <c r="M50" s="1250">
        <f>IF($M$11=0,0,IF($M$11&lt;0.03,J$11,0))</f>
        <v>0</v>
      </c>
      <c r="N50" s="1250">
        <f>IF($M$11=0,0,IF($M$11&lt;0.03,K$11,0))</f>
        <v>0</v>
      </c>
      <c r="O50" s="1254">
        <f>IF($M$11=0,0,IF($M$11&lt;0.03,L$11,0))</f>
        <v>0</v>
      </c>
      <c r="P50" s="1252" t="s">
        <v>526</v>
      </c>
      <c r="Q50" s="1253">
        <v>95</v>
      </c>
      <c r="R50" s="1254">
        <f>D$11*0.91</f>
        <v>0</v>
      </c>
      <c r="S50" s="1254">
        <f>R50*Y$35</f>
        <v>0</v>
      </c>
      <c r="T50" s="1254">
        <v>0.01</v>
      </c>
      <c r="U50" s="1254">
        <f t="shared" si="7"/>
        <v>0</v>
      </c>
      <c r="V50" s="1484">
        <f t="shared" si="8"/>
        <v>0</v>
      </c>
      <c r="W50" s="1484">
        <f t="shared" si="9"/>
        <v>0</v>
      </c>
      <c r="X50" s="1261"/>
      <c r="Y50" s="160"/>
      <c r="Z50" s="160"/>
      <c r="AA50" s="157"/>
    </row>
    <row r="51" spans="1:27" ht="14.25" hidden="1">
      <c r="A51" s="1257"/>
      <c r="B51" s="1261"/>
      <c r="C51" s="1250"/>
      <c r="D51" s="1250"/>
      <c r="E51" s="1250"/>
      <c r="F51" s="1250"/>
      <c r="G51" s="1250"/>
      <c r="H51" s="1250"/>
      <c r="I51" s="1250"/>
      <c r="J51" s="1250"/>
      <c r="K51" s="1250">
        <f t="shared" si="6"/>
        <v>0</v>
      </c>
      <c r="L51" s="1250">
        <f>IF(AND($M$11&gt;=0.03,$M$11&lt;0.1),I$11,0)</f>
        <v>0</v>
      </c>
      <c r="M51" s="1250">
        <f>IF(AND($M$11&gt;=0.03,$M$11&lt;0.1),J$11,0)</f>
        <v>0</v>
      </c>
      <c r="N51" s="1250">
        <f>IF(AND($M$11&gt;=0.03,$M$11&lt;0.1),K$11,0)</f>
        <v>0</v>
      </c>
      <c r="O51" s="1254">
        <f>IF(AND($M$11&gt;=0.03,$M$11&lt;0.1),L$11,0)</f>
        <v>0</v>
      </c>
      <c r="P51" s="1252" t="s">
        <v>557</v>
      </c>
      <c r="Q51" s="1253">
        <v>96</v>
      </c>
      <c r="R51" s="1254">
        <f>D$11*0.91</f>
        <v>0</v>
      </c>
      <c r="S51" s="1254">
        <f>R51*Y$34</f>
        <v>0</v>
      </c>
      <c r="T51" s="1254">
        <v>0.05</v>
      </c>
      <c r="U51" s="1254">
        <f t="shared" si="7"/>
        <v>0</v>
      </c>
      <c r="V51" s="1484">
        <f t="shared" si="8"/>
        <v>0</v>
      </c>
      <c r="W51" s="1484">
        <f t="shared" si="9"/>
        <v>0</v>
      </c>
      <c r="X51" s="1261"/>
      <c r="Y51" s="160"/>
      <c r="Z51" s="160"/>
      <c r="AA51" s="157"/>
    </row>
    <row r="52" spans="1:27" ht="14.25" hidden="1">
      <c r="A52" s="1257"/>
      <c r="B52" s="1261"/>
      <c r="C52" s="1250"/>
      <c r="D52" s="1250"/>
      <c r="E52" s="1250"/>
      <c r="F52" s="1250"/>
      <c r="G52" s="1250"/>
      <c r="H52" s="1250"/>
      <c r="I52" s="1250"/>
      <c r="J52" s="1250"/>
      <c r="K52" s="1250">
        <f t="shared" si="6"/>
        <v>0</v>
      </c>
      <c r="L52" s="1250">
        <f>IF(AND($M$11&gt;=0.1,$M$11&lt;0.325),I$11,0)</f>
        <v>0</v>
      </c>
      <c r="M52" s="1250">
        <f>IF(AND($M$11&gt;=0.1,$M$11&lt;0.325),J$11,0)</f>
        <v>0</v>
      </c>
      <c r="N52" s="1250">
        <f>IF(AND($M$11&gt;=0.1,$M$11&lt;0.325),K$11,0)</f>
        <v>0</v>
      </c>
      <c r="O52" s="1254">
        <f>IF(AND($M$11&gt;=0.1,$M$11&lt;0.325),L$11,0)</f>
        <v>0</v>
      </c>
      <c r="P52" s="1252" t="s">
        <v>555</v>
      </c>
      <c r="Q52" s="1253">
        <v>97</v>
      </c>
      <c r="R52" s="1254">
        <f>D$11*0.91</f>
        <v>0</v>
      </c>
      <c r="S52" s="1254">
        <f>R52*Y$33</f>
        <v>0</v>
      </c>
      <c r="T52" s="1254">
        <v>0.15</v>
      </c>
      <c r="U52" s="1254">
        <f t="shared" si="7"/>
        <v>0</v>
      </c>
      <c r="V52" s="1484">
        <f t="shared" si="8"/>
        <v>0</v>
      </c>
      <c r="W52" s="1484">
        <f t="shared" si="9"/>
        <v>0</v>
      </c>
      <c r="X52" s="1261"/>
      <c r="Y52" s="160"/>
      <c r="Z52" s="160"/>
      <c r="AA52" s="157"/>
    </row>
    <row r="53" spans="1:27" ht="14.25" hidden="1">
      <c r="A53" s="1257"/>
      <c r="B53" s="1261"/>
      <c r="C53" s="1250"/>
      <c r="D53" s="1250"/>
      <c r="E53" s="1250"/>
      <c r="F53" s="1250"/>
      <c r="G53" s="1250"/>
      <c r="H53" s="1250"/>
      <c r="I53" s="1250"/>
      <c r="J53" s="1250"/>
      <c r="K53" s="1250">
        <f t="shared" si="6"/>
        <v>0</v>
      </c>
      <c r="L53" s="1250">
        <f>IF(AND($M$11&gt;=0.325,$M$11&lt;0.55),I$11,0)</f>
        <v>0</v>
      </c>
      <c r="M53" s="1250">
        <f>IF(AND($M$11&gt;=0.325,$M$11&lt;0.55),J$11,0)</f>
        <v>0</v>
      </c>
      <c r="N53" s="1250">
        <f>IF(AND($M$11&gt;=0.325,$M$11&lt;0.55),K$11,0)</f>
        <v>0</v>
      </c>
      <c r="O53" s="1254">
        <f>IF(AND($M$11&gt;=0.325,$M$11&lt;0.55),L$11,0)</f>
        <v>0</v>
      </c>
      <c r="P53" s="1252" t="s">
        <v>1195</v>
      </c>
      <c r="Q53" s="1253">
        <v>98</v>
      </c>
      <c r="R53" s="1254">
        <f>D$11*0.87</f>
        <v>0</v>
      </c>
      <c r="S53" s="1254">
        <f>R53*Y$29</f>
        <v>0</v>
      </c>
      <c r="T53" s="1254">
        <v>0.5</v>
      </c>
      <c r="U53" s="1254">
        <f t="shared" si="7"/>
        <v>0</v>
      </c>
      <c r="V53" s="1484">
        <f t="shared" si="8"/>
        <v>0</v>
      </c>
      <c r="W53" s="1484">
        <f t="shared" si="9"/>
        <v>0</v>
      </c>
      <c r="X53" s="1261"/>
      <c r="Y53" s="160"/>
      <c r="Z53" s="160"/>
      <c r="AA53" s="157"/>
    </row>
    <row r="54" spans="1:27" ht="14.25" hidden="1">
      <c r="A54" s="1257"/>
      <c r="B54" s="1261"/>
      <c r="C54" s="1250"/>
      <c r="D54" s="1250"/>
      <c r="E54" s="1250"/>
      <c r="F54" s="1250"/>
      <c r="G54" s="1250"/>
      <c r="H54" s="1250"/>
      <c r="I54" s="1250"/>
      <c r="J54" s="1250"/>
      <c r="K54" s="1250">
        <f t="shared" si="6"/>
        <v>0</v>
      </c>
      <c r="L54" s="1250">
        <f>IF(AND($M$11&gt;=0.55,$M$11&lt;0.625),I$11,0)</f>
        <v>0</v>
      </c>
      <c r="M54" s="1250">
        <f>IF(AND($M$11&gt;=0.55,$M$11&lt;0.625),J$11,0)</f>
        <v>0</v>
      </c>
      <c r="N54" s="1250">
        <f>IF(AND($M$11&gt;=0.55,$M$11&lt;0.625),K$11,0)</f>
        <v>0</v>
      </c>
      <c r="O54" s="1254">
        <f>IF(AND($M$11&gt;=0.55,$M$11&lt;0.625),L$11,0)</f>
        <v>0</v>
      </c>
      <c r="P54" s="1252" t="s">
        <v>549</v>
      </c>
      <c r="Q54" s="1253">
        <v>99</v>
      </c>
      <c r="R54" s="1254">
        <f>D$11*0.87</f>
        <v>0</v>
      </c>
      <c r="S54" s="1254">
        <f>R54*Y$30</f>
        <v>0</v>
      </c>
      <c r="T54" s="1254">
        <v>0.60000000000000009</v>
      </c>
      <c r="U54" s="1254">
        <f t="shared" si="7"/>
        <v>0</v>
      </c>
      <c r="V54" s="1484">
        <f t="shared" si="8"/>
        <v>0</v>
      </c>
      <c r="W54" s="1484">
        <f t="shared" si="9"/>
        <v>0</v>
      </c>
      <c r="X54" s="1261"/>
      <c r="Y54" s="160"/>
      <c r="Z54" s="160"/>
      <c r="AA54" s="157"/>
    </row>
    <row r="55" spans="1:27" ht="14.25" hidden="1">
      <c r="A55" s="1257"/>
      <c r="B55" s="1261"/>
      <c r="C55" s="1250"/>
      <c r="D55" s="1250"/>
      <c r="E55" s="1250"/>
      <c r="F55" s="1250"/>
      <c r="G55" s="1250"/>
      <c r="H55" s="1250"/>
      <c r="I55" s="1250"/>
      <c r="J55" s="1250"/>
      <c r="K55" s="1250">
        <f t="shared" si="6"/>
        <v>0</v>
      </c>
      <c r="L55" s="1250">
        <f>IF(AND($M$11&gt;=0.625,$M$11&lt;0.775),I$11,0)</f>
        <v>0</v>
      </c>
      <c r="M55" s="1250">
        <f>IF(AND($M$11&gt;=0.625,$M$11&lt;0.775),J$11,0)</f>
        <v>0</v>
      </c>
      <c r="N55" s="1250">
        <f>IF(AND($M$11&gt;=0.625,$M$11&lt;0.775),K$11,0)</f>
        <v>0</v>
      </c>
      <c r="O55" s="1254">
        <f>IF(AND($M$11&gt;=0.625,$M$11&lt;0.775),L$11,0)</f>
        <v>0</v>
      </c>
      <c r="P55" s="1252" t="s">
        <v>551</v>
      </c>
      <c r="Q55" s="1253">
        <v>100</v>
      </c>
      <c r="R55" s="1254">
        <f>D$11*0.87</f>
        <v>0</v>
      </c>
      <c r="S55" s="1254">
        <f>R55*Y$31</f>
        <v>0</v>
      </c>
      <c r="T55" s="1254">
        <v>0.65</v>
      </c>
      <c r="U55" s="1254">
        <f t="shared" si="7"/>
        <v>0</v>
      </c>
      <c r="V55" s="1484">
        <f t="shared" si="8"/>
        <v>0</v>
      </c>
      <c r="W55" s="1484">
        <f t="shared" si="9"/>
        <v>0</v>
      </c>
      <c r="X55" s="1261"/>
      <c r="Y55" s="160"/>
      <c r="Z55" s="160"/>
      <c r="AA55" s="157"/>
    </row>
    <row r="56" spans="1:27" ht="14.25" hidden="1">
      <c r="A56" s="1257"/>
      <c r="B56" s="1261"/>
      <c r="C56" s="1250"/>
      <c r="D56" s="1250"/>
      <c r="E56" s="1250"/>
      <c r="F56" s="1250"/>
      <c r="G56" s="1250"/>
      <c r="H56" s="1250"/>
      <c r="I56" s="1250"/>
      <c r="J56" s="1250"/>
      <c r="K56" s="1250">
        <f t="shared" si="6"/>
        <v>0</v>
      </c>
      <c r="L56" s="1250">
        <f>IF($M$11&gt;=0.775,I$11,0)</f>
        <v>0</v>
      </c>
      <c r="M56" s="1250">
        <f>IF($M$11&gt;=0.775,J$11,0)</f>
        <v>0</v>
      </c>
      <c r="N56" s="1250">
        <f>IF($M$11&gt;=0.775,K$11,0)</f>
        <v>0</v>
      </c>
      <c r="O56" s="1254">
        <f>IF($M$11&gt;=0.775,L$11,0)</f>
        <v>0</v>
      </c>
      <c r="P56" s="1252" t="s">
        <v>553</v>
      </c>
      <c r="Q56" s="1253">
        <v>101</v>
      </c>
      <c r="R56" s="1254">
        <f>D$11*0.87</f>
        <v>0</v>
      </c>
      <c r="S56" s="1254">
        <f>R56*Y$32</f>
        <v>0</v>
      </c>
      <c r="T56" s="1254">
        <v>0.9</v>
      </c>
      <c r="U56" s="1254">
        <f t="shared" si="7"/>
        <v>0</v>
      </c>
      <c r="V56" s="1484">
        <f t="shared" si="8"/>
        <v>0</v>
      </c>
      <c r="W56" s="1484">
        <f t="shared" si="9"/>
        <v>0</v>
      </c>
      <c r="X56" s="1261"/>
      <c r="Y56" s="160"/>
      <c r="Z56" s="160"/>
      <c r="AA56" s="157"/>
    </row>
    <row r="57" spans="1:27" ht="14.25" hidden="1">
      <c r="A57" s="1257"/>
      <c r="B57" s="1261"/>
      <c r="C57" s="1250"/>
      <c r="D57" s="1250"/>
      <c r="E57" s="1250"/>
      <c r="F57" s="1250"/>
      <c r="G57" s="1250"/>
      <c r="H57" s="1250"/>
      <c r="I57" s="1250"/>
      <c r="J57" s="1250"/>
      <c r="K57" s="1250"/>
      <c r="L57" s="1250"/>
      <c r="M57" s="1250"/>
      <c r="N57" s="1250"/>
      <c r="O57" s="1254"/>
      <c r="P57" s="1252"/>
      <c r="Q57" s="1253">
        <v>102</v>
      </c>
      <c r="R57" s="1254"/>
      <c r="S57" s="1254"/>
      <c r="T57" s="1254" t="s">
        <v>563</v>
      </c>
      <c r="U57" s="1254">
        <f>SUM(U49:U56)</f>
        <v>0</v>
      </c>
      <c r="V57" s="1484">
        <f>SUM(V49:V56)</f>
        <v>0</v>
      </c>
      <c r="W57" s="1484">
        <f>SUM(W49:W56)</f>
        <v>0</v>
      </c>
      <c r="X57" s="1261"/>
      <c r="Y57" s="160"/>
      <c r="Z57" s="160"/>
      <c r="AA57" s="157"/>
    </row>
    <row r="58" spans="1:27" ht="21" hidden="1">
      <c r="A58" s="1257"/>
      <c r="B58" s="1261" t="s">
        <v>564</v>
      </c>
      <c r="C58" s="1250">
        <f>C12*$G$11</f>
        <v>0</v>
      </c>
      <c r="D58" s="1250">
        <f>$C12*D12*$G$11</f>
        <v>0</v>
      </c>
      <c r="E58" s="1250">
        <f>$C12*E12*$G$11</f>
        <v>0</v>
      </c>
      <c r="F58" s="1250">
        <f>$C12*F12*$G$11</f>
        <v>0</v>
      </c>
      <c r="G58" s="1250">
        <f>C12-C58</f>
        <v>0</v>
      </c>
      <c r="H58" s="1250">
        <f>$G58*D12</f>
        <v>0</v>
      </c>
      <c r="I58" s="1250">
        <f>$G58*E12</f>
        <v>0</v>
      </c>
      <c r="J58" s="1250">
        <f>$G58*F12</f>
        <v>0</v>
      </c>
      <c r="K58" s="1250">
        <f t="shared" ref="K58:K65" si="10">G$12*M58</f>
        <v>0</v>
      </c>
      <c r="L58" s="1250">
        <f>IF($H$12=0,I$12,0)</f>
        <v>0</v>
      </c>
      <c r="M58" s="1250">
        <f>IF($H$12=0,J$12,0)</f>
        <v>0</v>
      </c>
      <c r="N58" s="1250">
        <f>IF($H$12=0,K$12,0)</f>
        <v>0</v>
      </c>
      <c r="O58" s="1254">
        <f>IF($H$12=0,L$12,0)</f>
        <v>0</v>
      </c>
      <c r="P58" s="1252" t="s">
        <v>1193</v>
      </c>
      <c r="Q58" s="1253">
        <v>103</v>
      </c>
      <c r="R58" s="1254">
        <f>D$12*0.87</f>
        <v>0</v>
      </c>
      <c r="S58" s="1254">
        <f>R58*Y$31</f>
        <v>0</v>
      </c>
      <c r="T58" s="1254">
        <v>0.65</v>
      </c>
      <c r="U58" s="1254">
        <f t="shared" ref="U58:U65" si="11">IF(M58=0,0,R58)</f>
        <v>0</v>
      </c>
      <c r="V58" s="1484">
        <f t="shared" ref="V58:V65" si="12">IF(M58=0,0,S58)</f>
        <v>0</v>
      </c>
      <c r="W58" s="1484">
        <f t="shared" ref="W58:W65" si="13">IF(M58=0,0,T58)</f>
        <v>0</v>
      </c>
      <c r="X58" s="1261" t="s">
        <v>564</v>
      </c>
      <c r="Y58" s="160"/>
      <c r="Z58" s="160"/>
      <c r="AA58" s="157"/>
    </row>
    <row r="59" spans="1:27" ht="14.25" hidden="1">
      <c r="A59" s="1257"/>
      <c r="B59" s="1261"/>
      <c r="C59" s="1250"/>
      <c r="D59" s="1250"/>
      <c r="E59" s="1250"/>
      <c r="F59" s="1250"/>
      <c r="G59" s="1250"/>
      <c r="H59" s="1250"/>
      <c r="I59" s="1250"/>
      <c r="J59" s="1250"/>
      <c r="K59" s="1250">
        <f t="shared" si="10"/>
        <v>0</v>
      </c>
      <c r="L59" s="1250">
        <f>IF($M$12=0,0,IF($M$12&lt;0.03,I$12,0))</f>
        <v>0</v>
      </c>
      <c r="M59" s="1250">
        <f>IF($M$12=0,0,IF($M$12&lt;0.03,J$12,0))</f>
        <v>0</v>
      </c>
      <c r="N59" s="1250">
        <f>IF($M$12=0,0,IF($M$12&lt;0.03,K$12,0))</f>
        <v>0</v>
      </c>
      <c r="O59" s="1254">
        <f>IF($M$12=0,0,IF($M$12&lt;0.03,L$12,0))</f>
        <v>0</v>
      </c>
      <c r="P59" s="1252" t="s">
        <v>526</v>
      </c>
      <c r="Q59" s="1253">
        <v>104</v>
      </c>
      <c r="R59" s="1254">
        <f>D$12*0.91</f>
        <v>0</v>
      </c>
      <c r="S59" s="1254">
        <f>R59*Y$35</f>
        <v>0</v>
      </c>
      <c r="T59" s="1254">
        <v>0.01</v>
      </c>
      <c r="U59" s="1254">
        <f t="shared" si="11"/>
        <v>0</v>
      </c>
      <c r="V59" s="1484">
        <f t="shared" si="12"/>
        <v>0</v>
      </c>
      <c r="W59" s="1484">
        <f t="shared" si="13"/>
        <v>0</v>
      </c>
      <c r="X59" s="1261"/>
      <c r="Y59" s="160"/>
      <c r="Z59" s="160"/>
      <c r="AA59" s="157"/>
    </row>
    <row r="60" spans="1:27" ht="14.25" hidden="1">
      <c r="A60" s="1257"/>
      <c r="B60" s="1261"/>
      <c r="C60" s="1250"/>
      <c r="D60" s="1250"/>
      <c r="E60" s="1250"/>
      <c r="F60" s="1250"/>
      <c r="G60" s="1250"/>
      <c r="H60" s="1250"/>
      <c r="I60" s="1250"/>
      <c r="J60" s="1250"/>
      <c r="K60" s="1250">
        <f t="shared" si="10"/>
        <v>0</v>
      </c>
      <c r="L60" s="1250">
        <f>IF(AND($M$12&gt;=0.03,$M$12&lt;0.1),I$12,0)</f>
        <v>0</v>
      </c>
      <c r="M60" s="1250">
        <f>IF(AND($M$12&gt;=0.03,$M$12&lt;0.1),J$12,0)</f>
        <v>0</v>
      </c>
      <c r="N60" s="1250">
        <f>IF(AND($M$12&gt;=0.03,$M$12&lt;0.1),K$12,0)</f>
        <v>0</v>
      </c>
      <c r="O60" s="1254">
        <f>IF(AND($M$12&gt;=0.03,$M$12&lt;0.1),L$12,0)</f>
        <v>0</v>
      </c>
      <c r="P60" s="1252" t="s">
        <v>557</v>
      </c>
      <c r="Q60" s="1253">
        <v>105</v>
      </c>
      <c r="R60" s="1254">
        <f>D$12*0.91</f>
        <v>0</v>
      </c>
      <c r="S60" s="1254">
        <f>R60*Y$34</f>
        <v>0</v>
      </c>
      <c r="T60" s="1254">
        <v>0.05</v>
      </c>
      <c r="U60" s="1254">
        <f t="shared" si="11"/>
        <v>0</v>
      </c>
      <c r="V60" s="1484">
        <f t="shared" si="12"/>
        <v>0</v>
      </c>
      <c r="W60" s="1484">
        <f t="shared" si="13"/>
        <v>0</v>
      </c>
      <c r="X60" s="1261"/>
      <c r="Y60" s="160"/>
      <c r="Z60" s="160"/>
      <c r="AA60" s="157"/>
    </row>
    <row r="61" spans="1:27" ht="14.25" hidden="1">
      <c r="A61" s="1257"/>
      <c r="B61" s="1261"/>
      <c r="C61" s="1250"/>
      <c r="D61" s="1250"/>
      <c r="E61" s="1250"/>
      <c r="F61" s="1250"/>
      <c r="G61" s="1250"/>
      <c r="H61" s="1250"/>
      <c r="I61" s="1250"/>
      <c r="J61" s="1250"/>
      <c r="K61" s="1250">
        <f t="shared" si="10"/>
        <v>0</v>
      </c>
      <c r="L61" s="1250">
        <f>IF(AND($M$12&gt;=0.1,$M$12&lt;0.325),I$12,0)</f>
        <v>0</v>
      </c>
      <c r="M61" s="1250">
        <f>IF(AND($M$12&gt;=0.1,$M$12&lt;0.325),J$12,0)</f>
        <v>0</v>
      </c>
      <c r="N61" s="1250">
        <f>IF(AND($M$12&gt;=0.1,$M$12&lt;0.325),K$12,0)</f>
        <v>0</v>
      </c>
      <c r="O61" s="1254">
        <f>IF(AND($M$12&gt;=0.1,$M$12&lt;0.325),L$12,0)</f>
        <v>0</v>
      </c>
      <c r="P61" s="1252" t="s">
        <v>555</v>
      </c>
      <c r="Q61" s="1253">
        <v>106</v>
      </c>
      <c r="R61" s="1254">
        <f>D$12*0.91</f>
        <v>0</v>
      </c>
      <c r="S61" s="1254">
        <f>R61*Y$33</f>
        <v>0</v>
      </c>
      <c r="T61" s="1254">
        <v>0.15</v>
      </c>
      <c r="U61" s="1254">
        <f t="shared" si="11"/>
        <v>0</v>
      </c>
      <c r="V61" s="1484">
        <f t="shared" si="12"/>
        <v>0</v>
      </c>
      <c r="W61" s="1484">
        <f t="shared" si="13"/>
        <v>0</v>
      </c>
      <c r="X61" s="1261"/>
      <c r="Y61" s="160"/>
      <c r="Z61" s="160"/>
      <c r="AA61" s="157"/>
    </row>
    <row r="62" spans="1:27" ht="14.25" hidden="1">
      <c r="A62" s="1257"/>
      <c r="B62" s="1261"/>
      <c r="C62" s="1250"/>
      <c r="D62" s="1250"/>
      <c r="E62" s="1250"/>
      <c r="F62" s="1250"/>
      <c r="G62" s="1250"/>
      <c r="H62" s="1250"/>
      <c r="I62" s="1250"/>
      <c r="J62" s="1250"/>
      <c r="K62" s="1250">
        <f t="shared" si="10"/>
        <v>0</v>
      </c>
      <c r="L62" s="1250">
        <f>IF(AND($M$12&gt;=0.325,$M$12&lt;0.55),I$12,0)</f>
        <v>0</v>
      </c>
      <c r="M62" s="1250">
        <f>IF(AND($M$12&gt;=0.325,$M$12&lt;0.55),J$12,0)</f>
        <v>0</v>
      </c>
      <c r="N62" s="1250">
        <f>IF(AND($M$12&gt;=0.325,$M$12&lt;0.55),K$12,0)</f>
        <v>0</v>
      </c>
      <c r="O62" s="1254">
        <f>IF(AND($M$12&gt;=0.325,$M$12&lt;0.55),L$12,0)</f>
        <v>0</v>
      </c>
      <c r="P62" s="1252" t="s">
        <v>1195</v>
      </c>
      <c r="Q62" s="1253">
        <v>107</v>
      </c>
      <c r="R62" s="1254">
        <f>D$12*0.87</f>
        <v>0</v>
      </c>
      <c r="S62" s="1254">
        <f>R62*Y$29</f>
        <v>0</v>
      </c>
      <c r="T62" s="1254">
        <v>0.5</v>
      </c>
      <c r="U62" s="1254">
        <f t="shared" si="11"/>
        <v>0</v>
      </c>
      <c r="V62" s="1484">
        <f t="shared" si="12"/>
        <v>0</v>
      </c>
      <c r="W62" s="1484">
        <f t="shared" si="13"/>
        <v>0</v>
      </c>
      <c r="X62" s="1261"/>
      <c r="Y62" s="160"/>
      <c r="Z62" s="160"/>
      <c r="AA62" s="157"/>
    </row>
    <row r="63" spans="1:27" ht="14.25" hidden="1">
      <c r="A63" s="1257"/>
      <c r="B63" s="1261"/>
      <c r="C63" s="1250"/>
      <c r="D63" s="1250"/>
      <c r="E63" s="1250"/>
      <c r="F63" s="1250"/>
      <c r="G63" s="1250"/>
      <c r="H63" s="1250"/>
      <c r="I63" s="1250"/>
      <c r="J63" s="1250"/>
      <c r="K63" s="1250">
        <f t="shared" si="10"/>
        <v>0</v>
      </c>
      <c r="L63" s="1250">
        <f>IF(AND($M$12&gt;=0.55,$M$12&lt;0.625),I$12,0)</f>
        <v>0</v>
      </c>
      <c r="M63" s="1250">
        <f>IF(AND($M$12&gt;=0.55,$M$12&lt;0.625),J$12,0)</f>
        <v>0</v>
      </c>
      <c r="N63" s="1250">
        <f>IF(AND($M$12&gt;=0.55,$M$12&lt;0.625),K$12,0)</f>
        <v>0</v>
      </c>
      <c r="O63" s="1254">
        <f>IF(AND($M$12&gt;=0.55,$M$12&lt;0.625),L$12,0)</f>
        <v>0</v>
      </c>
      <c r="P63" s="1252" t="s">
        <v>549</v>
      </c>
      <c r="Q63" s="1253">
        <v>108</v>
      </c>
      <c r="R63" s="1254">
        <f>D$12*0.87</f>
        <v>0</v>
      </c>
      <c r="S63" s="1254">
        <f>R63*Y$30</f>
        <v>0</v>
      </c>
      <c r="T63" s="1254">
        <v>0.60000000000000009</v>
      </c>
      <c r="U63" s="1254">
        <f t="shared" si="11"/>
        <v>0</v>
      </c>
      <c r="V63" s="1484">
        <f t="shared" si="12"/>
        <v>0</v>
      </c>
      <c r="W63" s="1484">
        <f t="shared" si="13"/>
        <v>0</v>
      </c>
      <c r="X63" s="1261"/>
      <c r="Y63" s="160"/>
      <c r="Z63" s="160"/>
      <c r="AA63" s="157"/>
    </row>
    <row r="64" spans="1:27" ht="14.25" hidden="1">
      <c r="A64" s="1257"/>
      <c r="B64" s="1261"/>
      <c r="C64" s="1250"/>
      <c r="D64" s="1250"/>
      <c r="E64" s="1250"/>
      <c r="F64" s="1250"/>
      <c r="G64" s="1250"/>
      <c r="H64" s="1250"/>
      <c r="I64" s="1250"/>
      <c r="J64" s="1250"/>
      <c r="K64" s="1250">
        <f t="shared" si="10"/>
        <v>0</v>
      </c>
      <c r="L64" s="1250">
        <f>IF(AND($M$12&gt;=0.625,$M$12&lt;0.775),I$12,0)</f>
        <v>0</v>
      </c>
      <c r="M64" s="1250">
        <f>IF(AND($M$12&gt;=0.625,$M$12&lt;0.775),J$12,0)</f>
        <v>0</v>
      </c>
      <c r="N64" s="1250">
        <f>IF(AND($M$12&gt;=0.625,$M$12&lt;0.775),K$12,0)</f>
        <v>0</v>
      </c>
      <c r="O64" s="1254">
        <f>IF(AND($M$12&gt;=0.625,$M$12&lt;0.775),L$12,0)</f>
        <v>0</v>
      </c>
      <c r="P64" s="1252" t="s">
        <v>551</v>
      </c>
      <c r="Q64" s="1253">
        <v>109</v>
      </c>
      <c r="R64" s="1254">
        <f>D$12*0.87</f>
        <v>0</v>
      </c>
      <c r="S64" s="1254">
        <f>R64*Y$31</f>
        <v>0</v>
      </c>
      <c r="T64" s="1254">
        <v>0.65</v>
      </c>
      <c r="U64" s="1254">
        <f t="shared" si="11"/>
        <v>0</v>
      </c>
      <c r="V64" s="1484">
        <f t="shared" si="12"/>
        <v>0</v>
      </c>
      <c r="W64" s="1484">
        <f t="shared" si="13"/>
        <v>0</v>
      </c>
      <c r="X64" s="1261"/>
      <c r="Y64" s="160"/>
      <c r="Z64" s="160"/>
      <c r="AA64" s="157"/>
    </row>
    <row r="65" spans="1:27" ht="14.25" hidden="1">
      <c r="A65" s="1257"/>
      <c r="B65" s="1261"/>
      <c r="C65" s="1250"/>
      <c r="D65" s="1250"/>
      <c r="E65" s="1250"/>
      <c r="F65" s="1250"/>
      <c r="G65" s="1250"/>
      <c r="H65" s="1250"/>
      <c r="I65" s="1250"/>
      <c r="J65" s="1250"/>
      <c r="K65" s="1250">
        <f t="shared" si="10"/>
        <v>0</v>
      </c>
      <c r="L65" s="1250">
        <f>IF($M$12&gt;=0.775,I$12,0)</f>
        <v>0</v>
      </c>
      <c r="M65" s="1250">
        <f>IF($M$12&gt;=0.775,J$12,0)</f>
        <v>0</v>
      </c>
      <c r="N65" s="1250">
        <f>IF($M$12&gt;=0.775,K$12,0)</f>
        <v>0</v>
      </c>
      <c r="O65" s="1254">
        <f>IF($M$12&gt;=0.775,L$12,0)</f>
        <v>0</v>
      </c>
      <c r="P65" s="1252" t="s">
        <v>553</v>
      </c>
      <c r="Q65" s="1253">
        <v>110</v>
      </c>
      <c r="R65" s="1254">
        <f>D$12*0.87</f>
        <v>0</v>
      </c>
      <c r="S65" s="1254">
        <f>R65*Y$32</f>
        <v>0</v>
      </c>
      <c r="T65" s="1254">
        <v>0.9</v>
      </c>
      <c r="U65" s="1254">
        <f t="shared" si="11"/>
        <v>0</v>
      </c>
      <c r="V65" s="1484">
        <f t="shared" si="12"/>
        <v>0</v>
      </c>
      <c r="W65" s="1484">
        <f t="shared" si="13"/>
        <v>0</v>
      </c>
      <c r="X65" s="1261"/>
      <c r="Y65" s="160"/>
      <c r="Z65" s="160"/>
      <c r="AA65" s="157"/>
    </row>
    <row r="66" spans="1:27" ht="14.25" hidden="1">
      <c r="A66" s="1257"/>
      <c r="B66" s="1261"/>
      <c r="C66" s="1250"/>
      <c r="D66" s="1250"/>
      <c r="E66" s="1250"/>
      <c r="F66" s="1250"/>
      <c r="G66" s="1250"/>
      <c r="H66" s="1250"/>
      <c r="I66" s="1250"/>
      <c r="J66" s="1250"/>
      <c r="K66" s="1250"/>
      <c r="L66" s="1250"/>
      <c r="M66" s="1250"/>
      <c r="N66" s="1250"/>
      <c r="O66" s="1254"/>
      <c r="P66" s="1252"/>
      <c r="Q66" s="1253">
        <v>111</v>
      </c>
      <c r="R66" s="1254"/>
      <c r="S66" s="1254"/>
      <c r="T66" s="1254" t="s">
        <v>564</v>
      </c>
      <c r="U66" s="1254">
        <f>SUM(U58:U65)</f>
        <v>0</v>
      </c>
      <c r="V66" s="1484">
        <f>SUM(V58:V65)</f>
        <v>0</v>
      </c>
      <c r="W66" s="1484">
        <f>SUM(W58:W65)</f>
        <v>0</v>
      </c>
      <c r="X66" s="1261"/>
      <c r="Y66" s="160"/>
      <c r="Z66" s="160"/>
      <c r="AA66" s="157"/>
    </row>
    <row r="67" spans="1:27" hidden="1">
      <c r="A67" s="1257"/>
      <c r="B67" s="1262"/>
      <c r="C67" s="1250"/>
      <c r="D67" s="1263">
        <f>SUM(D29:D66)</f>
        <v>0</v>
      </c>
      <c r="E67" s="1263">
        <f>SUM(E29:E66)</f>
        <v>0</v>
      </c>
      <c r="F67" s="1263">
        <f>SUM(F29:F66)</f>
        <v>0</v>
      </c>
      <c r="G67" s="1263"/>
      <c r="H67" s="1263">
        <f>SUM(H29:H66)</f>
        <v>0</v>
      </c>
      <c r="I67" s="1263">
        <f>SUM(I29:I66)</f>
        <v>0</v>
      </c>
      <c r="J67" s="1263">
        <f>SUM(J29:J66)</f>
        <v>0</v>
      </c>
      <c r="K67" s="1250"/>
      <c r="L67" s="1250">
        <f>SUM(L29:L66)</f>
        <v>0</v>
      </c>
      <c r="M67" s="1250">
        <f>SUM(M29:M66)</f>
        <v>0</v>
      </c>
      <c r="N67" s="1250">
        <f>SUM(N29:N66)</f>
        <v>0</v>
      </c>
      <c r="O67" s="1250">
        <f>SUM(O29:O66)</f>
        <v>0</v>
      </c>
      <c r="P67" s="1255"/>
      <c r="Q67" s="1255"/>
      <c r="R67" s="878"/>
      <c r="S67" s="878"/>
      <c r="T67" s="878"/>
      <c r="U67" s="878"/>
      <c r="V67" s="878"/>
      <c r="W67" s="878"/>
      <c r="X67" s="1257"/>
      <c r="Y67" s="157"/>
      <c r="Z67" s="157"/>
      <c r="AA67" s="157"/>
    </row>
    <row r="68" spans="1:27" ht="14.25" hidden="1">
      <c r="A68" s="1257"/>
      <c r="B68" s="1257"/>
      <c r="C68" s="1257"/>
      <c r="D68" s="1257"/>
      <c r="E68" s="1257"/>
      <c r="F68" s="1257"/>
      <c r="G68" s="1257"/>
      <c r="H68" s="1257"/>
      <c r="I68" s="1257"/>
      <c r="J68" s="1257"/>
      <c r="K68" s="1257"/>
      <c r="L68" s="1254" t="s">
        <v>109</v>
      </c>
      <c r="M68" s="1254" t="s">
        <v>112</v>
      </c>
      <c r="N68" s="1254" t="s">
        <v>113</v>
      </c>
      <c r="O68" s="1254" t="s">
        <v>114</v>
      </c>
      <c r="P68" s="1256"/>
      <c r="Q68" s="1256"/>
      <c r="R68" s="878"/>
      <c r="S68" s="878"/>
      <c r="T68" s="878"/>
      <c r="U68" s="878"/>
      <c r="V68" s="878"/>
      <c r="W68" s="878"/>
      <c r="X68" s="1257"/>
      <c r="Y68" s="157"/>
      <c r="Z68" s="157"/>
      <c r="AA68" s="157"/>
    </row>
    <row r="69" spans="1:27" ht="14.25" hidden="1">
      <c r="A69" s="1257"/>
      <c r="B69" s="1261" t="s">
        <v>462</v>
      </c>
      <c r="C69" s="1261" t="s">
        <v>274</v>
      </c>
      <c r="D69" s="1261" t="s">
        <v>275</v>
      </c>
      <c r="E69" s="1261" t="s">
        <v>276</v>
      </c>
      <c r="F69" s="1261" t="s">
        <v>277</v>
      </c>
      <c r="G69" s="1261" t="s">
        <v>91</v>
      </c>
      <c r="H69" s="1261" t="s">
        <v>565</v>
      </c>
      <c r="I69" s="1261" t="s">
        <v>279</v>
      </c>
      <c r="J69" s="1264"/>
      <c r="K69" s="1257"/>
      <c r="L69" s="1257"/>
      <c r="M69" s="1257"/>
      <c r="N69" s="1257"/>
      <c r="O69" s="1257"/>
      <c r="P69" s="1257"/>
      <c r="Q69" s="1257"/>
      <c r="R69" s="1257"/>
      <c r="S69" s="1257"/>
      <c r="T69" s="1257"/>
      <c r="U69" s="1257"/>
      <c r="V69" s="1257"/>
      <c r="W69" s="1257"/>
      <c r="X69" s="1257"/>
      <c r="Y69" s="157"/>
      <c r="Z69" s="157"/>
      <c r="AA69" s="157"/>
    </row>
    <row r="70" spans="1:27" ht="14.25" hidden="1">
      <c r="A70" s="1257"/>
      <c r="B70" s="1261" t="s">
        <v>566</v>
      </c>
      <c r="C70" s="1261">
        <f>K30+K36+K41+K42+K45+K46</f>
        <v>0</v>
      </c>
      <c r="D70" s="1261">
        <f>K29+K32+K35+K38</f>
        <v>0</v>
      </c>
      <c r="E70" s="1261">
        <f>K31+K37</f>
        <v>0</v>
      </c>
      <c r="F70" s="1261">
        <f>K33+K39</f>
        <v>0</v>
      </c>
      <c r="G70" s="1261">
        <f>K43+K47</f>
        <v>0</v>
      </c>
      <c r="H70" s="1261"/>
      <c r="I70" s="1261"/>
      <c r="J70" s="1264">
        <f>SUM(C70:I70)</f>
        <v>0</v>
      </c>
      <c r="K70" s="1257"/>
      <c r="L70" s="1257"/>
      <c r="M70" s="1257"/>
      <c r="N70" s="1257"/>
      <c r="O70" s="1257"/>
      <c r="P70" s="1257"/>
      <c r="Q70" s="1257"/>
      <c r="R70" s="1257"/>
      <c r="S70" s="1257"/>
      <c r="T70" s="1257"/>
      <c r="U70" s="1257"/>
      <c r="V70" s="1257"/>
      <c r="W70" s="1257"/>
      <c r="X70" s="1257"/>
      <c r="Y70" s="157"/>
      <c r="Z70" s="157"/>
      <c r="AA70" s="157"/>
    </row>
    <row r="71" spans="1:27" ht="14.25" hidden="1">
      <c r="A71" s="1257"/>
      <c r="B71" s="1261" t="s">
        <v>567</v>
      </c>
      <c r="C71" s="1261">
        <f>K53+K62</f>
        <v>0</v>
      </c>
      <c r="D71" s="1261">
        <f>K49+K55+K58+K64</f>
        <v>0</v>
      </c>
      <c r="E71" s="1261">
        <f>K54+K63</f>
        <v>0</v>
      </c>
      <c r="F71" s="1261">
        <f>K56+K65</f>
        <v>0</v>
      </c>
      <c r="G71" s="1261">
        <f>K52+K61</f>
        <v>0</v>
      </c>
      <c r="H71" s="1261">
        <f>K51+K60</f>
        <v>0</v>
      </c>
      <c r="I71" s="1261">
        <f>K50+K59</f>
        <v>0</v>
      </c>
      <c r="J71" s="1264">
        <f>SUM(C71:I71)</f>
        <v>0</v>
      </c>
      <c r="K71" s="1257"/>
      <c r="L71" s="1257"/>
      <c r="M71" s="1257"/>
      <c r="N71" s="1257"/>
      <c r="O71" s="1257"/>
      <c r="P71" s="1257"/>
      <c r="Q71" s="1257"/>
      <c r="R71" s="1257"/>
      <c r="S71" s="1257"/>
      <c r="T71" s="1257"/>
      <c r="U71" s="1257"/>
      <c r="V71" s="1257"/>
      <c r="W71" s="1257"/>
      <c r="X71" s="1257"/>
      <c r="Y71" s="157"/>
      <c r="Z71" s="157"/>
      <c r="AA71" s="157"/>
    </row>
    <row r="72" spans="1:27" ht="14.25" hidden="1">
      <c r="A72" s="1257"/>
      <c r="B72" s="1261" t="s">
        <v>568</v>
      </c>
      <c r="C72" s="1261">
        <f t="shared" ref="C72:I72" si="14">SUM(C70:C71)</f>
        <v>0</v>
      </c>
      <c r="D72" s="1261">
        <f t="shared" si="14"/>
        <v>0</v>
      </c>
      <c r="E72" s="1261">
        <f t="shared" si="14"/>
        <v>0</v>
      </c>
      <c r="F72" s="1261">
        <f t="shared" si="14"/>
        <v>0</v>
      </c>
      <c r="G72" s="1261">
        <f t="shared" si="14"/>
        <v>0</v>
      </c>
      <c r="H72" s="1261">
        <f t="shared" si="14"/>
        <v>0</v>
      </c>
      <c r="I72" s="1261">
        <f t="shared" si="14"/>
        <v>0</v>
      </c>
      <c r="J72" s="1264">
        <f>SUM(C72:I72)</f>
        <v>0</v>
      </c>
      <c r="K72" s="1257"/>
      <c r="L72" s="1257"/>
      <c r="M72" s="1257"/>
      <c r="N72" s="1257"/>
      <c r="O72" s="1257"/>
      <c r="P72" s="1257"/>
      <c r="Q72" s="1257"/>
      <c r="R72" s="1257"/>
      <c r="S72" s="1257"/>
      <c r="T72" s="1257"/>
      <c r="U72" s="1257"/>
      <c r="V72" s="1257"/>
      <c r="W72" s="1257"/>
      <c r="X72" s="1257"/>
      <c r="Y72" s="157"/>
      <c r="Z72" s="157"/>
      <c r="AA72" s="157"/>
    </row>
    <row r="73" spans="1:27">
      <c r="A73" s="1257"/>
      <c r="B73" s="1257"/>
      <c r="C73" s="1257"/>
      <c r="D73" s="1257"/>
      <c r="E73" s="1257"/>
      <c r="F73" s="1257"/>
      <c r="G73" s="1257"/>
      <c r="H73" s="1257"/>
      <c r="I73" s="1257"/>
      <c r="J73" s="1257"/>
      <c r="K73" s="1257"/>
      <c r="L73" s="1257"/>
      <c r="M73" s="1257"/>
      <c r="N73" s="1257"/>
      <c r="O73" s="1257"/>
      <c r="P73" s="1257"/>
      <c r="Q73" s="1257"/>
      <c r="R73" s="1257"/>
      <c r="S73" s="1257"/>
      <c r="T73" s="1257"/>
      <c r="U73" s="1257"/>
      <c r="V73" s="1257"/>
      <c r="W73" s="1257"/>
      <c r="X73" s="1257"/>
      <c r="Y73" s="747"/>
      <c r="Z73" s="747"/>
      <c r="AA73" s="747"/>
    </row>
    <row r="74" spans="1:27">
      <c r="A74" s="878"/>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747"/>
      <c r="Z74" s="747"/>
      <c r="AA74" s="747"/>
    </row>
    <row r="75" spans="1:27">
      <c r="A75" s="878"/>
      <c r="B75" s="878"/>
      <c r="C75" s="878"/>
      <c r="D75" s="878"/>
      <c r="E75" s="878"/>
      <c r="F75" s="878"/>
      <c r="G75" s="878"/>
      <c r="H75" s="878"/>
      <c r="I75" s="878"/>
      <c r="J75" s="878"/>
      <c r="K75" s="878"/>
      <c r="L75" s="878"/>
      <c r="M75" s="878"/>
      <c r="N75" s="878"/>
      <c r="O75" s="878"/>
      <c r="P75" s="878"/>
      <c r="Q75" s="878"/>
      <c r="R75" s="878"/>
      <c r="S75" s="878"/>
      <c r="T75" s="878"/>
      <c r="U75" s="878"/>
      <c r="V75" s="878"/>
      <c r="W75" s="878"/>
      <c r="X75" s="878"/>
    </row>
    <row r="76" spans="1:27">
      <c r="A76" s="878"/>
      <c r="B76" s="878"/>
      <c r="C76" s="878"/>
      <c r="D76" s="878"/>
      <c r="E76" s="878"/>
      <c r="F76" s="878"/>
      <c r="G76" s="878"/>
      <c r="H76" s="878"/>
      <c r="I76" s="878"/>
      <c r="J76" s="878"/>
      <c r="K76" s="878"/>
      <c r="L76" s="878"/>
      <c r="M76" s="878"/>
      <c r="N76" s="878"/>
      <c r="O76" s="878"/>
      <c r="P76" s="878"/>
      <c r="Q76" s="878"/>
      <c r="R76" s="878"/>
      <c r="S76" s="878"/>
      <c r="T76" s="878"/>
      <c r="U76" s="878"/>
      <c r="V76" s="878"/>
      <c r="W76" s="878"/>
      <c r="X76" s="878"/>
    </row>
    <row r="77" spans="1:27">
      <c r="A77" s="878"/>
      <c r="B77" s="878"/>
      <c r="C77" s="878"/>
      <c r="D77" s="878"/>
      <c r="E77" s="878"/>
      <c r="F77" s="878"/>
      <c r="G77" s="878"/>
      <c r="H77" s="878"/>
      <c r="I77" s="878"/>
      <c r="J77" s="878"/>
      <c r="K77" s="878"/>
      <c r="L77" s="878"/>
      <c r="M77" s="878"/>
      <c r="N77" s="878"/>
      <c r="O77" s="878"/>
      <c r="P77" s="878"/>
      <c r="Q77" s="878"/>
      <c r="R77" s="878"/>
      <c r="S77" s="878"/>
      <c r="T77" s="878"/>
      <c r="U77" s="878"/>
      <c r="V77" s="878"/>
      <c r="W77" s="878"/>
      <c r="X77" s="878"/>
    </row>
    <row r="78" spans="1:27">
      <c r="X78" s="172"/>
    </row>
    <row r="79" spans="1:27">
      <c r="X79" s="172"/>
    </row>
    <row r="82" spans="24:24">
      <c r="X82" s="172"/>
    </row>
    <row r="83" spans="24:24">
      <c r="X83" s="172"/>
    </row>
    <row r="84" spans="24:24">
      <c r="X84" s="1120"/>
    </row>
    <row r="85" spans="24:24">
      <c r="X85" s="1120"/>
    </row>
    <row r="86" spans="24:24">
      <c r="X86" s="1120"/>
    </row>
    <row r="87" spans="24:24">
      <c r="X87" s="1120"/>
    </row>
    <row r="88" spans="24:24">
      <c r="X88" s="1120"/>
    </row>
    <row r="89" spans="24:24">
      <c r="X89" s="1120"/>
    </row>
    <row r="90" spans="24:24">
      <c r="X90" s="1120"/>
    </row>
    <row r="91" spans="24:24">
      <c r="X91" s="1120"/>
    </row>
    <row r="92" spans="24:24">
      <c r="X92" s="1120"/>
    </row>
    <row r="93" spans="24:24">
      <c r="X93" s="1120"/>
    </row>
  </sheetData>
  <sheetProtection algorithmName="SHA-512" hashValue="0SUPjmf1azEr8XNonPLGbSodFpk5k3ZG7kkc/Qf1NRrit7c2+7wHqFJCysYcRMdctkcSUlFRJN0rnYSubix3Iw==" saltValue="slvvfTMJZHJRAEkyTsD4Dg==" spinCount="100000" sheet="1" formatCells="0"/>
  <mergeCells count="12">
    <mergeCell ref="G14:H14"/>
    <mergeCell ref="M14:N14"/>
    <mergeCell ref="L1:M1"/>
    <mergeCell ref="G15:H15"/>
    <mergeCell ref="M15:N15"/>
    <mergeCell ref="G16:H17"/>
    <mergeCell ref="M16:N17"/>
    <mergeCell ref="G18:H18"/>
    <mergeCell ref="M18:N18"/>
    <mergeCell ref="B21:B22"/>
    <mergeCell ref="L21:L22"/>
    <mergeCell ref="M21:N22"/>
  </mergeCells>
  <hyperlinks>
    <hyperlink ref="L1" location="Tiere!B3" display="◄"/>
    <hyperlink ref="L1:M1" location="Mineral_Dü!A1" display="◄"/>
    <hyperlink ref="M21:M24" location="Info3!B2" display="Umrechnung Düngerwirksamkeiten"/>
    <hyperlink ref="M21:N22" location="Info4!B2" display="Ermittlung des N-Gehaltes von Komposten"/>
    <hyperlink ref="N1" location="'meine Dünger'!A3" display="  ►"/>
  </hyperlinks>
  <pageMargins left="0.62992125984251968" right="0.39370078740157483" top="0.28000000000000003" bottom="0.35433070866141736" header="0.39" footer="0.15748031496062992"/>
  <pageSetup paperSize="9" scale="82" firstPageNumber="0" pageOrder="overThenDown" orientation="landscape" blackAndWhite="1" horizontalDpi="300" verticalDpi="300" r:id="rId1"/>
  <headerFooter alignWithMargins="0">
    <oddFooter>&amp;L&amp;11&amp;F</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FFC000"/>
    <pageSetUpPr fitToPage="1"/>
  </sheetPr>
  <dimension ref="A1:AQ66"/>
  <sheetViews>
    <sheetView zoomScaleNormal="100" workbookViewId="0">
      <selection activeCell="C6" sqref="C6"/>
    </sheetView>
  </sheetViews>
  <sheetFormatPr baseColWidth="10" defaultColWidth="12.7109375" defaultRowHeight="12.75"/>
  <cols>
    <col min="1" max="1" width="1.85546875" customWidth="1"/>
    <col min="2" max="2" width="6.5703125" hidden="1" customWidth="1"/>
    <col min="3" max="3" width="33.85546875" customWidth="1"/>
    <col min="4" max="4" width="9.5703125" customWidth="1"/>
    <col min="5" max="5" width="9.140625" customWidth="1"/>
    <col min="6" max="6" width="9.28515625" customWidth="1"/>
    <col min="7" max="7" width="9" customWidth="1"/>
    <col min="8" max="8" width="7" customWidth="1"/>
    <col min="9" max="9" width="7.140625" customWidth="1"/>
    <col min="10" max="10" width="7.5703125" customWidth="1"/>
    <col min="11" max="11" width="7" customWidth="1"/>
    <col min="12" max="12" width="5.7109375" customWidth="1"/>
    <col min="13" max="13" width="8.140625" customWidth="1"/>
    <col min="14" max="14" width="7.5703125" style="747" customWidth="1"/>
    <col min="15" max="15" width="27.28515625" customWidth="1"/>
    <col min="16" max="16" width="2.7109375" customWidth="1"/>
    <col min="17" max="17" width="9" style="747" customWidth="1"/>
    <col min="18" max="18" width="27.28515625" style="747" customWidth="1"/>
    <col min="19" max="19" width="3.5703125" style="747" customWidth="1"/>
    <col min="20" max="20" width="7.28515625" hidden="1" customWidth="1"/>
    <col min="21" max="21" width="27.28515625" hidden="1" customWidth="1"/>
    <col min="22" max="22" width="4.7109375" style="723" hidden="1" customWidth="1"/>
    <col min="23" max="23" width="9" style="723" hidden="1" customWidth="1"/>
    <col min="24" max="24" width="27.28515625" style="723" hidden="1" customWidth="1"/>
    <col min="25" max="25" width="6.5703125" hidden="1" customWidth="1"/>
    <col min="26" max="33" width="12.7109375" hidden="1" customWidth="1"/>
    <col min="34" max="35" width="11.5703125" hidden="1" customWidth="1"/>
    <col min="36" max="36" width="5.42578125" hidden="1" customWidth="1"/>
    <col min="37" max="37" width="8.42578125" hidden="1" customWidth="1"/>
    <col min="38" max="39" width="11.5703125" hidden="1" customWidth="1"/>
    <col min="40" max="41" width="11.5703125" customWidth="1"/>
    <col min="42" max="42" width="22.5703125" customWidth="1"/>
  </cols>
  <sheetData>
    <row r="1" spans="1:43" ht="25.5" customHeight="1">
      <c r="A1" s="878"/>
      <c r="C1" s="2449" t="s">
        <v>1261</v>
      </c>
      <c r="D1" s="2450"/>
      <c r="E1" s="2450"/>
      <c r="F1" s="2450"/>
      <c r="G1" s="2450"/>
      <c r="H1" s="2450"/>
      <c r="I1" s="2450"/>
      <c r="J1" s="2450"/>
      <c r="K1" s="2450"/>
      <c r="L1" s="2450"/>
      <c r="M1" s="2450"/>
      <c r="N1" s="2451"/>
      <c r="O1" s="1296" t="s">
        <v>0</v>
      </c>
      <c r="P1" s="2452" t="s">
        <v>1</v>
      </c>
      <c r="Q1" s="2453"/>
      <c r="R1" s="2454"/>
      <c r="S1" s="878"/>
      <c r="T1" t="s">
        <v>715</v>
      </c>
      <c r="V1"/>
      <c r="W1" t="s">
        <v>716</v>
      </c>
      <c r="X1" t="s">
        <v>717</v>
      </c>
      <c r="Y1" t="s">
        <v>113</v>
      </c>
      <c r="Z1" t="s">
        <v>114</v>
      </c>
      <c r="AJ1" s="878"/>
      <c r="AK1" s="878"/>
      <c r="AL1" s="878"/>
      <c r="AM1" s="878"/>
      <c r="AN1" s="878"/>
      <c r="AO1" s="878"/>
      <c r="AP1" s="878"/>
      <c r="AQ1" s="878"/>
    </row>
    <row r="2" spans="1:43" s="747" customFormat="1" ht="9" customHeight="1">
      <c r="A2" s="878"/>
      <c r="C2" s="1303"/>
      <c r="D2" s="1303"/>
      <c r="E2" s="1303"/>
      <c r="F2" s="1303"/>
      <c r="G2" s="1303"/>
      <c r="H2" s="1303"/>
      <c r="I2" s="1303"/>
      <c r="J2" s="1303"/>
      <c r="K2" s="1303"/>
      <c r="L2" s="1303"/>
      <c r="M2" s="1303"/>
      <c r="N2" s="1303"/>
      <c r="O2" s="1304"/>
      <c r="P2" s="1297"/>
      <c r="Q2" s="1297"/>
      <c r="R2" s="1297"/>
      <c r="S2" s="1297"/>
      <c r="T2" s="1297"/>
      <c r="U2" s="1305"/>
      <c r="V2" s="1305"/>
      <c r="W2" s="1305"/>
      <c r="X2" s="1305"/>
      <c r="AJ2" s="878"/>
      <c r="AK2" s="878"/>
      <c r="AL2" s="878"/>
      <c r="AM2" s="878"/>
      <c r="AN2" s="878"/>
      <c r="AO2" s="878"/>
      <c r="AP2" s="878"/>
      <c r="AQ2" s="878"/>
    </row>
    <row r="3" spans="1:43" ht="36" customHeight="1">
      <c r="A3" s="878"/>
      <c r="B3" t="s">
        <v>707</v>
      </c>
      <c r="C3" s="1361" t="s">
        <v>1262</v>
      </c>
      <c r="D3" s="1362" t="s">
        <v>708</v>
      </c>
      <c r="E3" s="1473" t="s">
        <v>709</v>
      </c>
      <c r="F3" s="1473" t="s">
        <v>710</v>
      </c>
      <c r="G3" s="2459" t="s">
        <v>711</v>
      </c>
      <c r="H3" s="2459"/>
      <c r="I3" s="2459"/>
      <c r="J3" s="1363" t="s">
        <v>712</v>
      </c>
      <c r="K3" s="1363" t="s">
        <v>713</v>
      </c>
      <c r="L3" s="1535" t="s">
        <v>714</v>
      </c>
      <c r="M3" s="878"/>
      <c r="N3" s="2455" t="s">
        <v>803</v>
      </c>
      <c r="O3" s="2456"/>
      <c r="P3" s="2456"/>
      <c r="Q3" s="2456"/>
      <c r="R3" s="2457"/>
      <c r="S3" s="878"/>
      <c r="T3" t="s">
        <v>718</v>
      </c>
      <c r="U3" t="s">
        <v>719</v>
      </c>
      <c r="V3" t="s">
        <v>720</v>
      </c>
      <c r="W3" t="s">
        <v>721</v>
      </c>
      <c r="X3" s="13"/>
      <c r="Y3" t="s">
        <v>722</v>
      </c>
      <c r="AJ3" s="878"/>
      <c r="AK3" s="1538" t="s">
        <v>1249</v>
      </c>
      <c r="AL3" s="1538" t="s">
        <v>971</v>
      </c>
      <c r="AM3" s="878"/>
      <c r="AN3" s="878"/>
      <c r="AO3" s="878"/>
      <c r="AP3" s="878"/>
      <c r="AQ3" s="878"/>
    </row>
    <row r="4" spans="1:43">
      <c r="A4" s="878"/>
      <c r="C4" s="1290"/>
      <c r="D4" s="729"/>
      <c r="E4" s="730"/>
      <c r="F4" s="730"/>
      <c r="G4" s="730"/>
      <c r="H4" s="730"/>
      <c r="I4" s="730"/>
      <c r="J4" s="730"/>
      <c r="K4" s="730"/>
      <c r="L4" s="1291"/>
      <c r="M4" s="878"/>
      <c r="N4" s="1520">
        <f>Hofdung!G14-Hofdung!H14</f>
        <v>0</v>
      </c>
      <c r="O4" s="741" t="str">
        <f>Tabelle1!C159</f>
        <v>Gülle/Jauche Grube 1</v>
      </c>
      <c r="P4" s="740"/>
      <c r="Q4" s="728">
        <f>Mineral_Dü!C8</f>
        <v>0</v>
      </c>
      <c r="R4" s="1521" t="str">
        <f>Tabelle1!C180</f>
        <v>Piamon</v>
      </c>
      <c r="S4" s="878"/>
      <c r="T4" s="747">
        <f t="shared" ref="T4:T17" si="0">D4+(D4*0.1)</f>
        <v>0</v>
      </c>
      <c r="U4" s="747">
        <f t="shared" ref="U4:U17" si="1">IF(L4="WD",D4+50,T4)</f>
        <v>0</v>
      </c>
      <c r="V4" s="747">
        <f t="shared" ref="V4:V17" si="2">IF(AND(L4="WD",U4&gt;T4),T4,U4)</f>
        <v>0</v>
      </c>
      <c r="W4" s="747">
        <f>IF(D4=0,0,ROUND(AK4/D4,2)*100)</f>
        <v>0</v>
      </c>
      <c r="X4" s="747">
        <f>IF(ISNUMBER($D4),$AK4*G4,0)</f>
        <v>0</v>
      </c>
      <c r="Y4" s="747">
        <f>IF(ISNUMBER($D4),$AK4*H4,0)</f>
        <v>0</v>
      </c>
      <c r="Z4" s="747">
        <f>IF(ISNUMBER($D4),$AK4*I4,0)</f>
        <v>0</v>
      </c>
      <c r="AJ4" s="878"/>
      <c r="AK4" s="878"/>
      <c r="AL4" s="878"/>
      <c r="AM4" s="878"/>
      <c r="AN4" s="878"/>
      <c r="AO4" s="878"/>
      <c r="AP4" s="878"/>
      <c r="AQ4" s="878"/>
    </row>
    <row r="5" spans="1:43" ht="18" customHeight="1">
      <c r="A5" s="878"/>
      <c r="B5" t="str">
        <f>CONCATENATE(A5," ",C5)</f>
        <v xml:space="preserve"> </v>
      </c>
      <c r="C5" s="1292"/>
      <c r="D5" s="738">
        <f>IF(ISNA(Tabelle1!W159),0,Tabelle1!W159)</f>
        <v>0</v>
      </c>
      <c r="E5" s="1306">
        <f>IF($D5=0,0,Tabelle1!X159)</f>
        <v>0</v>
      </c>
      <c r="F5" s="1307">
        <f>IF($D5=0,0,Tabelle1!Y159)</f>
        <v>0</v>
      </c>
      <c r="G5" s="732">
        <f>IF($D5=0,0,Tabelle1!Z159)</f>
        <v>0</v>
      </c>
      <c r="H5" s="732">
        <f>IF($D5=0,0,Tabelle1!AA159)</f>
        <v>0</v>
      </c>
      <c r="I5" s="732">
        <f>IF($D5=0,0,Tabelle1!AB159)</f>
        <v>0</v>
      </c>
      <c r="J5" s="1308">
        <f>IF($D5=0,0,Tabelle1!AC159)</f>
        <v>0</v>
      </c>
      <c r="K5" s="1308">
        <f>IF($D5=0,0,Tabelle1!AD159)</f>
        <v>0</v>
      </c>
      <c r="L5" s="1536">
        <f>IF($D5=0,0,Tabelle1!AE159)</f>
        <v>0</v>
      </c>
      <c r="M5" s="878"/>
      <c r="N5" s="1522">
        <f>Hofdung!G15-Hofdung!H15</f>
        <v>0</v>
      </c>
      <c r="O5" s="737" t="str">
        <f>Tabelle1!C160</f>
        <v>Gülle/Jauche Grube 2</v>
      </c>
      <c r="P5" s="740"/>
      <c r="Q5" s="728">
        <f>Mineral_Dü!C9</f>
        <v>0</v>
      </c>
      <c r="R5" s="1521" t="str">
        <f>Tabelle1!C181</f>
        <v>Kalkstickstoff</v>
      </c>
      <c r="S5" s="878"/>
      <c r="T5">
        <f t="shared" si="0"/>
        <v>0</v>
      </c>
      <c r="U5">
        <f t="shared" si="1"/>
        <v>0</v>
      </c>
      <c r="V5">
        <f t="shared" si="2"/>
        <v>0</v>
      </c>
      <c r="W5" s="747">
        <f t="shared" ref="W5:W17" si="3">IF(D5=0,0,ROUND(AK5/D5,2)*100)</f>
        <v>0</v>
      </c>
      <c r="X5" s="747">
        <f t="shared" ref="X5:X17" si="4">IF(ISNUMBER($D5),$AK5*G5,0)</f>
        <v>0</v>
      </c>
      <c r="Y5" s="747">
        <f t="shared" ref="Y5:Y17" si="5">IF(ISNUMBER($D5),$AK5*H5,0)</f>
        <v>0</v>
      </c>
      <c r="Z5" s="747">
        <f t="shared" ref="Z5:Z17" si="6">IF(ISNUMBER($D5),$AK5*I5,0)</f>
        <v>0</v>
      </c>
      <c r="AJ5" s="878"/>
      <c r="AK5" s="878">
        <f>Summen_Acker!D4</f>
        <v>0</v>
      </c>
      <c r="AL5" s="1368">
        <f>D5-AK5</f>
        <v>0</v>
      </c>
      <c r="AM5" s="878"/>
      <c r="AN5" s="878"/>
      <c r="AO5" s="878"/>
      <c r="AP5" s="878"/>
      <c r="AQ5" s="878"/>
    </row>
    <row r="6" spans="1:43" ht="18" customHeight="1">
      <c r="A6" s="878"/>
      <c r="B6" s="747" t="str">
        <f t="shared" ref="B6:B16" si="7">CONCATENATE(A6," ",C6)</f>
        <v xml:space="preserve"> </v>
      </c>
      <c r="C6" s="1292"/>
      <c r="D6" s="731">
        <f>IF(ISNA(Tabelle1!W160),0,Tabelle1!W160)</f>
        <v>0</v>
      </c>
      <c r="E6" s="1306">
        <f>IF($D6=0,0,Tabelle1!X160)</f>
        <v>0</v>
      </c>
      <c r="F6" s="1307">
        <f>IF($D6=0,0,Tabelle1!Y160)</f>
        <v>0</v>
      </c>
      <c r="G6" s="732">
        <f>IF($D6=0,0,Tabelle1!Z160)</f>
        <v>0</v>
      </c>
      <c r="H6" s="732">
        <f>IF($D6=0,0,Tabelle1!AA160)</f>
        <v>0</v>
      </c>
      <c r="I6" s="732">
        <f>IF($D6=0,0,Tabelle1!AB160)</f>
        <v>0</v>
      </c>
      <c r="J6" s="1308">
        <f>IF($D6=0,0,Tabelle1!AC160)</f>
        <v>0</v>
      </c>
      <c r="K6" s="1308">
        <f>IF($D6=0,0,Tabelle1!AD160)</f>
        <v>0</v>
      </c>
      <c r="L6" s="1536">
        <f>IF($D6=0,0,Tabelle1!AE160)</f>
        <v>0</v>
      </c>
      <c r="M6" s="878"/>
      <c r="N6" s="1522">
        <f>Hofdung!G16-Hofdung!H16</f>
        <v>0</v>
      </c>
      <c r="O6" s="737" t="str">
        <f>Tabelle1!C161</f>
        <v>Gülle/Jauche Grube 3</v>
      </c>
      <c r="P6" s="740"/>
      <c r="Q6" s="728">
        <f>Mineral_Dü!C10</f>
        <v>0</v>
      </c>
      <c r="R6" s="1521" t="str">
        <f>Tabelle1!C182</f>
        <v>Diammonphosphat</v>
      </c>
      <c r="S6" s="878"/>
      <c r="T6">
        <f t="shared" si="0"/>
        <v>0</v>
      </c>
      <c r="U6">
        <f t="shared" si="1"/>
        <v>0</v>
      </c>
      <c r="V6">
        <f t="shared" si="2"/>
        <v>0</v>
      </c>
      <c r="W6" s="747">
        <f t="shared" si="3"/>
        <v>0</v>
      </c>
      <c r="X6" s="747">
        <f t="shared" si="4"/>
        <v>0</v>
      </c>
      <c r="Y6" s="747">
        <f t="shared" si="5"/>
        <v>0</v>
      </c>
      <c r="Z6" s="747">
        <f t="shared" si="6"/>
        <v>0</v>
      </c>
      <c r="AJ6" s="878"/>
      <c r="AK6" s="878">
        <f>Summen_Acker!D5</f>
        <v>0</v>
      </c>
      <c r="AL6" s="1368">
        <f t="shared" ref="AL6:AL16" si="8">D6-AK6</f>
        <v>0</v>
      </c>
      <c r="AM6" s="878"/>
      <c r="AN6" s="878"/>
      <c r="AO6" s="878"/>
      <c r="AP6" s="878"/>
      <c r="AQ6" s="878"/>
    </row>
    <row r="7" spans="1:43" ht="18" customHeight="1">
      <c r="A7" s="878"/>
      <c r="B7" s="747" t="str">
        <f t="shared" si="7"/>
        <v xml:space="preserve"> </v>
      </c>
      <c r="C7" s="1292"/>
      <c r="D7" s="731">
        <f>IF(ISNA(Tabelle1!W161),0,Tabelle1!W161)</f>
        <v>0</v>
      </c>
      <c r="E7" s="1306">
        <f>IF($D7=0,0,Tabelle1!X161)</f>
        <v>0</v>
      </c>
      <c r="F7" s="1307">
        <f>IF($D7=0,0,Tabelle1!Y161)</f>
        <v>0</v>
      </c>
      <c r="G7" s="732">
        <f>IF($D7=0,0,Tabelle1!Z161)</f>
        <v>0</v>
      </c>
      <c r="H7" s="732">
        <f>IF($D7=0,0,Tabelle1!AA161)</f>
        <v>0</v>
      </c>
      <c r="I7" s="732">
        <f>IF($D7=0,0,Tabelle1!AB161)</f>
        <v>0</v>
      </c>
      <c r="J7" s="1308">
        <f>IF($D7=0,0,Tabelle1!AC161)</f>
        <v>0</v>
      </c>
      <c r="K7" s="1308">
        <f>IF($D7=0,0,Tabelle1!AD161)</f>
        <v>0</v>
      </c>
      <c r="L7" s="1536">
        <f>IF($D7=0,0,Tabelle1!AE161)</f>
        <v>0</v>
      </c>
      <c r="M7" s="878"/>
      <c r="N7" s="1522">
        <f>Hofdung!G17-Hofdung!H17</f>
        <v>0</v>
      </c>
      <c r="O7" s="737" t="str">
        <f>Tabelle1!C162</f>
        <v>Gülle/Jauche Grube 4</v>
      </c>
      <c r="P7" s="740"/>
      <c r="Q7" s="728">
        <f>Mineral_Dü!C11</f>
        <v>0</v>
      </c>
      <c r="R7" s="1521" t="str">
        <f>Tabelle1!C183</f>
        <v>Complex grün 20/20</v>
      </c>
      <c r="S7" s="878"/>
      <c r="T7">
        <f t="shared" si="0"/>
        <v>0</v>
      </c>
      <c r="U7">
        <f t="shared" si="1"/>
        <v>0</v>
      </c>
      <c r="V7">
        <f t="shared" si="2"/>
        <v>0</v>
      </c>
      <c r="W7" s="747">
        <f t="shared" si="3"/>
        <v>0</v>
      </c>
      <c r="X7" s="747">
        <f t="shared" si="4"/>
        <v>0</v>
      </c>
      <c r="Y7" s="747">
        <f t="shared" si="5"/>
        <v>0</v>
      </c>
      <c r="Z7" s="747">
        <f t="shared" si="6"/>
        <v>0</v>
      </c>
      <c r="AJ7" s="878"/>
      <c r="AK7" s="878">
        <f>Summen_Acker!D6</f>
        <v>0</v>
      </c>
      <c r="AL7" s="1368">
        <f t="shared" si="8"/>
        <v>0</v>
      </c>
      <c r="AM7" s="878"/>
      <c r="AN7" s="878"/>
      <c r="AO7" s="878"/>
      <c r="AP7" s="878"/>
      <c r="AQ7" s="878"/>
    </row>
    <row r="8" spans="1:43" ht="18" customHeight="1">
      <c r="A8" s="878"/>
      <c r="B8" s="747" t="str">
        <f t="shared" si="7"/>
        <v xml:space="preserve"> </v>
      </c>
      <c r="C8" s="1292"/>
      <c r="D8" s="731">
        <f>IF(ISNA(Tabelle1!W162),0,Tabelle1!W162)</f>
        <v>0</v>
      </c>
      <c r="E8" s="1306">
        <f>IF($D8=0,0,Tabelle1!X162)</f>
        <v>0</v>
      </c>
      <c r="F8" s="1307">
        <f>IF($D8=0,0,Tabelle1!Y162)</f>
        <v>0</v>
      </c>
      <c r="G8" s="732">
        <f>IF($D8=0,0,Tabelle1!Z162)</f>
        <v>0</v>
      </c>
      <c r="H8" s="732">
        <f>IF($D8=0,0,Tabelle1!AA162)</f>
        <v>0</v>
      </c>
      <c r="I8" s="732">
        <f>IF($D8=0,0,Tabelle1!AB162)</f>
        <v>0</v>
      </c>
      <c r="J8" s="1308">
        <f>IF($D8=0,0,Tabelle1!AC162)</f>
        <v>0</v>
      </c>
      <c r="K8" s="1308">
        <f>IF($D8=0,0,Tabelle1!AD162)</f>
        <v>0</v>
      </c>
      <c r="L8" s="1536">
        <f>IF($D8=0,0,Tabelle1!AE162)</f>
        <v>0</v>
      </c>
      <c r="M8" s="878"/>
      <c r="N8" s="1522">
        <f>Hofdung!G18-Hofdung!H18</f>
        <v>0</v>
      </c>
      <c r="O8" s="737" t="str">
        <f>Tabelle1!C163</f>
        <v>Mistlager</v>
      </c>
      <c r="P8" s="740"/>
      <c r="Q8" s="728">
        <f>Mineral_Dü!C12</f>
        <v>0</v>
      </c>
      <c r="R8" s="1521" t="str">
        <f>Tabelle1!C184</f>
        <v>Complex grün 26/10</v>
      </c>
      <c r="S8" s="878"/>
      <c r="T8">
        <f t="shared" si="0"/>
        <v>0</v>
      </c>
      <c r="U8">
        <f t="shared" si="1"/>
        <v>0</v>
      </c>
      <c r="V8">
        <f t="shared" si="2"/>
        <v>0</v>
      </c>
      <c r="W8" s="747">
        <f t="shared" si="3"/>
        <v>0</v>
      </c>
      <c r="X8" s="747">
        <f t="shared" si="4"/>
        <v>0</v>
      </c>
      <c r="Y8" s="747">
        <f t="shared" si="5"/>
        <v>0</v>
      </c>
      <c r="Z8" s="747">
        <f t="shared" si="6"/>
        <v>0</v>
      </c>
      <c r="AJ8" s="878"/>
      <c r="AK8" s="878">
        <f>Summen_Acker!D7</f>
        <v>0</v>
      </c>
      <c r="AL8" s="1368">
        <f t="shared" si="8"/>
        <v>0</v>
      </c>
      <c r="AM8" s="878"/>
      <c r="AN8" s="878"/>
      <c r="AO8" s="878"/>
      <c r="AP8" s="878"/>
      <c r="AQ8" s="878"/>
    </row>
    <row r="9" spans="1:43" ht="18" customHeight="1">
      <c r="A9" s="878"/>
      <c r="B9" s="747" t="str">
        <f t="shared" si="7"/>
        <v xml:space="preserve"> </v>
      </c>
      <c r="C9" s="1292"/>
      <c r="D9" s="731">
        <f>IF(ISNA(Tabelle1!W163),0,Tabelle1!W163)</f>
        <v>0</v>
      </c>
      <c r="E9" s="1306">
        <f>IF($D9=0,0,Tabelle1!X163)</f>
        <v>0</v>
      </c>
      <c r="F9" s="1307">
        <f>IF($D9=0,0,Tabelle1!Y163)</f>
        <v>0</v>
      </c>
      <c r="G9" s="732">
        <f>IF($D9=0,0,Tabelle1!Z163)</f>
        <v>0</v>
      </c>
      <c r="H9" s="732">
        <f>IF($D9=0,0,Tabelle1!AA163)</f>
        <v>0</v>
      </c>
      <c r="I9" s="732">
        <f>IF($D9=0,0,Tabelle1!AB163)</f>
        <v>0</v>
      </c>
      <c r="J9" s="1308">
        <f>IF($D9=0,0,Tabelle1!AC163)</f>
        <v>0</v>
      </c>
      <c r="K9" s="1308">
        <f>IF($D9=0,0,Tabelle1!AD163)</f>
        <v>0</v>
      </c>
      <c r="L9" s="1536">
        <f>IF($D9=0,0,Tabelle1!AE163)</f>
        <v>0</v>
      </c>
      <c r="M9" s="878"/>
      <c r="N9" s="1522">
        <f>Hofdung!G19-Hofdung!H19</f>
        <v>0</v>
      </c>
      <c r="O9" s="737" t="str">
        <f>Tabelle1!C164</f>
        <v>extra Mistlager</v>
      </c>
      <c r="P9" s="740"/>
      <c r="Q9" s="728">
        <f>Mineral_Dü!C13</f>
        <v>0</v>
      </c>
      <c r="R9" s="1521" t="str">
        <f>Tabelle1!C185</f>
        <v>DC start</v>
      </c>
      <c r="S9" s="878"/>
      <c r="T9">
        <f t="shared" si="0"/>
        <v>0</v>
      </c>
      <c r="U9">
        <f t="shared" si="1"/>
        <v>0</v>
      </c>
      <c r="V9">
        <f t="shared" si="2"/>
        <v>0</v>
      </c>
      <c r="W9" s="747">
        <f t="shared" si="3"/>
        <v>0</v>
      </c>
      <c r="X9" s="747">
        <f t="shared" si="4"/>
        <v>0</v>
      </c>
      <c r="Y9" s="747">
        <f t="shared" si="5"/>
        <v>0</v>
      </c>
      <c r="Z9" s="747">
        <f t="shared" si="6"/>
        <v>0</v>
      </c>
      <c r="AJ9" s="878"/>
      <c r="AK9" s="878">
        <f>Summen_Acker!D8</f>
        <v>0</v>
      </c>
      <c r="AL9" s="1368">
        <f t="shared" si="8"/>
        <v>0</v>
      </c>
      <c r="AM9" s="878"/>
      <c r="AN9" s="878"/>
      <c r="AO9" s="878"/>
      <c r="AP9" s="878"/>
      <c r="AQ9" s="878"/>
    </row>
    <row r="10" spans="1:43" ht="18" customHeight="1">
      <c r="A10" s="878"/>
      <c r="B10" s="747" t="str">
        <f t="shared" si="7"/>
        <v xml:space="preserve"> </v>
      </c>
      <c r="C10" s="1292"/>
      <c r="D10" s="731">
        <f>IF(ISNA(Tabelle1!W164),0,Tabelle1!W164)</f>
        <v>0</v>
      </c>
      <c r="E10" s="1306">
        <f>IF($D10=0,0,Tabelle1!X164)</f>
        <v>0</v>
      </c>
      <c r="F10" s="1307">
        <f>IF($D10=0,0,Tabelle1!Y164)</f>
        <v>0</v>
      </c>
      <c r="G10" s="732">
        <f>IF($D10=0,0,Tabelle1!Z164)</f>
        <v>0</v>
      </c>
      <c r="H10" s="732">
        <f>IF($D10=0,0,Tabelle1!AA164)</f>
        <v>0</v>
      </c>
      <c r="I10" s="732">
        <f>IF($D10=0,0,Tabelle1!AB164)</f>
        <v>0</v>
      </c>
      <c r="J10" s="1308">
        <f>IF($D10=0,0,Tabelle1!AC164)</f>
        <v>0</v>
      </c>
      <c r="K10" s="1308">
        <f>IF($D10=0,0,Tabelle1!AD164)</f>
        <v>0</v>
      </c>
      <c r="L10" s="1536">
        <f>IF($D10=0,0,Tabelle1!AE164)</f>
        <v>0</v>
      </c>
      <c r="M10" s="878"/>
      <c r="N10" s="1522">
        <f>Hofdung!G22</f>
        <v>0</v>
      </c>
      <c r="O10" s="737" t="str">
        <f>Tabelle1!C165</f>
        <v>Biogasgülle 1</v>
      </c>
      <c r="P10" s="740"/>
      <c r="Q10" s="728">
        <f>Mineral_Dü!C14</f>
        <v>0</v>
      </c>
      <c r="R10" s="1521" t="str">
        <f>Tabelle1!C186</f>
        <v>DC 37</v>
      </c>
      <c r="S10" s="878"/>
      <c r="T10">
        <f t="shared" si="0"/>
        <v>0</v>
      </c>
      <c r="U10">
        <f t="shared" si="1"/>
        <v>0</v>
      </c>
      <c r="V10">
        <f t="shared" si="2"/>
        <v>0</v>
      </c>
      <c r="W10" s="747">
        <f t="shared" si="3"/>
        <v>0</v>
      </c>
      <c r="X10" s="747">
        <f t="shared" si="4"/>
        <v>0</v>
      </c>
      <c r="Y10" s="747">
        <f t="shared" si="5"/>
        <v>0</v>
      </c>
      <c r="Z10" s="747">
        <f t="shared" si="6"/>
        <v>0</v>
      </c>
      <c r="AJ10" s="878"/>
      <c r="AK10" s="878">
        <f>Summen_Acker!D9</f>
        <v>0</v>
      </c>
      <c r="AL10" s="1368">
        <f t="shared" si="8"/>
        <v>0</v>
      </c>
      <c r="AM10" s="878"/>
      <c r="AN10" s="878"/>
      <c r="AO10" s="878"/>
      <c r="AP10" s="878"/>
      <c r="AQ10" s="878"/>
    </row>
    <row r="11" spans="1:43" ht="18" customHeight="1">
      <c r="A11" s="878"/>
      <c r="B11" s="747" t="str">
        <f t="shared" si="7"/>
        <v xml:space="preserve"> </v>
      </c>
      <c r="C11" s="1292"/>
      <c r="D11" s="731">
        <f>IF(ISNA(Tabelle1!W165),0,Tabelle1!W165)</f>
        <v>0</v>
      </c>
      <c r="E11" s="1306">
        <f>IF($D11=0,0,Tabelle1!X165)</f>
        <v>0</v>
      </c>
      <c r="F11" s="1307">
        <f>IF($D11=0,0,Tabelle1!Y165)</f>
        <v>0</v>
      </c>
      <c r="G11" s="732">
        <f>IF($D11=0,0,Tabelle1!Z165)</f>
        <v>0</v>
      </c>
      <c r="H11" s="732">
        <f>IF($D11=0,0,Tabelle1!AA165)</f>
        <v>0</v>
      </c>
      <c r="I11" s="732">
        <f>IF($D11=0,0,Tabelle1!AB165)</f>
        <v>0</v>
      </c>
      <c r="J11" s="1308">
        <f>IF($D11=0,0,Tabelle1!AC165)</f>
        <v>0</v>
      </c>
      <c r="K11" s="1308">
        <f>IF($D11=0,0,Tabelle1!AD165)</f>
        <v>0</v>
      </c>
      <c r="L11" s="1536">
        <f>IF($D11=0,0,Tabelle1!AE165)</f>
        <v>0</v>
      </c>
      <c r="M11" s="878"/>
      <c r="N11" s="1522">
        <f>Hofdung!G23</f>
        <v>0</v>
      </c>
      <c r="O11" s="737" t="str">
        <f>Tabelle1!C166</f>
        <v>Biogasgülle 2</v>
      </c>
      <c r="P11" s="740"/>
      <c r="Q11" s="742">
        <f>Mineral_Dü!C15</f>
        <v>0</v>
      </c>
      <c r="R11" s="1523" t="str">
        <f>Tabelle1!C187</f>
        <v>DC (13 / 5 / 15+15 S)</v>
      </c>
      <c r="S11" s="878"/>
      <c r="T11">
        <f t="shared" si="0"/>
        <v>0</v>
      </c>
      <c r="U11">
        <f t="shared" si="1"/>
        <v>0</v>
      </c>
      <c r="V11">
        <f t="shared" si="2"/>
        <v>0</v>
      </c>
      <c r="W11" s="747">
        <f t="shared" si="3"/>
        <v>0</v>
      </c>
      <c r="X11" s="747">
        <f t="shared" si="4"/>
        <v>0</v>
      </c>
      <c r="Y11" s="747">
        <f t="shared" si="5"/>
        <v>0</v>
      </c>
      <c r="Z11" s="747">
        <f t="shared" si="6"/>
        <v>0</v>
      </c>
      <c r="AJ11" s="878"/>
      <c r="AK11" s="878">
        <f>Summen_Acker!D10</f>
        <v>0</v>
      </c>
      <c r="AL11" s="1368">
        <f t="shared" si="8"/>
        <v>0</v>
      </c>
      <c r="AM11" s="878"/>
      <c r="AN11" s="878"/>
      <c r="AO11" s="878"/>
      <c r="AP11" s="878"/>
      <c r="AQ11" s="878"/>
    </row>
    <row r="12" spans="1:43" ht="18" customHeight="1">
      <c r="A12" s="878"/>
      <c r="B12" s="747" t="str">
        <f t="shared" si="7"/>
        <v xml:space="preserve"> </v>
      </c>
      <c r="C12" s="1292"/>
      <c r="D12" s="731">
        <f>IF(ISNA(Tabelle1!W166),0,Tabelle1!W166)</f>
        <v>0</v>
      </c>
      <c r="E12" s="1306">
        <f>IF($D12=0,0,Tabelle1!X166)</f>
        <v>0</v>
      </c>
      <c r="F12" s="1307">
        <f>IF($D12=0,0,Tabelle1!Y166)</f>
        <v>0</v>
      </c>
      <c r="G12" s="732">
        <f>IF($D12=0,0,Tabelle1!Z166)</f>
        <v>0</v>
      </c>
      <c r="H12" s="732">
        <f>IF($D12=0,0,Tabelle1!AA166)</f>
        <v>0</v>
      </c>
      <c r="I12" s="732">
        <f>IF($D12=0,0,Tabelle1!AB166)</f>
        <v>0</v>
      </c>
      <c r="J12" s="1308">
        <f>IF($D12=0,0,Tabelle1!AC166)</f>
        <v>0</v>
      </c>
      <c r="K12" s="1308">
        <f>IF($D12=0,0,Tabelle1!AD166)</f>
        <v>0</v>
      </c>
      <c r="L12" s="1536">
        <f>IF($D12=0,0,Tabelle1!AE166)</f>
        <v>0</v>
      </c>
      <c r="M12" s="878"/>
      <c r="N12" s="1522">
        <f>Hofdung!G24</f>
        <v>0</v>
      </c>
      <c r="O12" s="737" t="str">
        <f>Tabelle1!C167</f>
        <v>Biogasfeststoff 1</v>
      </c>
      <c r="P12" s="740"/>
      <c r="Q12" s="727">
        <f>Mineral_Dü!C16</f>
        <v>0</v>
      </c>
      <c r="R12" s="1524" t="str">
        <f>Tabelle1!C188</f>
        <v>DC (15 / 5 / 5+18 S)</v>
      </c>
      <c r="S12" s="878"/>
      <c r="T12">
        <f t="shared" si="0"/>
        <v>0</v>
      </c>
      <c r="U12">
        <f t="shared" si="1"/>
        <v>0</v>
      </c>
      <c r="V12">
        <f t="shared" si="2"/>
        <v>0</v>
      </c>
      <c r="W12" s="747">
        <f t="shared" si="3"/>
        <v>0</v>
      </c>
      <c r="X12" s="747">
        <f t="shared" si="4"/>
        <v>0</v>
      </c>
      <c r="Y12" s="747">
        <f t="shared" si="5"/>
        <v>0</v>
      </c>
      <c r="Z12" s="747">
        <f t="shared" si="6"/>
        <v>0</v>
      </c>
      <c r="AJ12" s="878"/>
      <c r="AK12" s="878">
        <f>Summen_Acker!D11</f>
        <v>0</v>
      </c>
      <c r="AL12" s="1368">
        <f t="shared" si="8"/>
        <v>0</v>
      </c>
      <c r="AM12" s="878"/>
      <c r="AN12" s="878"/>
      <c r="AO12" s="878"/>
      <c r="AP12" s="878"/>
      <c r="AQ12" s="878"/>
    </row>
    <row r="13" spans="1:43" ht="18" customHeight="1">
      <c r="A13" s="878"/>
      <c r="B13" s="747" t="str">
        <f t="shared" si="7"/>
        <v xml:space="preserve"> </v>
      </c>
      <c r="C13" s="1292"/>
      <c r="D13" s="731">
        <f>IF(ISNA(Tabelle1!W167),0,Tabelle1!W167)</f>
        <v>0</v>
      </c>
      <c r="E13" s="1306">
        <f>IF($D13=0,0,Tabelle1!X167)</f>
        <v>0</v>
      </c>
      <c r="F13" s="1307">
        <f>IF($D13=0,0,Tabelle1!Y167)</f>
        <v>0</v>
      </c>
      <c r="G13" s="732">
        <f>IF($D13=0,0,Tabelle1!Z167)</f>
        <v>0</v>
      </c>
      <c r="H13" s="732">
        <f>IF($D13=0,0,Tabelle1!AA167)</f>
        <v>0</v>
      </c>
      <c r="I13" s="732">
        <f>IF($D13=0,0,Tabelle1!AB167)</f>
        <v>0</v>
      </c>
      <c r="J13" s="1308">
        <f>IF($D13=0,0,Tabelle1!AC167)</f>
        <v>0</v>
      </c>
      <c r="K13" s="1308">
        <f>IF($D13=0,0,Tabelle1!AD167)</f>
        <v>0</v>
      </c>
      <c r="L13" s="1536">
        <f>IF($D13=0,0,Tabelle1!AE167)</f>
        <v>0</v>
      </c>
      <c r="M13" s="878"/>
      <c r="N13" s="1522">
        <f>Hofdung!G25</f>
        <v>0</v>
      </c>
      <c r="O13" s="737" t="str">
        <f>Tabelle1!C168</f>
        <v>Biogasfeststoff 2</v>
      </c>
      <c r="P13" s="740"/>
      <c r="Q13" s="728">
        <f>Mineral_Dü!C17</f>
        <v>0</v>
      </c>
      <c r="R13" s="1521" t="str">
        <f>Tabelle1!C189</f>
        <v>Complex orange (Linzer Pro)</v>
      </c>
      <c r="S13" s="878"/>
      <c r="T13">
        <f t="shared" si="0"/>
        <v>0</v>
      </c>
      <c r="U13">
        <f t="shared" si="1"/>
        <v>0</v>
      </c>
      <c r="V13">
        <f t="shared" si="2"/>
        <v>0</v>
      </c>
      <c r="W13" s="747">
        <f t="shared" si="3"/>
        <v>0</v>
      </c>
      <c r="X13" s="747">
        <f t="shared" si="4"/>
        <v>0</v>
      </c>
      <c r="Y13" s="747">
        <f t="shared" si="5"/>
        <v>0</v>
      </c>
      <c r="Z13" s="747">
        <f t="shared" si="6"/>
        <v>0</v>
      </c>
      <c r="AJ13" s="878"/>
      <c r="AK13" s="878">
        <f>Summen_Acker!D12</f>
        <v>0</v>
      </c>
      <c r="AL13" s="1368">
        <f t="shared" si="8"/>
        <v>0</v>
      </c>
      <c r="AM13" s="878"/>
      <c r="AN13" s="878"/>
      <c r="AO13" s="878"/>
      <c r="AP13" s="878"/>
      <c r="AQ13" s="878"/>
    </row>
    <row r="14" spans="1:43" ht="18" customHeight="1">
      <c r="A14" s="878"/>
      <c r="B14" s="747" t="str">
        <f t="shared" si="7"/>
        <v xml:space="preserve"> </v>
      </c>
      <c r="C14" s="1292"/>
      <c r="D14" s="731">
        <f>IF(ISNA(Tabelle1!W168),0,Tabelle1!W168)</f>
        <v>0</v>
      </c>
      <c r="E14" s="1306">
        <f>IF($D14=0,0,Tabelle1!X168)</f>
        <v>0</v>
      </c>
      <c r="F14" s="1307">
        <f>IF($D14=0,0,Tabelle1!Y168)</f>
        <v>0</v>
      </c>
      <c r="G14" s="732">
        <f>IF($D14=0,0,Tabelle1!Z168)</f>
        <v>0</v>
      </c>
      <c r="H14" s="732">
        <f>IF($D14=0,0,Tabelle1!AA168)</f>
        <v>0</v>
      </c>
      <c r="I14" s="732">
        <f>IF($D14=0,0,Tabelle1!AB168)</f>
        <v>0</v>
      </c>
      <c r="J14" s="1308">
        <f>IF($D14=0,0,Tabelle1!AC168)</f>
        <v>0</v>
      </c>
      <c r="K14" s="1308">
        <f>IF($D14=0,0,Tabelle1!AD168)</f>
        <v>0</v>
      </c>
      <c r="L14" s="1536">
        <f>IF($D14=0,0,Tabelle1!AE168)</f>
        <v>0</v>
      </c>
      <c r="M14" s="878"/>
      <c r="N14" s="1522">
        <f>Hofdung!G26</f>
        <v>0</v>
      </c>
      <c r="O14" s="737" t="str">
        <f>Tabelle1!C169</f>
        <v>Sek. Rohstoffe 1</v>
      </c>
      <c r="P14" s="740"/>
      <c r="Q14" s="728">
        <f>Mineral_Dü!C18</f>
        <v>0</v>
      </c>
      <c r="R14" s="1521" t="str">
        <f>Tabelle1!C190</f>
        <v>Complex gelb (Linzer Star)</v>
      </c>
      <c r="S14" s="878"/>
      <c r="T14">
        <f t="shared" si="0"/>
        <v>0</v>
      </c>
      <c r="U14">
        <f t="shared" si="1"/>
        <v>0</v>
      </c>
      <c r="V14">
        <f t="shared" si="2"/>
        <v>0</v>
      </c>
      <c r="W14" s="747">
        <f t="shared" si="3"/>
        <v>0</v>
      </c>
      <c r="X14" s="747">
        <f t="shared" si="4"/>
        <v>0</v>
      </c>
      <c r="Y14" s="747">
        <f t="shared" si="5"/>
        <v>0</v>
      </c>
      <c r="Z14" s="747">
        <f t="shared" si="6"/>
        <v>0</v>
      </c>
      <c r="AJ14" s="878"/>
      <c r="AK14" s="878">
        <f>Summen_Acker!D13</f>
        <v>0</v>
      </c>
      <c r="AL14" s="1368">
        <f t="shared" si="8"/>
        <v>0</v>
      </c>
      <c r="AM14" s="878"/>
      <c r="AN14" s="878"/>
      <c r="AO14" s="878"/>
      <c r="AP14" s="878"/>
      <c r="AQ14" s="878"/>
    </row>
    <row r="15" spans="1:43" ht="18" customHeight="1">
      <c r="A15" s="878"/>
      <c r="B15" s="747" t="str">
        <f t="shared" si="7"/>
        <v xml:space="preserve"> </v>
      </c>
      <c r="C15" s="1292"/>
      <c r="D15" s="731">
        <f>IF(ISNA(Tabelle1!W169),0,Tabelle1!W169)</f>
        <v>0</v>
      </c>
      <c r="E15" s="1306">
        <f>IF($D15=0,0,Tabelle1!X169)</f>
        <v>0</v>
      </c>
      <c r="F15" s="1307">
        <f>IF($D15=0,0,Tabelle1!Y169)</f>
        <v>0</v>
      </c>
      <c r="G15" s="732">
        <f>IF($D15=0,0,Tabelle1!Z169)</f>
        <v>0</v>
      </c>
      <c r="H15" s="732">
        <f>IF($D15=0,0,Tabelle1!AA169)</f>
        <v>0</v>
      </c>
      <c r="I15" s="732">
        <f>IF($D15=0,0,Tabelle1!AB169)</f>
        <v>0</v>
      </c>
      <c r="J15" s="1308">
        <f>IF($D15=0,0,Tabelle1!AC169)</f>
        <v>0</v>
      </c>
      <c r="K15" s="1308">
        <f>IF($D15=0,0,Tabelle1!AD169)</f>
        <v>0</v>
      </c>
      <c r="L15" s="1536">
        <f>IF($D15=0,0,Tabelle1!AE169)</f>
        <v>0</v>
      </c>
      <c r="M15" s="878"/>
      <c r="N15" s="1522">
        <f>Hofdung!G27</f>
        <v>0</v>
      </c>
      <c r="O15" s="737" t="str">
        <f>Tabelle1!C170</f>
        <v>Sek. Rohstoffe 2</v>
      </c>
      <c r="P15" s="740"/>
      <c r="Q15" s="728">
        <f>Mineral_Dü!C19</f>
        <v>0</v>
      </c>
      <c r="R15" s="1521" t="str">
        <f>Tabelle1!C191</f>
        <v>Complex blaugrün (Linzer Plus)</v>
      </c>
      <c r="S15" s="878"/>
      <c r="T15">
        <f t="shared" si="0"/>
        <v>0</v>
      </c>
      <c r="U15">
        <f t="shared" si="1"/>
        <v>0</v>
      </c>
      <c r="V15">
        <f t="shared" si="2"/>
        <v>0</v>
      </c>
      <c r="W15" s="747">
        <f t="shared" si="3"/>
        <v>0</v>
      </c>
      <c r="X15" s="747">
        <f t="shared" si="4"/>
        <v>0</v>
      </c>
      <c r="Y15" s="747">
        <f t="shared" si="5"/>
        <v>0</v>
      </c>
      <c r="Z15" s="747">
        <f t="shared" si="6"/>
        <v>0</v>
      </c>
      <c r="AJ15" s="878"/>
      <c r="AK15" s="878">
        <f>Summen_Acker!D14</f>
        <v>0</v>
      </c>
      <c r="AL15" s="1368">
        <f t="shared" si="8"/>
        <v>0</v>
      </c>
      <c r="AM15" s="878"/>
      <c r="AN15" s="878"/>
      <c r="AO15" s="878"/>
      <c r="AP15" s="878"/>
      <c r="AQ15" s="878"/>
    </row>
    <row r="16" spans="1:43" ht="18" customHeight="1">
      <c r="A16" s="878"/>
      <c r="B16" s="747" t="str">
        <f t="shared" si="7"/>
        <v xml:space="preserve"> </v>
      </c>
      <c r="C16" s="1293"/>
      <c r="D16" s="1294">
        <v>0</v>
      </c>
      <c r="E16" s="1309">
        <f>IF($D16=0,0,Tabelle1!X170)</f>
        <v>0</v>
      </c>
      <c r="F16" s="1310">
        <f>IF($D16=0,0,Tabelle1!Y170)</f>
        <v>0</v>
      </c>
      <c r="G16" s="1295">
        <f>IF($D16=0,0,Tabelle1!Z170)</f>
        <v>0</v>
      </c>
      <c r="H16" s="1295">
        <f>IF($D16=0,0,Tabelle1!AA170)</f>
        <v>0</v>
      </c>
      <c r="I16" s="1295">
        <f>IF($D16=0,0,Tabelle1!AB170)</f>
        <v>0</v>
      </c>
      <c r="J16" s="1311">
        <f>IF($D16=0,0,Tabelle1!AC170)</f>
        <v>0</v>
      </c>
      <c r="K16" s="1311">
        <f>IF($D16=0,0,Tabelle1!AD170)</f>
        <v>0</v>
      </c>
      <c r="L16" s="1537">
        <f>IF($D16=0,0,Tabelle1!AE170)</f>
        <v>0</v>
      </c>
      <c r="M16" s="878"/>
      <c r="N16" s="1522">
        <f>Hofdung!G28</f>
        <v>0</v>
      </c>
      <c r="O16" s="737" t="str">
        <f>Tabelle1!C171</f>
        <v>10_0</v>
      </c>
      <c r="P16" s="740"/>
      <c r="Q16" s="728">
        <f>Mineral_Dü!C20</f>
        <v>0</v>
      </c>
      <c r="R16" s="1521" t="str">
        <f>Tabelle1!C192</f>
        <v>Complex blau (15/5/18)</v>
      </c>
      <c r="S16" s="878"/>
      <c r="T16">
        <f t="shared" si="0"/>
        <v>0</v>
      </c>
      <c r="U16">
        <f t="shared" si="1"/>
        <v>0</v>
      </c>
      <c r="V16">
        <f t="shared" si="2"/>
        <v>0</v>
      </c>
      <c r="W16" s="747">
        <f t="shared" si="3"/>
        <v>0</v>
      </c>
      <c r="X16" s="747">
        <f t="shared" si="4"/>
        <v>0</v>
      </c>
      <c r="Y16" s="747">
        <f t="shared" si="5"/>
        <v>0</v>
      </c>
      <c r="Z16" s="747">
        <f t="shared" si="6"/>
        <v>0</v>
      </c>
      <c r="AJ16" s="878"/>
      <c r="AK16" s="878">
        <f>Summen_Acker!D15</f>
        <v>0</v>
      </c>
      <c r="AL16" s="1368">
        <f t="shared" si="8"/>
        <v>0</v>
      </c>
      <c r="AM16" s="878"/>
      <c r="AN16" s="878"/>
      <c r="AO16" s="878"/>
      <c r="AP16" s="878"/>
      <c r="AQ16" s="878"/>
    </row>
    <row r="17" spans="1:43">
      <c r="A17" s="878"/>
      <c r="B17" s="747" t="str">
        <f>CONCATENATE(A17," ",C17)</f>
        <v xml:space="preserve"> </v>
      </c>
      <c r="C17" s="1298"/>
      <c r="D17" s="1298"/>
      <c r="E17" s="1298"/>
      <c r="F17" s="1298"/>
      <c r="G17" s="1298"/>
      <c r="H17" s="1298"/>
      <c r="I17" s="1298"/>
      <c r="J17" s="1298"/>
      <c r="K17" s="1298"/>
      <c r="L17" s="1298"/>
      <c r="M17" s="878"/>
      <c r="N17" s="1522">
        <f>Hofdung!G29</f>
        <v>0</v>
      </c>
      <c r="O17" s="737" t="str">
        <f>Tabelle1!C172</f>
        <v>11_0</v>
      </c>
      <c r="P17" s="740"/>
      <c r="Q17" s="728">
        <f>Mineral_Dü!C21</f>
        <v>0</v>
      </c>
      <c r="R17" s="1521" t="str">
        <f>Tabelle1!C193</f>
        <v>Complex rot (Linzer Top)</v>
      </c>
      <c r="S17" s="878"/>
      <c r="T17">
        <f t="shared" si="0"/>
        <v>0</v>
      </c>
      <c r="U17">
        <f t="shared" si="1"/>
        <v>0</v>
      </c>
      <c r="V17">
        <f t="shared" si="2"/>
        <v>0</v>
      </c>
      <c r="W17" s="747">
        <f t="shared" si="3"/>
        <v>0</v>
      </c>
      <c r="X17" s="747">
        <f t="shared" si="4"/>
        <v>0</v>
      </c>
      <c r="Y17" s="747">
        <f t="shared" si="5"/>
        <v>0</v>
      </c>
      <c r="Z17" s="747">
        <f t="shared" si="6"/>
        <v>0</v>
      </c>
      <c r="AJ17" s="878"/>
      <c r="AK17" s="878"/>
      <c r="AL17" s="878"/>
      <c r="AM17" s="878"/>
      <c r="AN17" s="878"/>
      <c r="AO17" s="878"/>
      <c r="AP17" s="878"/>
      <c r="AQ17" s="878"/>
    </row>
    <row r="18" spans="1:43">
      <c r="A18" s="878"/>
      <c r="B18" s="817"/>
      <c r="C18" s="878"/>
      <c r="D18" s="878"/>
      <c r="E18" s="878"/>
      <c r="F18" s="878"/>
      <c r="G18" s="878"/>
      <c r="H18" s="878"/>
      <c r="I18" s="878"/>
      <c r="J18" s="878"/>
      <c r="K18" s="878"/>
      <c r="L18" s="878"/>
      <c r="M18" s="878"/>
      <c r="N18" s="1522">
        <f>Hofdung!G30</f>
        <v>0</v>
      </c>
      <c r="O18" s="737" t="str">
        <f>Tabelle1!C173</f>
        <v>12_0</v>
      </c>
      <c r="P18" s="740"/>
      <c r="Q18" s="728">
        <f>Mineral_Dü!C22</f>
        <v>0</v>
      </c>
      <c r="R18" s="1521" t="str">
        <f>Tabelle1!C194</f>
        <v>Vario 18/11/11</v>
      </c>
      <c r="S18" s="878"/>
      <c r="V18"/>
      <c r="W18"/>
      <c r="X18" s="1014">
        <f>SUM(X5:X17)</f>
        <v>0</v>
      </c>
      <c r="Y18" s="1014">
        <f>SUM(Y5:Y17)</f>
        <v>0</v>
      </c>
      <c r="Z18" s="1014">
        <f>SUM(Z5:Z17)</f>
        <v>0</v>
      </c>
      <c r="AJ18" s="878"/>
      <c r="AK18" s="878"/>
      <c r="AL18" s="878"/>
      <c r="AM18" s="878"/>
      <c r="AN18" s="878"/>
      <c r="AO18" s="878"/>
      <c r="AP18" s="878"/>
      <c r="AQ18" s="878"/>
    </row>
    <row r="19" spans="1:43" ht="17.25" customHeight="1">
      <c r="A19" s="878"/>
      <c r="B19" s="817"/>
      <c r="C19" s="1532" t="str">
        <f>IF(Tabelle1!AI173&lt;0,"Achtung! Oben in der grünen Tabelle sind noch nicht alle Dünger angelegt!",IF(Tabelle1!AI173&gt;0,"Achtung! Es wurden oben Dünger doppelt angelegt!",""))</f>
        <v/>
      </c>
      <c r="D19" s="1532"/>
      <c r="E19" s="1532"/>
      <c r="F19" s="1532"/>
      <c r="G19" s="1532"/>
      <c r="H19" s="1532"/>
      <c r="I19" s="1533"/>
      <c r="J19" s="1533"/>
      <c r="K19" s="1533"/>
      <c r="L19" s="878"/>
      <c r="M19" s="878"/>
      <c r="N19" s="1522">
        <f>Hofdung!G31</f>
        <v>0</v>
      </c>
      <c r="O19" s="737" t="str">
        <f>Tabelle1!C174</f>
        <v>13_0</v>
      </c>
      <c r="P19" s="740"/>
      <c r="Q19" s="728">
        <f>Mineral_Dü!C23</f>
        <v>0</v>
      </c>
      <c r="R19" s="1521" t="str">
        <f>Tabelle1!C195</f>
        <v>Vario 20/7/7</v>
      </c>
      <c r="S19" s="878"/>
      <c r="V19"/>
      <c r="W19"/>
      <c r="X19"/>
      <c r="AJ19" s="878"/>
      <c r="AK19" s="878"/>
      <c r="AL19" s="878"/>
      <c r="AM19" s="878"/>
      <c r="AN19" s="878"/>
      <c r="AO19" s="878"/>
      <c r="AP19" s="878"/>
      <c r="AQ19" s="878"/>
    </row>
    <row r="20" spans="1:43">
      <c r="A20" s="878"/>
      <c r="B20" s="817"/>
      <c r="C20" s="1004"/>
      <c r="D20" s="878"/>
      <c r="E20" s="878"/>
      <c r="F20" s="878"/>
      <c r="G20" s="878"/>
      <c r="H20" s="878"/>
      <c r="I20" s="878"/>
      <c r="J20" s="878"/>
      <c r="K20" s="878"/>
      <c r="L20" s="878"/>
      <c r="M20" s="878"/>
      <c r="N20" s="1522">
        <f>Mineral_Dü!C3</f>
        <v>0</v>
      </c>
      <c r="O20" s="737" t="str">
        <f>Tabelle1!C175</f>
        <v>NAC - Kalkammonsalp.</v>
      </c>
      <c r="P20" s="740"/>
      <c r="Q20" s="728">
        <f>Mineral_Dü!C24</f>
        <v>0</v>
      </c>
      <c r="R20" s="1521" t="str">
        <f>Tabelle1!C196</f>
        <v>Vario 21/7/7</v>
      </c>
      <c r="S20" s="878"/>
      <c r="T20" t="s">
        <v>718</v>
      </c>
      <c r="U20" t="s">
        <v>725</v>
      </c>
      <c r="V20" t="s">
        <v>726</v>
      </c>
      <c r="W20"/>
      <c r="X20"/>
      <c r="AJ20" s="878"/>
      <c r="AK20" s="878"/>
      <c r="AL20" s="878"/>
      <c r="AM20" s="878"/>
      <c r="AN20" s="878"/>
      <c r="AO20" s="878"/>
      <c r="AP20" s="878"/>
      <c r="AQ20" s="878"/>
    </row>
    <row r="21" spans="1:43" ht="14.25" customHeight="1">
      <c r="A21" s="878"/>
      <c r="B21" s="817"/>
      <c r="C21" s="2466" t="s">
        <v>1244</v>
      </c>
      <c r="D21" s="2467"/>
      <c r="E21" s="2467"/>
      <c r="F21" s="2467"/>
      <c r="G21" s="2467"/>
      <c r="H21" s="2468"/>
      <c r="I21" s="878"/>
      <c r="J21" s="878"/>
      <c r="K21" s="878"/>
      <c r="L21" s="878"/>
      <c r="M21" s="878"/>
      <c r="N21" s="1522">
        <f>Mineral_Dü!C4</f>
        <v>0</v>
      </c>
      <c r="O21" s="737" t="str">
        <f>Tabelle1!C176</f>
        <v>Harnstoff (Urea 46)</v>
      </c>
      <c r="P21" s="740"/>
      <c r="Q21" s="728">
        <f>Mineral_Dü!C25</f>
        <v>0</v>
      </c>
      <c r="R21" s="1521" t="str">
        <f>Tabelle1!C197</f>
        <v>1_Sonstige</v>
      </c>
      <c r="S21" s="878"/>
      <c r="T21">
        <f>I31+(I31*0.1)</f>
        <v>0</v>
      </c>
      <c r="U21" t="e">
        <f>I31/I30*100</f>
        <v>#DIV/0!</v>
      </c>
      <c r="V21" t="e">
        <f>ROUND(U21,0)</f>
        <v>#DIV/0!</v>
      </c>
      <c r="W21"/>
      <c r="X21"/>
      <c r="AJ21" s="878"/>
      <c r="AK21" s="878"/>
      <c r="AL21" s="878"/>
      <c r="AM21" s="878"/>
      <c r="AN21" s="878"/>
      <c r="AO21" s="878"/>
      <c r="AP21" s="878"/>
      <c r="AQ21" s="878"/>
    </row>
    <row r="22" spans="1:43" ht="14.25" customHeight="1">
      <c r="A22" s="878"/>
      <c r="B22" s="817"/>
      <c r="C22" s="2469"/>
      <c r="D22" s="2470"/>
      <c r="E22" s="2471"/>
      <c r="F22" s="1518" t="s">
        <v>2</v>
      </c>
      <c r="G22" s="1518" t="s">
        <v>155</v>
      </c>
      <c r="H22" s="1519" t="s">
        <v>157</v>
      </c>
      <c r="I22" s="878"/>
      <c r="J22" s="878"/>
      <c r="K22" s="878"/>
      <c r="L22" s="878"/>
      <c r="M22" s="878"/>
      <c r="N22" s="1522">
        <f>Mineral_Dü!C5</f>
        <v>0</v>
      </c>
      <c r="O22" s="737" t="str">
        <f>Tabelle1!C177</f>
        <v>AHL in kg   (34,3 % je 100 lt)*</v>
      </c>
      <c r="P22" s="740"/>
      <c r="Q22" s="728">
        <f>Mineral_Dü!C26</f>
        <v>0</v>
      </c>
      <c r="R22" s="1521" t="str">
        <f>Tabelle1!C198</f>
        <v>2_Sonstige</v>
      </c>
      <c r="S22" s="878"/>
      <c r="V22"/>
      <c r="W22"/>
      <c r="X22"/>
      <c r="AJ22" s="878"/>
      <c r="AK22" s="878"/>
      <c r="AL22" s="878"/>
      <c r="AM22" s="878"/>
      <c r="AN22" s="878"/>
      <c r="AO22" s="878"/>
      <c r="AP22" s="878"/>
      <c r="AQ22" s="878"/>
    </row>
    <row r="23" spans="1:43" ht="14.25" customHeight="1">
      <c r="A23" s="878"/>
      <c r="B23" s="817"/>
      <c r="C23" s="2462" t="s">
        <v>1247</v>
      </c>
      <c r="D23" s="2463"/>
      <c r="E23" s="2463"/>
      <c r="F23" s="1514">
        <f>Tabelle1!AX79</f>
        <v>0</v>
      </c>
      <c r="G23" s="1514">
        <f>Tabelle1!O203</f>
        <v>0</v>
      </c>
      <c r="H23" s="1515">
        <f>Tabelle1!P203</f>
        <v>0</v>
      </c>
      <c r="I23" s="878"/>
      <c r="J23" s="878"/>
      <c r="K23" s="878"/>
      <c r="L23" s="878"/>
      <c r="M23" s="878"/>
      <c r="N23" s="1522">
        <f>Mineral_Dü!C6</f>
        <v>0</v>
      </c>
      <c r="O23" s="737" t="str">
        <f>Tabelle1!C178</f>
        <v>AHL in kg   aus Bayern</v>
      </c>
      <c r="P23" s="740"/>
      <c r="Q23" s="728">
        <f>Mineral_Dü!C27</f>
        <v>0</v>
      </c>
      <c r="R23" s="1521" t="str">
        <f>Tabelle1!C199</f>
        <v>3_Sonstige</v>
      </c>
      <c r="S23" s="878"/>
      <c r="V23"/>
      <c r="W23"/>
      <c r="X23"/>
      <c r="AJ23" s="878"/>
      <c r="AK23" s="878"/>
      <c r="AL23" s="878"/>
      <c r="AM23" s="878"/>
      <c r="AN23" s="878"/>
      <c r="AO23" s="878"/>
      <c r="AP23" s="878"/>
      <c r="AQ23" s="878"/>
    </row>
    <row r="24" spans="1:43" ht="14.25" customHeight="1">
      <c r="A24" s="878"/>
      <c r="B24" s="817"/>
      <c r="C24" s="2464" t="s">
        <v>1248</v>
      </c>
      <c r="D24" s="2465"/>
      <c r="E24" s="2465"/>
      <c r="F24" s="1516">
        <f>Tabelle1!CA22</f>
        <v>0</v>
      </c>
      <c r="G24" s="1516">
        <f>Tabelle1!CI22</f>
        <v>0</v>
      </c>
      <c r="H24" s="1517">
        <f>Tabelle1!CN22</f>
        <v>0</v>
      </c>
      <c r="I24" s="878"/>
      <c r="J24" s="878"/>
      <c r="K24" s="878"/>
      <c r="L24" s="878"/>
      <c r="M24" s="878"/>
      <c r="N24" s="1525">
        <f>Mineral_Dü!C7</f>
        <v>0</v>
      </c>
      <c r="O24" s="1526" t="str">
        <f>Tabelle1!C179</f>
        <v>SSA</v>
      </c>
      <c r="P24" s="1527"/>
      <c r="Q24" s="1528">
        <f>Mineral_Dü!C28</f>
        <v>0</v>
      </c>
      <c r="R24" s="1529" t="str">
        <f>Tabelle1!C200</f>
        <v>4_Abschluß</v>
      </c>
      <c r="S24" s="878"/>
      <c r="T24" s="747"/>
      <c r="U24" s="747"/>
      <c r="V24" s="747"/>
      <c r="W24" s="747"/>
      <c r="X24" s="747"/>
      <c r="Y24" s="747"/>
      <c r="Z24" s="747"/>
      <c r="AJ24" s="878"/>
      <c r="AK24" s="878"/>
      <c r="AL24" s="878"/>
      <c r="AM24" s="878"/>
      <c r="AN24" s="878"/>
      <c r="AO24" s="878"/>
      <c r="AP24" s="878"/>
      <c r="AQ24" s="878"/>
    </row>
    <row r="25" spans="1:43">
      <c r="A25" s="878"/>
      <c r="B25" s="817"/>
      <c r="C25" s="878"/>
      <c r="D25" s="878"/>
      <c r="E25" s="878"/>
      <c r="F25" s="878"/>
      <c r="G25" s="878"/>
      <c r="H25" s="878"/>
      <c r="I25" s="878"/>
      <c r="J25" s="878"/>
      <c r="K25" s="878"/>
      <c r="L25" s="878"/>
      <c r="M25" s="878"/>
      <c r="N25" s="878"/>
      <c r="O25" s="878"/>
      <c r="P25" s="1534"/>
      <c r="Q25" s="878"/>
      <c r="R25" s="878"/>
      <c r="S25" s="878"/>
      <c r="T25" s="747"/>
      <c r="U25" s="747"/>
      <c r="V25" s="747"/>
      <c r="W25" s="747"/>
      <c r="X25" s="747"/>
      <c r="Y25" s="747"/>
      <c r="Z25" s="747"/>
      <c r="AJ25" s="878"/>
      <c r="AK25" s="878"/>
      <c r="AL25" s="878"/>
      <c r="AM25" s="878"/>
      <c r="AN25" s="878"/>
      <c r="AO25" s="878"/>
      <c r="AP25" s="878"/>
      <c r="AQ25" s="878"/>
    </row>
    <row r="26" spans="1:43">
      <c r="A26" s="878"/>
      <c r="C26" s="878"/>
      <c r="D26" s="878"/>
      <c r="E26" s="878"/>
      <c r="F26" s="878"/>
      <c r="G26" s="878"/>
      <c r="H26" s="878"/>
      <c r="I26" s="878"/>
      <c r="J26" s="878"/>
      <c r="K26" s="878"/>
      <c r="L26" s="878"/>
      <c r="M26" s="878"/>
      <c r="N26" s="878"/>
      <c r="O26" s="878"/>
      <c r="P26" s="878"/>
      <c r="Q26" s="878"/>
      <c r="R26" s="878"/>
      <c r="S26" s="878"/>
      <c r="T26" s="878"/>
      <c r="U26" s="878"/>
      <c r="V26" s="878"/>
      <c r="W26" s="878"/>
      <c r="X26" s="878"/>
      <c r="Z26" s="747"/>
      <c r="AA26" s="747"/>
      <c r="AB26" s="747"/>
      <c r="AC26" s="747"/>
      <c r="AD26" s="747"/>
      <c r="AE26" s="747"/>
      <c r="AF26" s="747"/>
      <c r="AJ26" s="878"/>
      <c r="AK26" s="878"/>
      <c r="AL26" s="878"/>
      <c r="AM26" s="878"/>
      <c r="AN26" s="878"/>
      <c r="AO26" s="878"/>
      <c r="AP26" s="878"/>
      <c r="AQ26" s="878"/>
    </row>
    <row r="27" spans="1:43" ht="12.75" customHeight="1">
      <c r="A27" s="878"/>
      <c r="C27" s="878"/>
      <c r="D27" s="878"/>
      <c r="E27" s="878"/>
      <c r="F27" s="878"/>
      <c r="G27" s="878"/>
      <c r="H27" s="878"/>
      <c r="I27" s="878"/>
      <c r="J27" s="878"/>
      <c r="K27" s="878"/>
      <c r="L27" s="878"/>
      <c r="M27" s="878"/>
      <c r="N27" s="878"/>
      <c r="O27" s="878"/>
      <c r="P27" s="878"/>
      <c r="Q27" s="878"/>
      <c r="R27" s="878"/>
      <c r="S27" s="878"/>
      <c r="T27" s="878"/>
      <c r="U27" s="878"/>
      <c r="V27" s="878"/>
      <c r="W27" s="878"/>
      <c r="X27" s="878"/>
      <c r="AJ27" s="878"/>
      <c r="AK27" s="878"/>
      <c r="AL27" s="878"/>
      <c r="AM27" s="878"/>
      <c r="AN27" s="878"/>
      <c r="AO27" s="878"/>
      <c r="AP27" s="878"/>
      <c r="AQ27" s="878"/>
    </row>
    <row r="28" spans="1:43" ht="12.75" hidden="1" customHeight="1">
      <c r="A28" s="878"/>
      <c r="C28" s="878"/>
      <c r="D28" s="878"/>
      <c r="E28" s="878"/>
      <c r="F28" s="878"/>
      <c r="G28" s="878"/>
      <c r="H28" s="878"/>
      <c r="I28" s="2460" t="s">
        <v>2</v>
      </c>
      <c r="J28" s="2461"/>
      <c r="K28" s="2460" t="s">
        <v>155</v>
      </c>
      <c r="L28" s="2461"/>
      <c r="M28" s="1299" t="s">
        <v>157</v>
      </c>
      <c r="N28" s="1300"/>
      <c r="O28" s="878"/>
      <c r="P28" s="878"/>
      <c r="Q28" s="878"/>
      <c r="R28" s="878"/>
      <c r="S28" s="878"/>
      <c r="T28" s="878"/>
      <c r="U28" s="878"/>
      <c r="V28" s="878"/>
      <c r="W28" s="878"/>
      <c r="X28" s="878"/>
      <c r="Y28" s="747"/>
      <c r="Z28" s="747"/>
      <c r="AA28" s="747"/>
      <c r="AB28" s="747"/>
      <c r="AC28" s="747"/>
      <c r="AD28" s="747"/>
      <c r="AE28" s="747"/>
      <c r="AF28" s="747"/>
      <c r="AG28" s="747"/>
      <c r="AJ28" s="878"/>
      <c r="AK28" s="878"/>
      <c r="AL28" s="878"/>
      <c r="AM28" s="878"/>
      <c r="AN28" s="878"/>
      <c r="AO28" s="878"/>
      <c r="AP28" s="878"/>
      <c r="AQ28" s="878"/>
    </row>
    <row r="29" spans="1:43" ht="12.75" hidden="1" customHeight="1">
      <c r="A29" s="878"/>
      <c r="C29" s="1301"/>
      <c r="D29" s="733"/>
      <c r="E29" s="733"/>
      <c r="F29" s="734"/>
      <c r="G29" s="734"/>
      <c r="H29" s="735" t="s">
        <v>723</v>
      </c>
      <c r="I29" s="2458">
        <f>Tabelle1!AX79</f>
        <v>0</v>
      </c>
      <c r="J29" s="2458"/>
      <c r="K29" s="2458">
        <f>Tabelle1!O203</f>
        <v>0</v>
      </c>
      <c r="L29" s="2458"/>
      <c r="M29" s="736">
        <f>Tabelle1!P203</f>
        <v>0</v>
      </c>
      <c r="N29" s="736"/>
      <c r="O29" s="1510" t="str">
        <f>IF(Tabelle1!AI173&lt;0,"Nicht alle Dünger          sind angelegt!",IF(Tabelle1!AI173&gt;0,"Es wurden Dünger doppelt angelegt!","Alle Dünger sind angelegt!"))</f>
        <v>Alle Dünger sind angelegt!</v>
      </c>
      <c r="P29" s="878"/>
      <c r="Q29" s="878"/>
      <c r="R29" s="878"/>
      <c r="S29" s="878"/>
      <c r="T29" s="878"/>
      <c r="U29" s="878"/>
      <c r="V29" s="878"/>
      <c r="W29" s="878"/>
      <c r="X29" s="878"/>
      <c r="Y29" s="747"/>
      <c r="Z29" s="747"/>
      <c r="AA29" s="747"/>
      <c r="AB29" s="747"/>
      <c r="AC29" s="747"/>
      <c r="AD29" s="747"/>
      <c r="AE29" s="747"/>
      <c r="AF29" s="747"/>
      <c r="AG29" s="747"/>
      <c r="AJ29" s="878"/>
      <c r="AK29" s="878"/>
      <c r="AL29" s="878"/>
      <c r="AM29" s="878"/>
      <c r="AN29" s="878"/>
      <c r="AO29" s="878"/>
      <c r="AP29" s="878"/>
      <c r="AQ29" s="878"/>
    </row>
    <row r="30" spans="1:43" ht="12.75" hidden="1" customHeight="1">
      <c r="A30" s="878"/>
      <c r="C30" s="1301"/>
      <c r="D30" s="733"/>
      <c r="E30" s="733"/>
      <c r="F30" s="734"/>
      <c r="G30" s="734"/>
      <c r="H30" s="735" t="s">
        <v>724</v>
      </c>
      <c r="I30" s="2445">
        <f>Tabelle1!AF172</f>
        <v>0</v>
      </c>
      <c r="J30" s="2446"/>
      <c r="K30" s="2447">
        <f>Tabelle1!AG172</f>
        <v>0</v>
      </c>
      <c r="L30" s="2448"/>
      <c r="M30" s="736">
        <f>Tabelle1!AH172</f>
        <v>0</v>
      </c>
      <c r="N30" s="736"/>
      <c r="O30" s="1511"/>
      <c r="P30" s="878"/>
      <c r="Q30" s="878"/>
      <c r="R30" s="878"/>
      <c r="S30" s="878"/>
      <c r="T30" s="878"/>
      <c r="U30" s="878"/>
      <c r="V30" s="878"/>
      <c r="W30" s="878"/>
      <c r="X30" s="878"/>
      <c r="Y30" s="747"/>
      <c r="Z30" s="747"/>
      <c r="AA30" s="747"/>
      <c r="AB30" s="747"/>
      <c r="AC30" s="747"/>
      <c r="AD30" s="747"/>
      <c r="AE30" s="747"/>
      <c r="AF30" s="747"/>
      <c r="AG30" s="747"/>
      <c r="AJ30" s="878"/>
      <c r="AK30" s="878"/>
      <c r="AL30" s="878"/>
      <c r="AM30" s="878"/>
      <c r="AN30" s="878"/>
      <c r="AO30" s="878"/>
      <c r="AP30" s="878"/>
      <c r="AQ30" s="878"/>
    </row>
    <row r="31" spans="1:43" ht="15" hidden="1" customHeight="1">
      <c r="C31" s="1301"/>
      <c r="D31" s="733"/>
      <c r="E31" s="733"/>
      <c r="F31" s="734"/>
      <c r="G31" s="734"/>
      <c r="H31" s="735" t="s">
        <v>727</v>
      </c>
      <c r="I31" s="2445">
        <f>X18</f>
        <v>0</v>
      </c>
      <c r="J31" s="2446"/>
      <c r="K31" s="1300"/>
      <c r="L31" s="1300"/>
      <c r="M31" s="1300"/>
      <c r="N31" s="1300"/>
      <c r="O31" s="1302" t="str">
        <f>IFERROR(IF(I31&lt;=T21,I31/I30,IF(I31&gt;T21,"Achtung "&amp;V21&amp;" % verplant!")),"")</f>
        <v/>
      </c>
      <c r="V31" s="747"/>
      <c r="W31" s="747"/>
      <c r="X31" s="747"/>
      <c r="AJ31" s="878"/>
      <c r="AK31" s="878"/>
      <c r="AL31" s="878"/>
      <c r="AM31" s="878"/>
      <c r="AN31" s="878"/>
      <c r="AO31" s="878"/>
      <c r="AP31" s="878"/>
      <c r="AQ31" s="878"/>
    </row>
    <row r="32" spans="1:43" ht="15.75" customHeight="1">
      <c r="A32" s="878"/>
      <c r="B32" s="878"/>
      <c r="C32" s="878"/>
      <c r="D32" s="878"/>
      <c r="E32" s="878"/>
      <c r="F32" s="878"/>
      <c r="G32" s="878"/>
      <c r="H32" s="878"/>
      <c r="I32" s="878"/>
      <c r="J32" s="878"/>
      <c r="K32" s="878"/>
      <c r="L32" s="878"/>
      <c r="M32" s="878"/>
      <c r="N32" s="878"/>
      <c r="O32" s="878"/>
      <c r="P32" s="878"/>
      <c r="Q32" s="878"/>
      <c r="R32" s="878"/>
      <c r="S32" s="878"/>
      <c r="V32" s="747"/>
      <c r="W32" s="747"/>
      <c r="X32" s="747"/>
      <c r="AJ32" s="878"/>
      <c r="AK32" s="878"/>
      <c r="AL32" s="878"/>
      <c r="AM32" s="878"/>
      <c r="AN32" s="878"/>
      <c r="AO32" s="878"/>
      <c r="AP32" s="878"/>
      <c r="AQ32" s="878"/>
    </row>
    <row r="33" spans="1:43" ht="15.75" customHeight="1">
      <c r="A33" s="878"/>
      <c r="B33" s="878"/>
      <c r="C33" s="1530"/>
      <c r="D33" s="878"/>
      <c r="E33" s="878"/>
      <c r="F33" s="878"/>
      <c r="G33" s="878"/>
      <c r="H33" s="878"/>
      <c r="I33" s="878"/>
      <c r="J33" s="878"/>
      <c r="K33" s="878"/>
      <c r="L33" s="878"/>
      <c r="M33" s="878"/>
      <c r="N33" s="878"/>
      <c r="O33" s="878"/>
      <c r="P33" s="878"/>
      <c r="Q33" s="878"/>
      <c r="R33" s="878"/>
      <c r="S33" s="878"/>
      <c r="AJ33" s="878"/>
      <c r="AK33" s="878"/>
      <c r="AL33" s="878"/>
      <c r="AM33" s="878"/>
      <c r="AN33" s="878"/>
      <c r="AO33" s="878"/>
      <c r="AP33" s="878"/>
      <c r="AQ33" s="878"/>
    </row>
    <row r="34" spans="1:43" ht="15.75" customHeight="1">
      <c r="A34" s="878"/>
      <c r="B34" s="878"/>
      <c r="C34" s="878"/>
      <c r="D34" s="878"/>
      <c r="E34" s="878"/>
      <c r="F34" s="878"/>
      <c r="G34" s="878"/>
      <c r="H34" s="878"/>
      <c r="I34" s="878"/>
      <c r="J34" s="878"/>
      <c r="K34" s="878"/>
      <c r="L34" s="878"/>
      <c r="M34" s="878"/>
      <c r="N34" s="878"/>
      <c r="O34" s="878"/>
      <c r="P34" s="878"/>
      <c r="Q34" s="878"/>
      <c r="R34" s="878"/>
      <c r="S34" s="878"/>
      <c r="AJ34" s="878"/>
      <c r="AK34" s="878"/>
      <c r="AL34" s="878"/>
      <c r="AM34" s="878"/>
      <c r="AN34" s="878"/>
      <c r="AO34" s="878"/>
      <c r="AP34" s="878"/>
      <c r="AQ34" s="878"/>
    </row>
    <row r="35" spans="1:43" ht="15.75" customHeight="1">
      <c r="A35" s="878"/>
      <c r="B35" s="878"/>
      <c r="C35" s="878"/>
      <c r="D35" s="878"/>
      <c r="E35" s="878"/>
      <c r="F35" s="878"/>
      <c r="G35" s="878"/>
      <c r="H35" s="878"/>
      <c r="I35" s="878"/>
      <c r="J35" s="878"/>
      <c r="K35" s="878"/>
      <c r="L35" s="878"/>
      <c r="M35" s="878"/>
      <c r="N35" s="878"/>
      <c r="O35" s="878"/>
      <c r="P35" s="878"/>
      <c r="Q35" s="878"/>
      <c r="R35" s="878"/>
      <c r="S35" s="878"/>
      <c r="AJ35" s="878"/>
      <c r="AK35" s="878"/>
      <c r="AL35" s="878"/>
      <c r="AM35" s="878"/>
      <c r="AN35" s="878"/>
      <c r="AO35" s="878"/>
      <c r="AP35" s="878"/>
      <c r="AQ35" s="878"/>
    </row>
    <row r="36" spans="1:43" ht="15.75" customHeight="1">
      <c r="A36" s="878"/>
      <c r="B36" s="878"/>
      <c r="C36" s="878"/>
      <c r="D36" s="878"/>
      <c r="E36" s="878"/>
      <c r="F36" s="878"/>
      <c r="G36" s="878"/>
      <c r="H36" s="878"/>
      <c r="I36" s="878"/>
      <c r="J36" s="878"/>
      <c r="K36" s="878"/>
      <c r="L36" s="878"/>
      <c r="M36" s="878"/>
      <c r="N36" s="878"/>
      <c r="O36" s="878"/>
      <c r="P36" s="1531"/>
      <c r="Q36" s="1531"/>
      <c r="R36" s="1531"/>
      <c r="S36" s="1531"/>
      <c r="AJ36" s="878"/>
      <c r="AK36" s="878"/>
      <c r="AL36" s="878"/>
      <c r="AM36" s="878"/>
      <c r="AN36" s="878"/>
      <c r="AO36" s="878"/>
      <c r="AP36" s="878"/>
      <c r="AQ36" s="878"/>
    </row>
    <row r="37" spans="1:43" ht="15" customHeight="1">
      <c r="A37" s="878"/>
      <c r="B37" s="878"/>
      <c r="C37" s="878"/>
      <c r="D37" s="878"/>
      <c r="E37" s="878"/>
      <c r="F37" s="878"/>
      <c r="G37" s="878"/>
      <c r="H37" s="878"/>
      <c r="I37" s="878"/>
      <c r="J37" s="878"/>
      <c r="K37" s="878"/>
      <c r="L37" s="878"/>
      <c r="M37" s="878"/>
      <c r="N37" s="878"/>
      <c r="O37" s="878"/>
      <c r="P37" s="1531"/>
      <c r="Q37" s="1531"/>
      <c r="R37" s="1531"/>
      <c r="S37" s="1531"/>
      <c r="AJ37" s="878"/>
      <c r="AK37" s="878"/>
      <c r="AL37" s="878"/>
      <c r="AM37" s="878"/>
      <c r="AN37" s="878"/>
      <c r="AO37" s="878"/>
      <c r="AP37" s="878"/>
      <c r="AQ37" s="878"/>
    </row>
    <row r="38" spans="1:43" ht="15" customHeight="1">
      <c r="A38" s="878"/>
      <c r="B38" s="878"/>
      <c r="C38" s="878"/>
      <c r="D38" s="878"/>
      <c r="E38" s="878"/>
      <c r="F38" s="878"/>
      <c r="G38" s="878"/>
      <c r="H38" s="878"/>
      <c r="I38" s="878"/>
      <c r="J38" s="878"/>
      <c r="K38" s="878"/>
      <c r="L38" s="878"/>
      <c r="M38" s="878"/>
      <c r="N38" s="878"/>
      <c r="O38" s="878"/>
      <c r="P38" s="878"/>
      <c r="Q38" s="878"/>
      <c r="R38" s="878"/>
      <c r="S38" s="878"/>
      <c r="AJ38" s="878"/>
      <c r="AK38" s="878"/>
      <c r="AL38" s="878"/>
      <c r="AM38" s="878"/>
      <c r="AN38" s="878"/>
      <c r="AO38" s="878"/>
      <c r="AP38" s="878"/>
      <c r="AQ38" s="878"/>
    </row>
    <row r="39" spans="1:43" ht="15" customHeight="1">
      <c r="A39" s="878"/>
      <c r="B39" s="878"/>
      <c r="C39" s="878"/>
      <c r="D39" s="878"/>
      <c r="E39" s="878"/>
      <c r="F39" s="878"/>
      <c r="G39" s="878"/>
      <c r="H39" s="878"/>
      <c r="I39" s="878"/>
      <c r="J39" s="878"/>
      <c r="K39" s="878"/>
      <c r="L39" s="878"/>
      <c r="M39" s="878"/>
      <c r="N39" s="878"/>
      <c r="O39" s="878"/>
      <c r="P39" s="878"/>
      <c r="Q39" s="878"/>
      <c r="R39" s="878"/>
      <c r="S39" s="878"/>
      <c r="V39" s="740"/>
      <c r="W39" s="740"/>
      <c r="X39" s="740"/>
      <c r="AJ39" s="878"/>
      <c r="AK39" s="878"/>
      <c r="AL39" s="878"/>
      <c r="AM39" s="878"/>
      <c r="AN39" s="878"/>
      <c r="AO39" s="878"/>
      <c r="AP39" s="878"/>
      <c r="AQ39" s="878"/>
    </row>
    <row r="40" spans="1:43" ht="15" customHeight="1">
      <c r="A40" s="878"/>
      <c r="B40" s="878"/>
      <c r="C40" s="878"/>
      <c r="D40" s="878"/>
      <c r="E40" s="878"/>
      <c r="F40" s="878"/>
      <c r="G40" s="878"/>
      <c r="H40" s="878"/>
      <c r="I40" s="878"/>
      <c r="J40" s="878"/>
      <c r="K40" s="878"/>
      <c r="L40" s="878"/>
      <c r="M40" s="878"/>
      <c r="N40" s="878"/>
      <c r="O40" s="878"/>
      <c r="P40" s="878"/>
      <c r="Q40" s="878"/>
      <c r="R40" s="878"/>
      <c r="S40" s="878"/>
      <c r="V40" s="740"/>
      <c r="W40" s="740"/>
      <c r="X40" s="740"/>
      <c r="AJ40" s="878"/>
      <c r="AK40" s="878"/>
      <c r="AL40" s="878"/>
      <c r="AM40" s="878"/>
      <c r="AN40" s="878"/>
      <c r="AO40" s="878"/>
      <c r="AP40" s="878"/>
      <c r="AQ40" s="878"/>
    </row>
    <row r="41" spans="1:43" ht="15.75" customHeight="1">
      <c r="A41" s="878"/>
      <c r="B41" s="878"/>
      <c r="C41" s="878"/>
      <c r="D41" s="878"/>
      <c r="E41" s="878"/>
      <c r="F41" s="878"/>
      <c r="G41" s="878"/>
      <c r="H41" s="878"/>
      <c r="I41" s="878"/>
      <c r="J41" s="878"/>
      <c r="K41" s="878"/>
      <c r="L41" s="878"/>
      <c r="M41" s="878"/>
      <c r="N41" s="878"/>
      <c r="O41" s="878"/>
      <c r="P41" s="878"/>
      <c r="Q41" s="878"/>
      <c r="R41" s="878"/>
      <c r="S41" s="878"/>
      <c r="V41" s="740"/>
      <c r="W41" s="740"/>
      <c r="X41" s="740"/>
      <c r="AJ41" s="878"/>
      <c r="AK41" s="878"/>
      <c r="AL41" s="878"/>
      <c r="AM41" s="878"/>
      <c r="AN41" s="878"/>
      <c r="AO41" s="878"/>
      <c r="AP41" s="878"/>
      <c r="AQ41" s="878"/>
    </row>
    <row r="42" spans="1:43" ht="15" customHeight="1">
      <c r="A42" s="878"/>
      <c r="B42" s="878"/>
      <c r="C42" s="878"/>
      <c r="D42" s="878"/>
      <c r="E42" s="878"/>
      <c r="F42" s="878"/>
      <c r="G42" s="878"/>
      <c r="H42" s="878"/>
      <c r="I42" s="878"/>
      <c r="J42" s="878"/>
      <c r="K42" s="878"/>
      <c r="L42" s="878"/>
      <c r="M42" s="878"/>
      <c r="N42" s="878"/>
      <c r="O42" s="878"/>
      <c r="P42" s="878"/>
      <c r="Q42" s="878"/>
      <c r="R42" s="878"/>
      <c r="S42" s="878"/>
      <c r="V42" s="740"/>
      <c r="W42" s="740"/>
      <c r="X42" s="740"/>
      <c r="AA42" t="s">
        <v>728</v>
      </c>
      <c r="AJ42" s="878"/>
      <c r="AK42" s="878"/>
      <c r="AL42" s="878"/>
      <c r="AM42" s="878"/>
      <c r="AN42" s="878"/>
      <c r="AO42" s="878"/>
      <c r="AP42" s="878"/>
      <c r="AQ42" s="878"/>
    </row>
    <row r="43" spans="1:43">
      <c r="A43" s="878"/>
      <c r="B43" s="878"/>
      <c r="C43" s="878"/>
      <c r="D43" s="878"/>
      <c r="E43" s="878"/>
      <c r="F43" s="878"/>
      <c r="G43" s="878"/>
      <c r="H43" s="878"/>
      <c r="I43" s="878"/>
      <c r="J43" s="878"/>
      <c r="K43" s="878"/>
      <c r="L43" s="878"/>
      <c r="M43" s="878"/>
      <c r="N43" s="878"/>
      <c r="O43" s="878"/>
      <c r="P43" s="878"/>
      <c r="Q43" s="878"/>
      <c r="R43" s="878"/>
      <c r="S43" s="878"/>
      <c r="V43" s="740"/>
      <c r="W43" s="740"/>
      <c r="X43" s="740"/>
      <c r="AJ43" s="878"/>
      <c r="AK43" s="878"/>
      <c r="AL43" s="878"/>
      <c r="AM43" s="878"/>
      <c r="AN43" s="878"/>
      <c r="AO43" s="878"/>
      <c r="AP43" s="878"/>
      <c r="AQ43" s="878"/>
    </row>
    <row r="44" spans="1:43" ht="19.5" customHeight="1">
      <c r="A44" s="878"/>
      <c r="B44" s="878"/>
      <c r="C44" s="878"/>
      <c r="D44" s="878"/>
      <c r="E44" s="878"/>
      <c r="F44" s="878"/>
      <c r="G44" s="878"/>
      <c r="H44" s="878"/>
      <c r="I44" s="878"/>
      <c r="J44" s="878"/>
      <c r="K44" s="878"/>
      <c r="L44" s="878"/>
      <c r="M44" s="878"/>
      <c r="N44" s="878"/>
      <c r="O44" s="878"/>
      <c r="P44" s="878"/>
      <c r="Q44" s="878"/>
      <c r="R44" s="878"/>
      <c r="S44" s="878"/>
      <c r="V44" s="740"/>
      <c r="W44" s="740"/>
      <c r="X44" s="740"/>
      <c r="AJ44" s="878"/>
      <c r="AK44" s="878"/>
      <c r="AL44" s="878"/>
      <c r="AM44" s="878"/>
      <c r="AN44" s="878"/>
      <c r="AO44" s="878"/>
      <c r="AP44" s="878"/>
      <c r="AQ44" s="878"/>
    </row>
    <row r="45" spans="1:43" ht="18" customHeight="1">
      <c r="V45" s="740"/>
      <c r="W45" s="740"/>
      <c r="X45" s="740"/>
    </row>
    <row r="46" spans="1:43" ht="18" customHeight="1">
      <c r="V46" s="740"/>
      <c r="W46" s="740"/>
      <c r="X46" s="740"/>
    </row>
    <row r="47" spans="1:43">
      <c r="V47" s="740"/>
      <c r="W47" s="740"/>
      <c r="X47" s="740"/>
    </row>
    <row r="48" spans="1:43">
      <c r="V48" s="740"/>
      <c r="W48" s="740"/>
      <c r="X48" s="740"/>
    </row>
    <row r="49" spans="22:24">
      <c r="V49" s="740"/>
      <c r="W49" s="740"/>
      <c r="X49" s="740"/>
    </row>
    <row r="50" spans="22:24">
      <c r="V50" s="740"/>
      <c r="W50" s="740"/>
      <c r="X50" s="740"/>
    </row>
    <row r="51" spans="22:24">
      <c r="V51" s="740"/>
      <c r="W51" s="740"/>
      <c r="X51" s="740"/>
    </row>
    <row r="52" spans="22:24">
      <c r="V52" s="740"/>
      <c r="W52" s="740"/>
      <c r="X52" s="740"/>
    </row>
    <row r="53" spans="22:24">
      <c r="V53" s="740"/>
      <c r="W53" s="740"/>
      <c r="X53" s="740"/>
    </row>
    <row r="54" spans="22:24" ht="13.35" customHeight="1">
      <c r="V54" s="740"/>
      <c r="W54" s="740"/>
      <c r="X54" s="740"/>
    </row>
    <row r="55" spans="22:24">
      <c r="V55" s="740"/>
      <c r="W55" s="740"/>
      <c r="X55" s="740"/>
    </row>
    <row r="56" spans="22:24">
      <c r="V56" s="740"/>
      <c r="W56" s="740"/>
      <c r="X56" s="740"/>
    </row>
    <row r="57" spans="22:24">
      <c r="V57" s="740"/>
      <c r="W57" s="740"/>
      <c r="X57" s="740"/>
    </row>
    <row r="58" spans="22:24">
      <c r="V58" s="740"/>
      <c r="W58" s="740"/>
      <c r="X58" s="740"/>
    </row>
    <row r="59" spans="22:24">
      <c r="V59" s="740"/>
      <c r="W59" s="740"/>
      <c r="X59" s="740"/>
    </row>
    <row r="60" spans="22:24">
      <c r="V60" s="740"/>
      <c r="W60" s="740"/>
      <c r="X60" s="740"/>
    </row>
    <row r="61" spans="22:24">
      <c r="V61" s="740"/>
      <c r="W61" s="740"/>
      <c r="X61" s="740"/>
    </row>
    <row r="62" spans="22:24">
      <c r="V62" s="740"/>
      <c r="W62" s="740"/>
      <c r="X62" s="740"/>
    </row>
    <row r="63" spans="22:24">
      <c r="V63" s="740"/>
      <c r="W63" s="740"/>
      <c r="X63" s="740"/>
    </row>
    <row r="64" spans="22:24">
      <c r="V64" s="740"/>
      <c r="W64" s="740"/>
      <c r="X64" s="740"/>
    </row>
    <row r="65" spans="22:24">
      <c r="V65" s="740"/>
      <c r="W65" s="740"/>
      <c r="X65" s="740"/>
    </row>
    <row r="66" spans="22:24" ht="15" customHeight="1"/>
  </sheetData>
  <sheetProtection algorithmName="SHA-512" hashValue="GzoVfKAWjfhhsAE01Uxxla4/e7bNBdHBU+REHts0vbbY8+hGDi2WcZuELyj96F17LhTAGAFTpfMmFYee5OUlPw==" saltValue="vAAFfsAjnx54D4aGU63oiQ==" spinCount="100000" sheet="1" formatCells="0" formatRows="0"/>
  <mergeCells count="15">
    <mergeCell ref="I31:J31"/>
    <mergeCell ref="K30:L30"/>
    <mergeCell ref="I30:J30"/>
    <mergeCell ref="C1:N1"/>
    <mergeCell ref="P1:R1"/>
    <mergeCell ref="N3:R3"/>
    <mergeCell ref="I29:J29"/>
    <mergeCell ref="K29:L29"/>
    <mergeCell ref="G3:I3"/>
    <mergeCell ref="I28:J28"/>
    <mergeCell ref="K28:L28"/>
    <mergeCell ref="C23:E23"/>
    <mergeCell ref="C24:E24"/>
    <mergeCell ref="C21:H21"/>
    <mergeCell ref="C22:E22"/>
  </mergeCells>
  <conditionalFormatting sqref="O4:P11 O12:O24">
    <cfRule type="expression" dxfId="1242" priority="3" stopIfTrue="1">
      <formula>$N4&gt;0</formula>
    </cfRule>
  </conditionalFormatting>
  <conditionalFormatting sqref="R4:R24">
    <cfRule type="expression" dxfId="1241" priority="29" stopIfTrue="1">
      <formula>$Q4&gt;0</formula>
    </cfRule>
  </conditionalFormatting>
  <conditionalFormatting sqref="V64:X65">
    <cfRule type="expression" dxfId="1240" priority="30" stopIfTrue="1">
      <formula>$W31&gt;0</formula>
    </cfRule>
  </conditionalFormatting>
  <conditionalFormatting sqref="V46:X62">
    <cfRule type="expression" dxfId="1239" priority="35" stopIfTrue="1">
      <formula>#REF!&gt;0</formula>
    </cfRule>
  </conditionalFormatting>
  <conditionalFormatting sqref="P14:P15">
    <cfRule type="expression" dxfId="1238" priority="60" stopIfTrue="1">
      <formula>$N12&gt;0</formula>
    </cfRule>
  </conditionalFormatting>
  <conditionalFormatting sqref="P12:P13 P16 P19">
    <cfRule type="expression" dxfId="1237" priority="62" stopIfTrue="1">
      <formula>#REF!&gt;0</formula>
    </cfRule>
  </conditionalFormatting>
  <conditionalFormatting sqref="P17:P18">
    <cfRule type="expression" dxfId="1236" priority="63" stopIfTrue="1">
      <formula>$N14&gt;0</formula>
    </cfRule>
  </conditionalFormatting>
  <conditionalFormatting sqref="P20:P25">
    <cfRule type="expression" dxfId="1235" priority="65" stopIfTrue="1">
      <formula>$N16&gt;0</formula>
    </cfRule>
  </conditionalFormatting>
  <conditionalFormatting sqref="V39:X45">
    <cfRule type="expression" dxfId="1234" priority="68" stopIfTrue="1">
      <formula>$Q18&gt;0</formula>
    </cfRule>
  </conditionalFormatting>
  <conditionalFormatting sqref="V63:X63">
    <cfRule type="expression" dxfId="1233" priority="69" stopIfTrue="1">
      <formula>#REF!&gt;0</formula>
    </cfRule>
  </conditionalFormatting>
  <dataValidations count="1">
    <dataValidation type="list" operator="equal" allowBlank="1" sqref="IY26:IY34 IS12:IS25">
      <formula1>"düngerauswahl"</formula1>
      <formula2>0</formula2>
    </dataValidation>
  </dataValidations>
  <hyperlinks>
    <hyperlink ref="O1" location="Organ__Dü!F13" display="◄"/>
    <hyperlink ref="P1" location="Flächen!C5" display="  ►"/>
    <hyperlink ref="P1:R1" location="Acker!A1" display="  ►"/>
  </hyperlinks>
  <printOptions horizontalCentered="1"/>
  <pageMargins left="0.43333333333333335" right="0.39374999999999999" top="0.31527777777777777" bottom="0.47222222222222221" header="0.51180555555555551" footer="0.2361111111111111"/>
  <pageSetup paperSize="9" firstPageNumber="0" orientation="landscape" horizontalDpi="300" verticalDpi="300" r:id="rId1"/>
  <headerFooter alignWithMargins="0">
    <oddFooter>&amp;L&amp;11&amp;F</oddFooter>
  </headerFooter>
  <legacyDrawing r:id="rId2"/>
  <extLst>
    <ext xmlns:x14="http://schemas.microsoft.com/office/spreadsheetml/2009/9/main" uri="{CCE6A557-97BC-4b89-ADB6-D9C93CAAB3DF}">
      <x14:dataValidations xmlns:xm="http://schemas.microsoft.com/office/excel/2006/main" count="1">
        <x14:dataValidation type="list" operator="equal" allowBlank="1">
          <x14:formula1>
            <xm:f>Tabelle1!$C$159:$C$200</xm:f>
          </x14:formula1>
          <xm:sqref>C5:C17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theme="5" tint="0.39997558519241921"/>
  </sheetPr>
  <dimension ref="A1:AV101"/>
  <sheetViews>
    <sheetView zoomScaleNormal="100" workbookViewId="0">
      <selection activeCell="B5" sqref="B5"/>
    </sheetView>
  </sheetViews>
  <sheetFormatPr baseColWidth="10" defaultRowHeight="12.75"/>
  <cols>
    <col min="1" max="1" width="2.7109375" customWidth="1"/>
    <col min="2" max="2" width="37" customWidth="1"/>
    <col min="3" max="3" width="9.140625" customWidth="1"/>
    <col min="4" max="4" width="10.140625" customWidth="1"/>
    <col min="5" max="5" width="8.7109375" style="808" customWidth="1"/>
    <col min="6" max="6" width="9.140625" style="808" customWidth="1"/>
    <col min="7" max="8" width="9.42578125" style="808" hidden="1" customWidth="1"/>
    <col min="9" max="9" width="4" style="808" customWidth="1"/>
    <col min="10" max="10" width="12.7109375" style="808" customWidth="1"/>
    <col min="11" max="11" width="5.7109375" style="808" customWidth="1"/>
    <col min="12" max="12" width="12.5703125" style="808" customWidth="1"/>
    <col min="13" max="13" width="5.7109375" style="808" customWidth="1"/>
    <col min="14" max="14" width="12.5703125" style="808" customWidth="1"/>
    <col min="15" max="15" width="5.7109375" style="808" customWidth="1"/>
    <col min="16" max="16" width="12.5703125" style="808" customWidth="1"/>
    <col min="17" max="17" width="5.7109375" style="808" customWidth="1"/>
    <col min="18" max="18" width="12.5703125" style="808" customWidth="1"/>
    <col min="19" max="19" width="5.7109375" style="808" customWidth="1"/>
    <col min="20" max="20" width="3" style="808" customWidth="1"/>
    <col min="21" max="21" width="16.140625" style="747" customWidth="1"/>
    <col min="22" max="22" width="9.85546875" style="747" customWidth="1"/>
    <col min="23" max="23" width="5.85546875" customWidth="1"/>
    <col min="24" max="30" width="11.42578125" style="747" customWidth="1"/>
    <col min="31" max="34" width="11.42578125" hidden="1" customWidth="1"/>
    <col min="35" max="35" width="20.28515625" hidden="1" customWidth="1"/>
    <col min="36" max="41" width="11.42578125" hidden="1" customWidth="1"/>
    <col min="42" max="42" width="23.85546875" hidden="1" customWidth="1"/>
    <col min="43" max="48" width="11.42578125" hidden="1" customWidth="1"/>
    <col min="49" max="49" width="11.42578125" customWidth="1"/>
  </cols>
  <sheetData>
    <row r="1" spans="1:47" s="747" customFormat="1" ht="34.5" customHeight="1">
      <c r="A1" s="878"/>
      <c r="B1" s="1839" t="s">
        <v>1208</v>
      </c>
      <c r="C1" s="1843"/>
      <c r="D1" s="1843"/>
      <c r="E1" s="1843"/>
      <c r="F1" s="1843"/>
      <c r="G1" s="1843"/>
      <c r="H1" s="2253"/>
      <c r="I1" s="1843"/>
      <c r="J1" s="1843"/>
      <c r="K1" s="1843"/>
      <c r="L1" s="1843"/>
      <c r="M1" s="1843"/>
      <c r="N1" s="2452" t="s">
        <v>0</v>
      </c>
      <c r="O1" s="2454"/>
      <c r="P1" s="2452" t="s">
        <v>1</v>
      </c>
      <c r="Q1" s="2454"/>
      <c r="R1" s="1843"/>
      <c r="S1" s="1843"/>
      <c r="T1" s="1843"/>
      <c r="U1" s="2472" t="s">
        <v>1263</v>
      </c>
      <c r="V1" s="2472"/>
      <c r="W1" s="878"/>
      <c r="X1" s="878"/>
      <c r="Y1" s="878"/>
      <c r="Z1" s="878"/>
    </row>
    <row r="2" spans="1:47" s="747" customFormat="1" ht="10.5" customHeight="1">
      <c r="A2" s="878"/>
      <c r="B2" s="1316"/>
      <c r="C2" s="1316"/>
      <c r="D2" s="1316"/>
      <c r="E2" s="1316"/>
      <c r="F2" s="1316"/>
      <c r="G2" s="1316"/>
      <c r="H2" s="1316"/>
      <c r="I2" s="1316"/>
      <c r="J2" s="1316"/>
      <c r="K2" s="1316"/>
      <c r="L2" s="1316"/>
      <c r="M2" s="1316"/>
      <c r="N2" s="1316"/>
      <c r="O2" s="1316"/>
      <c r="P2" s="1316"/>
      <c r="Q2" s="1316"/>
      <c r="R2" s="1316"/>
      <c r="S2" s="1316"/>
      <c r="T2" s="1316"/>
      <c r="U2" s="1317"/>
      <c r="V2" s="1318"/>
      <c r="W2" s="878"/>
      <c r="X2" s="878"/>
      <c r="Y2" s="878"/>
      <c r="Z2" s="878"/>
    </row>
    <row r="3" spans="1:47" ht="30" customHeight="1">
      <c r="A3" s="878"/>
      <c r="B3" s="2473" t="s">
        <v>1226</v>
      </c>
      <c r="C3" s="2474"/>
      <c r="D3" s="2474"/>
      <c r="E3" s="2474"/>
      <c r="F3" s="2474"/>
      <c r="G3" s="2474"/>
      <c r="H3" s="2252"/>
      <c r="I3" s="1565"/>
      <c r="J3" s="2475" t="s">
        <v>1448</v>
      </c>
      <c r="K3" s="2474"/>
      <c r="L3" s="2474"/>
      <c r="M3" s="2474"/>
      <c r="N3" s="2474"/>
      <c r="O3" s="2474"/>
      <c r="P3" s="2474"/>
      <c r="Q3" s="2474"/>
      <c r="R3" s="2474"/>
      <c r="S3" s="2476"/>
      <c r="T3" s="1364"/>
      <c r="U3" s="2477" t="s">
        <v>1446</v>
      </c>
      <c r="V3" s="2478"/>
      <c r="W3" s="878"/>
      <c r="X3" s="878"/>
      <c r="Y3" s="878"/>
      <c r="Z3" s="878"/>
      <c r="AD3" s="1"/>
      <c r="AE3" s="1"/>
      <c r="AF3" s="1"/>
      <c r="AG3" s="344" t="s">
        <v>3</v>
      </c>
      <c r="AH3" s="344" t="s">
        <v>4</v>
      </c>
      <c r="AI3" s="345"/>
      <c r="AJ3" s="284" t="s">
        <v>5</v>
      </c>
      <c r="AK3" s="284" t="s">
        <v>6</v>
      </c>
      <c r="AL3" s="284" t="s">
        <v>29</v>
      </c>
      <c r="AM3" s="284" t="s">
        <v>8</v>
      </c>
      <c r="AN3" s="284" t="s">
        <v>9</v>
      </c>
      <c r="AO3" s="346"/>
      <c r="AP3" s="347"/>
      <c r="AQ3" s="284" t="s">
        <v>5</v>
      </c>
      <c r="AR3" s="284" t="s">
        <v>6</v>
      </c>
      <c r="AS3" s="284" t="s">
        <v>7</v>
      </c>
      <c r="AT3" s="284" t="s">
        <v>7</v>
      </c>
      <c r="AU3" s="284" t="s">
        <v>7</v>
      </c>
    </row>
    <row r="4" spans="1:47" ht="35.25" customHeight="1">
      <c r="A4" s="878"/>
      <c r="B4" s="1566" t="s">
        <v>832</v>
      </c>
      <c r="C4" s="1464" t="s">
        <v>10</v>
      </c>
      <c r="D4" s="1464" t="s">
        <v>729</v>
      </c>
      <c r="E4" s="1465" t="s">
        <v>1435</v>
      </c>
      <c r="F4" s="1465" t="s">
        <v>1434</v>
      </c>
      <c r="G4" s="1465" t="s">
        <v>1441</v>
      </c>
      <c r="H4" s="1465" t="s">
        <v>1442</v>
      </c>
      <c r="I4" s="1463"/>
      <c r="J4" s="2479" t="s">
        <v>849</v>
      </c>
      <c r="K4" s="2479"/>
      <c r="L4" s="2479" t="s">
        <v>879</v>
      </c>
      <c r="M4" s="2479"/>
      <c r="N4" s="2479" t="s">
        <v>880</v>
      </c>
      <c r="O4" s="2479"/>
      <c r="P4" s="2479" t="s">
        <v>881</v>
      </c>
      <c r="Q4" s="2479"/>
      <c r="R4" s="2479" t="s">
        <v>882</v>
      </c>
      <c r="S4" s="2480"/>
      <c r="T4" s="1364"/>
      <c r="U4" s="1559" t="s">
        <v>957</v>
      </c>
      <c r="V4" s="1560" t="s">
        <v>1245</v>
      </c>
      <c r="W4" s="878"/>
      <c r="X4" s="878"/>
      <c r="Y4" s="878"/>
      <c r="Z4" s="878"/>
      <c r="AD4" s="1"/>
      <c r="AE4" s="1"/>
      <c r="AF4" s="772" t="s">
        <v>23</v>
      </c>
      <c r="AG4" s="348" t="s">
        <v>11</v>
      </c>
      <c r="AH4" s="348" t="s">
        <v>11</v>
      </c>
      <c r="AI4" s="349"/>
      <c r="AJ4" s="348">
        <v>2</v>
      </c>
      <c r="AK4" s="348">
        <v>3</v>
      </c>
      <c r="AL4" s="348">
        <v>4</v>
      </c>
      <c r="AM4" s="348">
        <v>5</v>
      </c>
      <c r="AN4" s="348">
        <v>6</v>
      </c>
      <c r="AO4" s="346"/>
      <c r="AP4" s="350"/>
      <c r="AQ4" s="351" t="s">
        <v>12</v>
      </c>
      <c r="AR4" s="351" t="s">
        <v>12</v>
      </c>
      <c r="AS4" s="351" t="s">
        <v>12</v>
      </c>
      <c r="AT4" s="351" t="s">
        <v>12</v>
      </c>
      <c r="AU4" s="351" t="s">
        <v>12</v>
      </c>
    </row>
    <row r="5" spans="1:47" ht="21" customHeight="1">
      <c r="A5" s="878"/>
      <c r="B5" s="1567"/>
      <c r="C5" s="1312"/>
      <c r="D5" s="1313"/>
      <c r="E5" s="1315">
        <f t="shared" ref="E5:E16" si="0">IF(AND(ISNA(AG5),ISBLANK(B5)),0,AG5)</f>
        <v>0</v>
      </c>
      <c r="F5" s="1314"/>
      <c r="G5" s="1466">
        <f>Summen_Acker!J$34</f>
        <v>0</v>
      </c>
      <c r="H5" s="1466">
        <f>IFERROR(G5/C5,0)</f>
        <v>0</v>
      </c>
      <c r="I5" s="1466">
        <f>H5+F5-E5</f>
        <v>0</v>
      </c>
      <c r="J5" s="1467"/>
      <c r="K5" s="1468"/>
      <c r="L5" s="1467"/>
      <c r="M5" s="1468"/>
      <c r="N5" s="1467"/>
      <c r="O5" s="1468"/>
      <c r="P5" s="1467"/>
      <c r="Q5" s="1468"/>
      <c r="R5" s="1467"/>
      <c r="S5" s="1568"/>
      <c r="T5" s="1364"/>
      <c r="U5" s="1561">
        <f>'meine Dünger'!C5</f>
        <v>0</v>
      </c>
      <c r="V5" s="1562">
        <f>Summen_Acker!F4</f>
        <v>0</v>
      </c>
      <c r="W5" s="878"/>
      <c r="X5" s="878"/>
      <c r="Y5" s="878"/>
      <c r="Z5" s="878"/>
      <c r="AD5" s="1"/>
      <c r="AE5" s="1"/>
      <c r="AF5" s="289" t="s">
        <v>5</v>
      </c>
      <c r="AG5" s="352">
        <f t="shared" ref="AG5:AG16" si="1">IF(D5="niedrig",VLOOKUP(B5,Liste_N_Bedarf,2,0),IF(D5="mittel",VLOOKUP(B5,Liste_N_Bedarf,3,0),IF(D5="hoch",VLOOKUP(B5,Liste_N_Bedarf,4,0),0)))</f>
        <v>0</v>
      </c>
      <c r="AH5" s="352">
        <f t="shared" ref="AH5:AH16" si="2">IF(D5="niedrig",VLOOKUP(B5,Liste_P_Bedarf,2,0),IF(D5="mittel",VLOOKUP(B5,Liste_P_Bedarf,3,0),IF(D5="hoch",VLOOKUP(B5,Liste_P_Bedarf,4,0),0)))</f>
        <v>0</v>
      </c>
      <c r="AI5" s="353" t="s">
        <v>739</v>
      </c>
      <c r="AJ5" s="354">
        <v>105</v>
      </c>
      <c r="AK5" s="354">
        <v>145</v>
      </c>
      <c r="AL5" s="354">
        <v>170</v>
      </c>
      <c r="AM5" s="354">
        <v>180</v>
      </c>
      <c r="AN5" s="354">
        <v>195</v>
      </c>
      <c r="AO5" s="243"/>
      <c r="AP5" s="267" t="s">
        <v>739</v>
      </c>
      <c r="AQ5" s="355">
        <v>50</v>
      </c>
      <c r="AR5" s="355">
        <v>55</v>
      </c>
      <c r="AS5" s="355">
        <v>65</v>
      </c>
      <c r="AT5" s="355">
        <v>65</v>
      </c>
      <c r="AU5" s="355">
        <v>65</v>
      </c>
    </row>
    <row r="6" spans="1:47" ht="21" customHeight="1">
      <c r="A6" s="878"/>
      <c r="B6" s="1567"/>
      <c r="C6" s="1312"/>
      <c r="D6" s="1313"/>
      <c r="E6" s="1315">
        <f t="shared" si="0"/>
        <v>0</v>
      </c>
      <c r="F6" s="1314"/>
      <c r="G6" s="1466">
        <f>Summen_Acker!K34</f>
        <v>0</v>
      </c>
      <c r="H6" s="1466">
        <f t="shared" ref="H6:H18" si="3">IFERROR(G6/C6,0)</f>
        <v>0</v>
      </c>
      <c r="I6" s="1466">
        <f t="shared" ref="I6:I18" si="4">H6+F6-E6</f>
        <v>0</v>
      </c>
      <c r="J6" s="1467"/>
      <c r="K6" s="1468"/>
      <c r="L6" s="1467"/>
      <c r="M6" s="1468"/>
      <c r="N6" s="1467"/>
      <c r="O6" s="1468"/>
      <c r="P6" s="1467"/>
      <c r="Q6" s="1468"/>
      <c r="R6" s="1467"/>
      <c r="S6" s="1568"/>
      <c r="T6" s="1364"/>
      <c r="U6" s="1561">
        <f>'meine Dünger'!C6</f>
        <v>0</v>
      </c>
      <c r="V6" s="1562">
        <f>Summen_Acker!F5</f>
        <v>0</v>
      </c>
      <c r="W6" s="878"/>
      <c r="X6" s="878"/>
      <c r="Y6" s="878"/>
      <c r="Z6" s="878"/>
      <c r="AD6" s="1"/>
      <c r="AE6" s="1"/>
      <c r="AF6" s="289" t="s">
        <v>6</v>
      </c>
      <c r="AG6" s="352">
        <f t="shared" si="1"/>
        <v>0</v>
      </c>
      <c r="AH6" s="352">
        <f t="shared" si="2"/>
        <v>0</v>
      </c>
      <c r="AI6" s="353" t="s">
        <v>740</v>
      </c>
      <c r="AJ6" s="354">
        <v>105</v>
      </c>
      <c r="AK6" s="354">
        <v>145</v>
      </c>
      <c r="AL6" s="354">
        <v>170</v>
      </c>
      <c r="AM6" s="354">
        <v>180</v>
      </c>
      <c r="AN6" s="354">
        <v>195</v>
      </c>
      <c r="AO6" s="243"/>
      <c r="AP6" s="267" t="s">
        <v>740</v>
      </c>
      <c r="AQ6" s="355">
        <v>50</v>
      </c>
      <c r="AR6" s="355">
        <v>55</v>
      </c>
      <c r="AS6" s="355">
        <v>65</v>
      </c>
      <c r="AT6" s="355">
        <v>65</v>
      </c>
      <c r="AU6" s="355">
        <v>65</v>
      </c>
    </row>
    <row r="7" spans="1:47" ht="21" customHeight="1">
      <c r="A7" s="878"/>
      <c r="B7" s="1567"/>
      <c r="C7" s="1312"/>
      <c r="D7" s="1313"/>
      <c r="E7" s="1315">
        <f t="shared" si="0"/>
        <v>0</v>
      </c>
      <c r="F7" s="1314"/>
      <c r="G7" s="1466">
        <f>Summen_Acker!L34</f>
        <v>0</v>
      </c>
      <c r="H7" s="1466">
        <f t="shared" si="3"/>
        <v>0</v>
      </c>
      <c r="I7" s="1466">
        <f t="shared" si="4"/>
        <v>0</v>
      </c>
      <c r="J7" s="1467"/>
      <c r="K7" s="1468"/>
      <c r="L7" s="1467"/>
      <c r="M7" s="1468"/>
      <c r="N7" s="1467"/>
      <c r="O7" s="1468"/>
      <c r="P7" s="1467"/>
      <c r="Q7" s="1468"/>
      <c r="R7" s="1467"/>
      <c r="S7" s="1568"/>
      <c r="T7" s="1364"/>
      <c r="U7" s="1561">
        <f>'meine Dünger'!C7</f>
        <v>0</v>
      </c>
      <c r="V7" s="1562">
        <f>Summen_Acker!F6</f>
        <v>0</v>
      </c>
      <c r="W7" s="878"/>
      <c r="X7" s="878"/>
      <c r="Y7" s="878"/>
      <c r="Z7" s="878"/>
      <c r="AD7" s="1"/>
      <c r="AE7" s="1"/>
      <c r="AF7" s="289" t="s">
        <v>29</v>
      </c>
      <c r="AG7" s="352">
        <f t="shared" si="1"/>
        <v>0</v>
      </c>
      <c r="AH7" s="352">
        <f t="shared" si="2"/>
        <v>0</v>
      </c>
      <c r="AI7" s="353" t="s">
        <v>806</v>
      </c>
      <c r="AJ7" s="354">
        <v>105</v>
      </c>
      <c r="AK7" s="354">
        <v>145</v>
      </c>
      <c r="AL7" s="354">
        <v>170</v>
      </c>
      <c r="AM7" s="354">
        <v>180</v>
      </c>
      <c r="AN7" s="354">
        <v>195</v>
      </c>
      <c r="AO7" s="243"/>
      <c r="AP7" s="267" t="s">
        <v>806</v>
      </c>
      <c r="AQ7" s="355">
        <v>50</v>
      </c>
      <c r="AR7" s="355">
        <v>55</v>
      </c>
      <c r="AS7" s="355">
        <v>65</v>
      </c>
      <c r="AT7" s="355">
        <v>65</v>
      </c>
      <c r="AU7" s="355">
        <v>65</v>
      </c>
    </row>
    <row r="8" spans="1:47" ht="21" customHeight="1">
      <c r="A8" s="878"/>
      <c r="B8" s="1567"/>
      <c r="C8" s="1312"/>
      <c r="D8" s="1313"/>
      <c r="E8" s="1315">
        <f t="shared" si="0"/>
        <v>0</v>
      </c>
      <c r="F8" s="1314"/>
      <c r="G8" s="1466">
        <f>Summen_Acker!M34</f>
        <v>0</v>
      </c>
      <c r="H8" s="1466">
        <f t="shared" si="3"/>
        <v>0</v>
      </c>
      <c r="I8" s="1466">
        <f t="shared" si="4"/>
        <v>0</v>
      </c>
      <c r="J8" s="1467"/>
      <c r="K8" s="1468"/>
      <c r="L8" s="1467"/>
      <c r="M8" s="1468"/>
      <c r="N8" s="1467"/>
      <c r="O8" s="1468"/>
      <c r="P8" s="1467"/>
      <c r="Q8" s="1468"/>
      <c r="R8" s="1467"/>
      <c r="S8" s="1568"/>
      <c r="T8" s="1364"/>
      <c r="U8" s="1561">
        <f>'meine Dünger'!C8</f>
        <v>0</v>
      </c>
      <c r="V8" s="1562">
        <f>Summen_Acker!F7</f>
        <v>0</v>
      </c>
      <c r="W8" s="878"/>
      <c r="X8" s="878"/>
      <c r="Y8" s="878"/>
      <c r="Z8" s="878"/>
      <c r="AD8" s="1"/>
      <c r="AE8" s="1"/>
      <c r="AF8" s="289" t="s">
        <v>8</v>
      </c>
      <c r="AG8" s="352">
        <f t="shared" si="1"/>
        <v>0</v>
      </c>
      <c r="AH8" s="352">
        <f t="shared" si="2"/>
        <v>0</v>
      </c>
      <c r="AI8" s="353" t="s">
        <v>807</v>
      </c>
      <c r="AJ8" s="354">
        <v>80</v>
      </c>
      <c r="AK8" s="354">
        <v>110</v>
      </c>
      <c r="AL8" s="354">
        <v>130</v>
      </c>
      <c r="AM8" s="354">
        <v>140</v>
      </c>
      <c r="AN8" s="354">
        <v>150</v>
      </c>
      <c r="AO8" s="243"/>
      <c r="AP8" s="267" t="s">
        <v>807</v>
      </c>
      <c r="AQ8" s="355">
        <v>50</v>
      </c>
      <c r="AR8" s="355">
        <v>55</v>
      </c>
      <c r="AS8" s="355">
        <v>65</v>
      </c>
      <c r="AT8" s="355">
        <v>65</v>
      </c>
      <c r="AU8" s="355">
        <v>65</v>
      </c>
    </row>
    <row r="9" spans="1:47" ht="21" customHeight="1">
      <c r="A9" s="878"/>
      <c r="B9" s="1567"/>
      <c r="C9" s="1312"/>
      <c r="D9" s="1313"/>
      <c r="E9" s="1315">
        <f t="shared" si="0"/>
        <v>0</v>
      </c>
      <c r="F9" s="1314"/>
      <c r="G9" s="1466">
        <f>Summen_Acker!N$34</f>
        <v>0</v>
      </c>
      <c r="H9" s="1466">
        <f t="shared" si="3"/>
        <v>0</v>
      </c>
      <c r="I9" s="1466">
        <f t="shared" si="4"/>
        <v>0</v>
      </c>
      <c r="J9" s="1467"/>
      <c r="K9" s="1468"/>
      <c r="L9" s="1467"/>
      <c r="M9" s="1468"/>
      <c r="N9" s="1467"/>
      <c r="O9" s="1468"/>
      <c r="P9" s="1467"/>
      <c r="Q9" s="1468"/>
      <c r="R9" s="1467"/>
      <c r="S9" s="1568"/>
      <c r="T9" s="1364"/>
      <c r="U9" s="1561">
        <f>'meine Dünger'!C9</f>
        <v>0</v>
      </c>
      <c r="V9" s="1562">
        <f>Summen_Acker!F8</f>
        <v>0</v>
      </c>
      <c r="W9" s="878"/>
      <c r="X9" s="878"/>
      <c r="Y9" s="878"/>
      <c r="Z9" s="878"/>
      <c r="AD9" s="1"/>
      <c r="AE9" s="1"/>
      <c r="AF9" s="771" t="s">
        <v>9</v>
      </c>
      <c r="AG9" s="352">
        <f t="shared" si="1"/>
        <v>0</v>
      </c>
      <c r="AH9" s="352">
        <f t="shared" si="2"/>
        <v>0</v>
      </c>
      <c r="AI9" s="353" t="s">
        <v>16</v>
      </c>
      <c r="AJ9" s="354">
        <v>95</v>
      </c>
      <c r="AK9" s="354">
        <v>130</v>
      </c>
      <c r="AL9" s="354">
        <v>155</v>
      </c>
      <c r="AM9" s="354">
        <v>170</v>
      </c>
      <c r="AN9" s="354">
        <v>180</v>
      </c>
      <c r="AO9" s="243"/>
      <c r="AP9" s="267" t="s">
        <v>16</v>
      </c>
      <c r="AQ9" s="355">
        <v>50</v>
      </c>
      <c r="AR9" s="355">
        <v>55</v>
      </c>
      <c r="AS9" s="355">
        <v>65</v>
      </c>
      <c r="AT9" s="355">
        <v>65</v>
      </c>
      <c r="AU9" s="355">
        <v>65</v>
      </c>
    </row>
    <row r="10" spans="1:47" ht="21" customHeight="1">
      <c r="A10" s="878"/>
      <c r="B10" s="1567"/>
      <c r="C10" s="1312"/>
      <c r="D10" s="1313"/>
      <c r="E10" s="1315">
        <f t="shared" si="0"/>
        <v>0</v>
      </c>
      <c r="F10" s="1314"/>
      <c r="G10" s="1466">
        <f>Summen_Acker!O$34</f>
        <v>0</v>
      </c>
      <c r="H10" s="1466">
        <f t="shared" si="3"/>
        <v>0</v>
      </c>
      <c r="I10" s="1466">
        <f t="shared" si="4"/>
        <v>0</v>
      </c>
      <c r="J10" s="1467"/>
      <c r="K10" s="1468"/>
      <c r="L10" s="1467"/>
      <c r="M10" s="1468"/>
      <c r="N10" s="1467"/>
      <c r="O10" s="1468"/>
      <c r="P10" s="1467"/>
      <c r="Q10" s="1468"/>
      <c r="R10" s="1467"/>
      <c r="S10" s="1568"/>
      <c r="T10" s="1364"/>
      <c r="U10" s="1561">
        <f>'meine Dünger'!C10</f>
        <v>0</v>
      </c>
      <c r="V10" s="1562">
        <f>Summen_Acker!F9</f>
        <v>0</v>
      </c>
      <c r="W10" s="878"/>
      <c r="X10" s="878"/>
      <c r="Y10" s="878"/>
      <c r="Z10" s="878"/>
      <c r="AD10" s="1"/>
      <c r="AE10" s="1"/>
      <c r="AF10" s="1"/>
      <c r="AG10" s="352">
        <f t="shared" si="1"/>
        <v>0</v>
      </c>
      <c r="AH10" s="352">
        <f t="shared" si="2"/>
        <v>0</v>
      </c>
      <c r="AI10" s="353" t="s">
        <v>808</v>
      </c>
      <c r="AJ10" s="354">
        <v>90</v>
      </c>
      <c r="AK10" s="354">
        <v>120</v>
      </c>
      <c r="AL10" s="354">
        <v>145</v>
      </c>
      <c r="AM10" s="354">
        <v>155</v>
      </c>
      <c r="AN10" s="354">
        <v>165</v>
      </c>
      <c r="AO10" s="243"/>
      <c r="AP10" s="267" t="s">
        <v>808</v>
      </c>
      <c r="AQ10" s="355">
        <v>50</v>
      </c>
      <c r="AR10" s="355">
        <v>55</v>
      </c>
      <c r="AS10" s="355">
        <v>65</v>
      </c>
      <c r="AT10" s="355">
        <v>65</v>
      </c>
      <c r="AU10" s="355">
        <v>65</v>
      </c>
    </row>
    <row r="11" spans="1:47" ht="21" customHeight="1">
      <c r="A11" s="878"/>
      <c r="B11" s="1567"/>
      <c r="C11" s="1312"/>
      <c r="D11" s="1313"/>
      <c r="E11" s="1315">
        <f t="shared" si="0"/>
        <v>0</v>
      </c>
      <c r="F11" s="1314"/>
      <c r="G11" s="1466">
        <f>Summen_Acker!P$34</f>
        <v>0</v>
      </c>
      <c r="H11" s="1466">
        <f t="shared" si="3"/>
        <v>0</v>
      </c>
      <c r="I11" s="1466">
        <f t="shared" si="4"/>
        <v>0</v>
      </c>
      <c r="J11" s="1467"/>
      <c r="K11" s="1468"/>
      <c r="L11" s="1467"/>
      <c r="M11" s="1468"/>
      <c r="N11" s="1467"/>
      <c r="O11" s="1468"/>
      <c r="P11" s="1467"/>
      <c r="Q11" s="1468"/>
      <c r="R11" s="1467"/>
      <c r="S11" s="1568"/>
      <c r="T11" s="1364"/>
      <c r="U11" s="1561">
        <f>'meine Dünger'!C11</f>
        <v>0</v>
      </c>
      <c r="V11" s="1562">
        <f>Summen_Acker!F10</f>
        <v>0</v>
      </c>
      <c r="W11" s="878"/>
      <c r="X11" s="878"/>
      <c r="Y11" s="878"/>
      <c r="Z11" s="878"/>
      <c r="AD11" s="1"/>
      <c r="AE11" s="1"/>
      <c r="AF11" s="771" t="s">
        <v>22</v>
      </c>
      <c r="AG11" s="352">
        <f t="shared" si="1"/>
        <v>0</v>
      </c>
      <c r="AH11" s="352">
        <f t="shared" si="2"/>
        <v>0</v>
      </c>
      <c r="AI11" s="353" t="s">
        <v>809</v>
      </c>
      <c r="AJ11" s="354">
        <v>80</v>
      </c>
      <c r="AK11" s="354">
        <v>110</v>
      </c>
      <c r="AL11" s="354">
        <v>130</v>
      </c>
      <c r="AM11" s="354">
        <v>140</v>
      </c>
      <c r="AN11" s="354">
        <v>150</v>
      </c>
      <c r="AO11" s="243"/>
      <c r="AP11" s="267" t="s">
        <v>809</v>
      </c>
      <c r="AQ11" s="355">
        <v>50</v>
      </c>
      <c r="AR11" s="355">
        <v>55</v>
      </c>
      <c r="AS11" s="355">
        <v>65</v>
      </c>
      <c r="AT11" s="355">
        <v>65</v>
      </c>
      <c r="AU11" s="355">
        <v>65</v>
      </c>
    </row>
    <row r="12" spans="1:47" ht="21" customHeight="1">
      <c r="A12" s="878"/>
      <c r="B12" s="1567"/>
      <c r="C12" s="1312"/>
      <c r="D12" s="1313"/>
      <c r="E12" s="1315">
        <f t="shared" si="0"/>
        <v>0</v>
      </c>
      <c r="F12" s="1314"/>
      <c r="G12" s="1466">
        <f>Summen_Acker!Q$34</f>
        <v>0</v>
      </c>
      <c r="H12" s="1466">
        <f t="shared" si="3"/>
        <v>0</v>
      </c>
      <c r="I12" s="1466">
        <f t="shared" si="4"/>
        <v>0</v>
      </c>
      <c r="J12" s="1467"/>
      <c r="K12" s="1468"/>
      <c r="L12" s="1467"/>
      <c r="M12" s="1468"/>
      <c r="N12" s="1467"/>
      <c r="O12" s="1468"/>
      <c r="P12" s="1467"/>
      <c r="Q12" s="1468"/>
      <c r="R12" s="1467"/>
      <c r="S12" s="1568"/>
      <c r="T12" s="1364"/>
      <c r="U12" s="1561">
        <f>'meine Dünger'!C12</f>
        <v>0</v>
      </c>
      <c r="V12" s="1562">
        <f>Summen_Acker!F11</f>
        <v>0</v>
      </c>
      <c r="W12" s="878"/>
      <c r="X12" s="878"/>
      <c r="Y12" s="878"/>
      <c r="Z12" s="878"/>
      <c r="AD12" s="1"/>
      <c r="AE12" s="1"/>
      <c r="AF12" s="771" t="s">
        <v>26</v>
      </c>
      <c r="AG12" s="352">
        <f t="shared" si="1"/>
        <v>0</v>
      </c>
      <c r="AH12" s="352">
        <f t="shared" si="2"/>
        <v>0</v>
      </c>
      <c r="AI12" s="353" t="s">
        <v>810</v>
      </c>
      <c r="AJ12" s="354">
        <v>70</v>
      </c>
      <c r="AK12" s="354">
        <v>100</v>
      </c>
      <c r="AL12" s="354">
        <v>115</v>
      </c>
      <c r="AM12" s="354">
        <v>125</v>
      </c>
      <c r="AN12" s="354">
        <v>135</v>
      </c>
      <c r="AO12" s="243"/>
      <c r="AP12" s="267" t="s">
        <v>810</v>
      </c>
      <c r="AQ12" s="355">
        <v>50</v>
      </c>
      <c r="AR12" s="355">
        <v>55</v>
      </c>
      <c r="AS12" s="355">
        <v>65</v>
      </c>
      <c r="AT12" s="355">
        <v>65</v>
      </c>
      <c r="AU12" s="355">
        <v>65</v>
      </c>
    </row>
    <row r="13" spans="1:47" ht="21" customHeight="1">
      <c r="A13" s="878"/>
      <c r="B13" s="1567"/>
      <c r="C13" s="1312"/>
      <c r="D13" s="1313"/>
      <c r="E13" s="1315">
        <f t="shared" si="0"/>
        <v>0</v>
      </c>
      <c r="F13" s="1314"/>
      <c r="G13" s="1466">
        <f>Summen_Acker!R$34</f>
        <v>0</v>
      </c>
      <c r="H13" s="1466">
        <f t="shared" si="3"/>
        <v>0</v>
      </c>
      <c r="I13" s="1466">
        <f t="shared" si="4"/>
        <v>0</v>
      </c>
      <c r="J13" s="1467"/>
      <c r="K13" s="1468"/>
      <c r="L13" s="1467"/>
      <c r="M13" s="1468"/>
      <c r="N13" s="1467"/>
      <c r="O13" s="1468"/>
      <c r="P13" s="1467"/>
      <c r="Q13" s="1468"/>
      <c r="R13" s="1467"/>
      <c r="S13" s="1568"/>
      <c r="T13" s="1364"/>
      <c r="U13" s="1561">
        <f>'meine Dünger'!C13</f>
        <v>0</v>
      </c>
      <c r="V13" s="1562">
        <f>Summen_Acker!F12</f>
        <v>0</v>
      </c>
      <c r="W13" s="878"/>
      <c r="X13" s="878"/>
      <c r="Y13" s="878"/>
      <c r="Z13" s="878"/>
      <c r="AD13" s="1"/>
      <c r="AE13" s="1"/>
      <c r="AF13" s="771" t="s">
        <v>27</v>
      </c>
      <c r="AG13" s="352">
        <f t="shared" si="1"/>
        <v>0</v>
      </c>
      <c r="AH13" s="352">
        <f t="shared" si="2"/>
        <v>0</v>
      </c>
      <c r="AI13" s="353" t="s">
        <v>811</v>
      </c>
      <c r="AJ13" s="354">
        <v>65</v>
      </c>
      <c r="AK13" s="354">
        <v>80</v>
      </c>
      <c r="AL13" s="354">
        <v>95</v>
      </c>
      <c r="AM13" s="354">
        <v>105</v>
      </c>
      <c r="AN13" s="354">
        <v>110</v>
      </c>
      <c r="AO13" s="243"/>
      <c r="AP13" s="267" t="s">
        <v>811</v>
      </c>
      <c r="AQ13" s="355">
        <v>50</v>
      </c>
      <c r="AR13" s="355">
        <v>55</v>
      </c>
      <c r="AS13" s="355">
        <v>65</v>
      </c>
      <c r="AT13" s="355">
        <v>65</v>
      </c>
      <c r="AU13" s="355">
        <v>65</v>
      </c>
    </row>
    <row r="14" spans="1:47" ht="21" customHeight="1">
      <c r="A14" s="878"/>
      <c r="B14" s="1567"/>
      <c r="C14" s="1312"/>
      <c r="D14" s="1313"/>
      <c r="E14" s="1315">
        <f t="shared" si="0"/>
        <v>0</v>
      </c>
      <c r="F14" s="1314"/>
      <c r="G14" s="1466">
        <f>Summen_Acker!S$34</f>
        <v>0</v>
      </c>
      <c r="H14" s="1466">
        <f t="shared" si="3"/>
        <v>0</v>
      </c>
      <c r="I14" s="1466">
        <f t="shared" si="4"/>
        <v>0</v>
      </c>
      <c r="J14" s="1467"/>
      <c r="K14" s="1468"/>
      <c r="L14" s="1467"/>
      <c r="M14" s="1468"/>
      <c r="N14" s="1467"/>
      <c r="O14" s="1468"/>
      <c r="P14" s="1467"/>
      <c r="Q14" s="1468"/>
      <c r="R14" s="1467"/>
      <c r="S14" s="1568"/>
      <c r="T14" s="1364"/>
      <c r="U14" s="1561">
        <f>'meine Dünger'!C14</f>
        <v>0</v>
      </c>
      <c r="V14" s="1562">
        <f>Summen_Acker!F13</f>
        <v>0</v>
      </c>
      <c r="W14" s="878"/>
      <c r="X14" s="878"/>
      <c r="Y14" s="878"/>
      <c r="Z14" s="878"/>
      <c r="AD14" s="1"/>
      <c r="AE14" s="1"/>
      <c r="AF14" s="773"/>
      <c r="AG14" s="352">
        <f t="shared" si="1"/>
        <v>0</v>
      </c>
      <c r="AH14" s="352">
        <f t="shared" si="2"/>
        <v>0</v>
      </c>
      <c r="AI14" s="353" t="s">
        <v>18</v>
      </c>
      <c r="AJ14" s="354">
        <v>80</v>
      </c>
      <c r="AK14" s="354">
        <v>110</v>
      </c>
      <c r="AL14" s="354">
        <v>130</v>
      </c>
      <c r="AM14" s="354">
        <v>140</v>
      </c>
      <c r="AN14" s="354">
        <v>150</v>
      </c>
      <c r="AO14" s="243"/>
      <c r="AP14" s="267" t="s">
        <v>18</v>
      </c>
      <c r="AQ14" s="355">
        <v>50</v>
      </c>
      <c r="AR14" s="355">
        <v>55</v>
      </c>
      <c r="AS14" s="355">
        <v>65</v>
      </c>
      <c r="AT14" s="355">
        <v>65</v>
      </c>
      <c r="AU14" s="355">
        <v>65</v>
      </c>
    </row>
    <row r="15" spans="1:47" ht="23.25" customHeight="1">
      <c r="A15" s="878"/>
      <c r="B15" s="1567"/>
      <c r="C15" s="1312"/>
      <c r="D15" s="1313"/>
      <c r="E15" s="1315">
        <f t="shared" si="0"/>
        <v>0</v>
      </c>
      <c r="F15" s="1314"/>
      <c r="G15" s="1466">
        <f>Summen_Acker!T$34</f>
        <v>0</v>
      </c>
      <c r="H15" s="1466">
        <f t="shared" si="3"/>
        <v>0</v>
      </c>
      <c r="I15" s="1466">
        <f t="shared" si="4"/>
        <v>0</v>
      </c>
      <c r="J15" s="1467"/>
      <c r="K15" s="1468"/>
      <c r="L15" s="1467"/>
      <c r="M15" s="1468"/>
      <c r="N15" s="1467"/>
      <c r="O15" s="1468"/>
      <c r="P15" s="1467"/>
      <c r="Q15" s="1468"/>
      <c r="R15" s="1467"/>
      <c r="S15" s="1568"/>
      <c r="T15" s="1004"/>
      <c r="U15" s="1561">
        <f>'meine Dünger'!C15</f>
        <v>0</v>
      </c>
      <c r="V15" s="1562">
        <f>Summen_Acker!F14</f>
        <v>0</v>
      </c>
      <c r="W15" s="878"/>
      <c r="X15" s="877"/>
      <c r="Y15" s="877"/>
      <c r="Z15" s="877"/>
      <c r="AA15" s="1"/>
      <c r="AB15" s="1"/>
      <c r="AC15" s="1"/>
      <c r="AD15" s="1"/>
      <c r="AE15" s="1"/>
      <c r="AF15" s="1"/>
      <c r="AG15" s="352">
        <f t="shared" si="1"/>
        <v>0</v>
      </c>
      <c r="AH15" s="352">
        <f t="shared" si="2"/>
        <v>0</v>
      </c>
      <c r="AI15" s="353" t="s">
        <v>20</v>
      </c>
      <c r="AJ15" s="354">
        <v>110</v>
      </c>
      <c r="AK15" s="354">
        <v>155</v>
      </c>
      <c r="AL15" s="354">
        <v>180</v>
      </c>
      <c r="AM15" s="354">
        <v>195</v>
      </c>
      <c r="AN15" s="354">
        <v>210</v>
      </c>
      <c r="AO15" s="243"/>
      <c r="AP15" s="267" t="s">
        <v>20</v>
      </c>
      <c r="AQ15" s="355">
        <v>75</v>
      </c>
      <c r="AR15" s="355">
        <v>85</v>
      </c>
      <c r="AS15" s="355">
        <v>100</v>
      </c>
      <c r="AT15" s="355">
        <v>100</v>
      </c>
      <c r="AU15" s="355">
        <v>100</v>
      </c>
    </row>
    <row r="16" spans="1:47" ht="23.25" customHeight="1">
      <c r="A16" s="878"/>
      <c r="B16" s="1567"/>
      <c r="C16" s="1312"/>
      <c r="D16" s="1313"/>
      <c r="E16" s="1315">
        <f t="shared" si="0"/>
        <v>0</v>
      </c>
      <c r="F16" s="1314"/>
      <c r="G16" s="1466">
        <f>Summen_Acker!U$34</f>
        <v>0</v>
      </c>
      <c r="H16" s="1466">
        <f t="shared" si="3"/>
        <v>0</v>
      </c>
      <c r="I16" s="1466">
        <f t="shared" si="4"/>
        <v>0</v>
      </c>
      <c r="J16" s="1467"/>
      <c r="K16" s="1468"/>
      <c r="L16" s="1467"/>
      <c r="M16" s="1468"/>
      <c r="N16" s="1467"/>
      <c r="O16" s="1468"/>
      <c r="P16" s="1467"/>
      <c r="Q16" s="1468"/>
      <c r="R16" s="1467"/>
      <c r="S16" s="1568"/>
      <c r="T16" s="1364"/>
      <c r="U16" s="1577">
        <f>'meine Dünger'!C16</f>
        <v>0</v>
      </c>
      <c r="V16" s="1578">
        <f>Summen_Acker!F15</f>
        <v>0</v>
      </c>
      <c r="W16" s="878"/>
      <c r="X16" s="877"/>
      <c r="Y16" s="877"/>
      <c r="Z16" s="877"/>
      <c r="AA16" s="1"/>
      <c r="AB16" s="1"/>
      <c r="AC16" s="1"/>
      <c r="AD16" s="1"/>
      <c r="AE16" s="1"/>
      <c r="AF16" s="1"/>
      <c r="AG16" s="352">
        <f t="shared" si="1"/>
        <v>0</v>
      </c>
      <c r="AH16" s="352">
        <f t="shared" si="2"/>
        <v>0</v>
      </c>
      <c r="AI16" s="353" t="s">
        <v>812</v>
      </c>
      <c r="AJ16" s="354">
        <v>130</v>
      </c>
      <c r="AK16" s="354">
        <v>175</v>
      </c>
      <c r="AL16" s="354">
        <v>210</v>
      </c>
      <c r="AM16" s="354">
        <v>225</v>
      </c>
      <c r="AN16" s="354">
        <v>240</v>
      </c>
      <c r="AO16" s="243"/>
      <c r="AP16" s="267" t="s">
        <v>812</v>
      </c>
      <c r="AQ16" s="355">
        <v>80</v>
      </c>
      <c r="AR16" s="355">
        <v>90</v>
      </c>
      <c r="AS16" s="355">
        <v>105</v>
      </c>
      <c r="AT16" s="355">
        <v>105</v>
      </c>
      <c r="AU16" s="355">
        <v>105</v>
      </c>
    </row>
    <row r="17" spans="1:47" ht="23.25" customHeight="1">
      <c r="A17" s="878"/>
      <c r="B17" s="1569" t="s">
        <v>1253</v>
      </c>
      <c r="C17" s="1312"/>
      <c r="D17" s="1313"/>
      <c r="E17" s="1314"/>
      <c r="F17" s="1314"/>
      <c r="G17" s="1466">
        <f>Summen_Acker!V$34</f>
        <v>0</v>
      </c>
      <c r="H17" s="1466">
        <f t="shared" si="3"/>
        <v>0</v>
      </c>
      <c r="I17" s="1466">
        <f t="shared" si="4"/>
        <v>0</v>
      </c>
      <c r="J17" s="1467"/>
      <c r="K17" s="1468"/>
      <c r="L17" s="1467"/>
      <c r="M17" s="1468"/>
      <c r="N17" s="1467"/>
      <c r="O17" s="1468"/>
      <c r="P17" s="1467"/>
      <c r="Q17" s="1468"/>
      <c r="R17" s="1467"/>
      <c r="S17" s="1568"/>
      <c r="T17" s="1004"/>
      <c r="U17" s="1512" t="s">
        <v>1246</v>
      </c>
      <c r="V17" s="1513" t="str">
        <f>'meine Dünger'!O31</f>
        <v/>
      </c>
      <c r="W17" s="878"/>
      <c r="X17" s="877"/>
      <c r="Y17" s="877"/>
      <c r="Z17" s="877"/>
      <c r="AA17" s="1"/>
      <c r="AB17" s="1"/>
      <c r="AC17" s="1"/>
      <c r="AD17" s="1"/>
      <c r="AE17" s="1"/>
      <c r="AF17" s="1"/>
      <c r="AG17" s="1"/>
      <c r="AH17" s="1"/>
      <c r="AI17" s="353" t="s">
        <v>38</v>
      </c>
      <c r="AJ17" s="354">
        <v>110</v>
      </c>
      <c r="AK17" s="354">
        <v>155</v>
      </c>
      <c r="AL17" s="354">
        <v>180</v>
      </c>
      <c r="AM17" s="354">
        <v>195</v>
      </c>
      <c r="AN17" s="354">
        <v>210</v>
      </c>
      <c r="AO17" s="243"/>
      <c r="AP17" s="267" t="s">
        <v>38</v>
      </c>
      <c r="AQ17" s="355">
        <v>75</v>
      </c>
      <c r="AR17" s="355">
        <v>85</v>
      </c>
      <c r="AS17" s="355">
        <v>100</v>
      </c>
      <c r="AT17" s="355">
        <v>100</v>
      </c>
      <c r="AU17" s="355">
        <v>100</v>
      </c>
    </row>
    <row r="18" spans="1:47" ht="23.25" customHeight="1">
      <c r="A18" s="878"/>
      <c r="B18" s="1569" t="s">
        <v>1253</v>
      </c>
      <c r="C18" s="1570"/>
      <c r="D18" s="1571"/>
      <c r="E18" s="1572"/>
      <c r="F18" s="1572"/>
      <c r="G18" s="1573">
        <f>Summen_Acker!W$34</f>
        <v>0</v>
      </c>
      <c r="H18" s="1573">
        <f t="shared" si="3"/>
        <v>0</v>
      </c>
      <c r="I18" s="1573">
        <f t="shared" si="4"/>
        <v>0</v>
      </c>
      <c r="J18" s="1467"/>
      <c r="K18" s="1575"/>
      <c r="L18" s="1467"/>
      <c r="M18" s="1575"/>
      <c r="N18" s="1574"/>
      <c r="O18" s="1575"/>
      <c r="P18" s="1574"/>
      <c r="Q18" s="1575"/>
      <c r="R18" s="1574"/>
      <c r="S18" s="1576"/>
      <c r="T18" s="1004"/>
      <c r="U18" s="1004"/>
      <c r="V18" s="1004"/>
      <c r="W18" s="878"/>
      <c r="X18" s="877"/>
      <c r="Y18" s="877"/>
      <c r="Z18" s="877"/>
      <c r="AA18" s="1"/>
      <c r="AB18" s="1"/>
      <c r="AC18" s="1"/>
      <c r="AD18" s="1"/>
      <c r="AE18" s="1"/>
      <c r="AF18" s="1"/>
      <c r="AG18" s="1"/>
      <c r="AH18" s="1"/>
      <c r="AI18" s="353" t="s">
        <v>39</v>
      </c>
      <c r="AJ18" s="354">
        <v>130</v>
      </c>
      <c r="AK18" s="354">
        <v>175</v>
      </c>
      <c r="AL18" s="354">
        <v>210</v>
      </c>
      <c r="AM18" s="354">
        <v>225</v>
      </c>
      <c r="AN18" s="354">
        <v>240</v>
      </c>
      <c r="AO18" s="243"/>
      <c r="AP18" s="267" t="s">
        <v>39</v>
      </c>
      <c r="AQ18" s="355">
        <v>85</v>
      </c>
      <c r="AR18" s="355">
        <v>95</v>
      </c>
      <c r="AS18" s="355">
        <v>110</v>
      </c>
      <c r="AT18" s="355">
        <v>110</v>
      </c>
      <c r="AU18" s="355">
        <v>110</v>
      </c>
    </row>
    <row r="19" spans="1:47" ht="23.25" customHeight="1">
      <c r="A19" s="878"/>
      <c r="B19" s="1364"/>
      <c r="C19" s="1564">
        <f>SUM(C5:C18)</f>
        <v>0</v>
      </c>
      <c r="D19" s="1364"/>
      <c r="E19" s="1364"/>
      <c r="F19" s="1364"/>
      <c r="G19" s="1564">
        <f>SUM(G5:G18)</f>
        <v>0</v>
      </c>
      <c r="H19" s="1364"/>
      <c r="I19" s="1364"/>
      <c r="J19" s="1364"/>
      <c r="K19" s="1365"/>
      <c r="L19" s="1365"/>
      <c r="M19" s="1365"/>
      <c r="N19" s="1365"/>
      <c r="O19" s="1365"/>
      <c r="P19" s="1365"/>
      <c r="Q19" s="1365"/>
      <c r="R19" s="1365"/>
      <c r="S19" s="1004"/>
      <c r="T19" s="1004"/>
      <c r="U19" s="1004"/>
      <c r="V19" s="1004"/>
      <c r="W19" s="878"/>
      <c r="X19" s="877"/>
      <c r="Y19" s="877"/>
      <c r="Z19" s="877"/>
      <c r="AA19" s="1"/>
      <c r="AB19" s="1"/>
      <c r="AC19" s="1"/>
      <c r="AD19" s="1"/>
      <c r="AE19" s="1"/>
      <c r="AF19" s="1"/>
      <c r="AG19" s="1"/>
      <c r="AH19" s="1"/>
      <c r="AI19" s="353" t="s">
        <v>813</v>
      </c>
      <c r="AJ19" s="354">
        <v>110</v>
      </c>
      <c r="AK19" s="354">
        <v>155</v>
      </c>
      <c r="AL19" s="354">
        <v>180</v>
      </c>
      <c r="AM19" s="354">
        <v>195</v>
      </c>
      <c r="AN19" s="354">
        <v>210</v>
      </c>
      <c r="AO19" s="243"/>
      <c r="AP19" s="267" t="s">
        <v>813</v>
      </c>
      <c r="AQ19" s="355">
        <v>70</v>
      </c>
      <c r="AR19" s="355">
        <v>75</v>
      </c>
      <c r="AS19" s="355">
        <v>85</v>
      </c>
      <c r="AT19" s="355">
        <v>85</v>
      </c>
      <c r="AU19" s="355">
        <v>85</v>
      </c>
    </row>
    <row r="20" spans="1:47" ht="23.25" customHeight="1" thickBot="1">
      <c r="A20" s="878"/>
      <c r="B20" s="1364"/>
      <c r="C20" s="1364"/>
      <c r="D20" s="1364"/>
      <c r="E20" s="1364"/>
      <c r="F20" s="1364"/>
      <c r="G20" s="1364"/>
      <c r="H20" s="1364"/>
      <c r="I20" s="1364"/>
      <c r="J20" s="1364"/>
      <c r="K20" s="1365"/>
      <c r="L20" s="1365"/>
      <c r="M20" s="1365"/>
      <c r="N20" s="1365"/>
      <c r="O20" s="1365"/>
      <c r="P20" s="1365"/>
      <c r="Q20" s="1365"/>
      <c r="R20" s="1365"/>
      <c r="S20" s="1004"/>
      <c r="T20" s="1004"/>
      <c r="U20" s="1004"/>
      <c r="V20" s="1004"/>
      <c r="W20" s="878"/>
      <c r="X20" s="877"/>
      <c r="Y20" s="877"/>
      <c r="Z20" s="877"/>
      <c r="AA20" s="1"/>
      <c r="AB20" s="1"/>
      <c r="AC20" s="1"/>
      <c r="AD20" s="1"/>
      <c r="AE20" s="1"/>
      <c r="AF20" s="1"/>
      <c r="AG20" s="1"/>
      <c r="AH20" s="1"/>
      <c r="AI20" s="353" t="s">
        <v>814</v>
      </c>
      <c r="AJ20" s="354">
        <v>60</v>
      </c>
      <c r="AK20" s="354">
        <v>60</v>
      </c>
      <c r="AL20" s="354">
        <v>60</v>
      </c>
      <c r="AM20" s="354">
        <v>60</v>
      </c>
      <c r="AN20" s="354">
        <v>60</v>
      </c>
      <c r="AO20" s="243"/>
      <c r="AP20" s="267" t="s">
        <v>814</v>
      </c>
      <c r="AQ20" s="355">
        <v>60</v>
      </c>
      <c r="AR20" s="355">
        <v>65</v>
      </c>
      <c r="AS20" s="355">
        <v>75</v>
      </c>
      <c r="AT20" s="355">
        <v>75</v>
      </c>
      <c r="AU20" s="355">
        <v>75</v>
      </c>
    </row>
    <row r="21" spans="1:47" ht="18" customHeight="1">
      <c r="A21" s="878"/>
      <c r="B21" s="1542" t="s">
        <v>1250</v>
      </c>
      <c r="C21" s="1543"/>
      <c r="D21" s="1461"/>
      <c r="E21" s="1462"/>
      <c r="F21" s="1451" t="s">
        <v>1232</v>
      </c>
      <c r="G21" s="1364"/>
      <c r="H21" s="1364"/>
      <c r="I21" s="1364"/>
      <c r="J21" s="1364"/>
      <c r="K21" s="1365"/>
      <c r="L21" s="1365"/>
      <c r="M21" s="1365"/>
      <c r="N21" s="1365"/>
      <c r="O21" s="1365"/>
      <c r="P21" s="1365"/>
      <c r="Q21" s="1365"/>
      <c r="R21" s="1365"/>
      <c r="S21" s="1004"/>
      <c r="T21" s="1004"/>
      <c r="U21" s="1004"/>
      <c r="V21" s="1004"/>
      <c r="W21" s="878"/>
      <c r="X21" s="877"/>
      <c r="Y21" s="877"/>
      <c r="Z21" s="877"/>
      <c r="AA21" s="1"/>
      <c r="AB21" s="1"/>
      <c r="AC21" s="1"/>
      <c r="AD21" s="1"/>
      <c r="AE21" s="1"/>
      <c r="AF21" s="1"/>
      <c r="AG21" s="1"/>
      <c r="AH21" s="1"/>
      <c r="AI21" s="353" t="s">
        <v>37</v>
      </c>
      <c r="AJ21" s="354">
        <v>60</v>
      </c>
      <c r="AK21" s="354">
        <v>60</v>
      </c>
      <c r="AL21" s="354">
        <v>60</v>
      </c>
      <c r="AM21" s="354">
        <v>60</v>
      </c>
      <c r="AN21" s="354">
        <v>60</v>
      </c>
      <c r="AO21" s="243"/>
      <c r="AP21" s="267" t="s">
        <v>37</v>
      </c>
      <c r="AQ21" s="355">
        <v>60</v>
      </c>
      <c r="AR21" s="355">
        <v>65</v>
      </c>
      <c r="AS21" s="355">
        <v>75</v>
      </c>
      <c r="AT21" s="355">
        <v>75</v>
      </c>
      <c r="AU21" s="355">
        <v>75</v>
      </c>
    </row>
    <row r="22" spans="1:47" ht="18" customHeight="1">
      <c r="A22" s="878"/>
      <c r="B22" s="1539" t="s">
        <v>13</v>
      </c>
      <c r="C22" s="1457"/>
      <c r="D22" s="1457"/>
      <c r="E22" s="1458"/>
      <c r="F22" s="1452">
        <v>20</v>
      </c>
      <c r="G22" s="1364"/>
      <c r="H22" s="1364"/>
      <c r="I22" s="1364"/>
      <c r="J22" s="1364"/>
      <c r="K22" s="1365"/>
      <c r="L22" s="1365"/>
      <c r="M22" s="1365"/>
      <c r="N22" s="1365"/>
      <c r="O22" s="1365"/>
      <c r="P22" s="1365"/>
      <c r="Q22" s="1365"/>
      <c r="R22" s="1365"/>
      <c r="S22" s="1004"/>
      <c r="T22" s="1004"/>
      <c r="U22" s="1004"/>
      <c r="V22" s="1004"/>
      <c r="W22" s="878"/>
      <c r="X22" s="877"/>
      <c r="Y22" s="877"/>
      <c r="Z22" s="877"/>
      <c r="AA22" s="1"/>
      <c r="AB22" s="1"/>
      <c r="AC22" s="1"/>
      <c r="AD22" s="1"/>
      <c r="AE22" s="1"/>
      <c r="AF22" s="1"/>
      <c r="AG22" s="1"/>
      <c r="AH22" s="1"/>
      <c r="AI22" s="353" t="s">
        <v>40</v>
      </c>
      <c r="AJ22" s="354">
        <v>60</v>
      </c>
      <c r="AK22" s="354">
        <v>60</v>
      </c>
      <c r="AL22" s="354">
        <v>60</v>
      </c>
      <c r="AM22" s="354">
        <v>60</v>
      </c>
      <c r="AN22" s="354">
        <v>60</v>
      </c>
      <c r="AO22" s="243"/>
      <c r="AP22" s="267" t="s">
        <v>40</v>
      </c>
      <c r="AQ22" s="355">
        <v>60</v>
      </c>
      <c r="AR22" s="355">
        <v>65</v>
      </c>
      <c r="AS22" s="355">
        <v>75</v>
      </c>
      <c r="AT22" s="355">
        <v>75</v>
      </c>
      <c r="AU22" s="355">
        <v>75</v>
      </c>
    </row>
    <row r="23" spans="1:47" ht="18" customHeight="1">
      <c r="A23" s="878"/>
      <c r="B23" s="1540" t="s">
        <v>14</v>
      </c>
      <c r="C23" s="1459"/>
      <c r="D23" s="1459"/>
      <c r="E23" s="1458"/>
      <c r="F23" s="1453">
        <v>20</v>
      </c>
      <c r="G23" s="1364"/>
      <c r="H23" s="1364"/>
      <c r="I23" s="1364"/>
      <c r="J23" s="1364"/>
      <c r="K23" s="1365"/>
      <c r="L23" s="1365"/>
      <c r="M23" s="1365"/>
      <c r="N23" s="1365"/>
      <c r="O23" s="1365"/>
      <c r="P23" s="1365"/>
      <c r="Q23" s="1365"/>
      <c r="R23" s="1365"/>
      <c r="S23" s="1364"/>
      <c r="T23" s="1364"/>
      <c r="U23" s="878"/>
      <c r="V23" s="878"/>
      <c r="W23" s="878"/>
      <c r="X23" s="877"/>
      <c r="Y23" s="877"/>
      <c r="Z23" s="877"/>
      <c r="AA23" s="1"/>
      <c r="AB23" s="1"/>
      <c r="AC23" s="1"/>
      <c r="AD23" s="1"/>
      <c r="AE23" s="1"/>
      <c r="AF23" s="1"/>
      <c r="AG23" s="1"/>
      <c r="AH23" s="1"/>
      <c r="AI23" s="353" t="s">
        <v>41</v>
      </c>
      <c r="AJ23" s="354">
        <v>50</v>
      </c>
      <c r="AK23" s="354">
        <v>65</v>
      </c>
      <c r="AL23" s="354">
        <v>80</v>
      </c>
      <c r="AM23" s="354">
        <v>85</v>
      </c>
      <c r="AN23" s="354">
        <v>90</v>
      </c>
      <c r="AO23" s="243"/>
      <c r="AP23" s="267" t="s">
        <v>41</v>
      </c>
      <c r="AQ23" s="355">
        <v>60</v>
      </c>
      <c r="AR23" s="355">
        <v>65</v>
      </c>
      <c r="AS23" s="355">
        <v>75</v>
      </c>
      <c r="AT23" s="355">
        <v>75</v>
      </c>
      <c r="AU23" s="355">
        <v>75</v>
      </c>
    </row>
    <row r="24" spans="1:47" ht="18" customHeight="1">
      <c r="A24" s="878"/>
      <c r="B24" s="1540" t="s">
        <v>15</v>
      </c>
      <c r="C24" s="1459"/>
      <c r="D24" s="1459"/>
      <c r="E24" s="1458"/>
      <c r="F24" s="1453">
        <v>20</v>
      </c>
      <c r="G24" s="1364"/>
      <c r="H24" s="1364"/>
      <c r="I24" s="1364"/>
      <c r="J24" s="1364"/>
      <c r="K24" s="1365"/>
      <c r="L24" s="1365"/>
      <c r="M24" s="1365"/>
      <c r="N24" s="1365"/>
      <c r="O24" s="1365"/>
      <c r="P24" s="1365"/>
      <c r="Q24" s="1365"/>
      <c r="R24" s="1364"/>
      <c r="S24" s="1364"/>
      <c r="T24" s="1364"/>
      <c r="U24" s="878"/>
      <c r="V24" s="877"/>
      <c r="W24" s="878"/>
      <c r="X24" s="877"/>
      <c r="Y24" s="877"/>
      <c r="Z24" s="877"/>
      <c r="AA24" s="1"/>
      <c r="AB24" s="1"/>
      <c r="AC24" s="1"/>
      <c r="AD24" s="1"/>
      <c r="AE24" s="1"/>
      <c r="AF24" s="1"/>
      <c r="AG24" s="1"/>
      <c r="AH24" s="1"/>
      <c r="AI24" s="353" t="s">
        <v>815</v>
      </c>
      <c r="AJ24" s="354">
        <v>110</v>
      </c>
      <c r="AK24" s="354">
        <v>155</v>
      </c>
      <c r="AL24" s="354">
        <v>180</v>
      </c>
      <c r="AM24" s="354">
        <v>180</v>
      </c>
      <c r="AN24" s="354">
        <v>180</v>
      </c>
      <c r="AO24" s="243"/>
      <c r="AP24" s="267" t="s">
        <v>815</v>
      </c>
      <c r="AQ24" s="355">
        <v>75</v>
      </c>
      <c r="AR24" s="355">
        <v>85</v>
      </c>
      <c r="AS24" s="355">
        <v>100</v>
      </c>
      <c r="AT24" s="355">
        <v>100</v>
      </c>
      <c r="AU24" s="355">
        <v>100</v>
      </c>
    </row>
    <row r="25" spans="1:47" ht="18" customHeight="1">
      <c r="A25" s="878"/>
      <c r="B25" s="1540" t="s">
        <v>17</v>
      </c>
      <c r="C25" s="1459"/>
      <c r="D25" s="1459"/>
      <c r="E25" s="1458"/>
      <c r="F25" s="1453">
        <v>30</v>
      </c>
      <c r="G25" s="1364"/>
      <c r="H25" s="1364"/>
      <c r="I25" s="1364"/>
      <c r="J25" s="1364"/>
      <c r="K25" s="1365"/>
      <c r="L25" s="1365"/>
      <c r="M25" s="1365"/>
      <c r="N25" s="1365"/>
      <c r="O25" s="1365"/>
      <c r="P25" s="1365"/>
      <c r="Q25" s="1365"/>
      <c r="R25" s="1364"/>
      <c r="S25" s="1364"/>
      <c r="T25" s="1364"/>
      <c r="U25" s="878"/>
      <c r="V25" s="877"/>
      <c r="W25" s="878"/>
      <c r="X25" s="877"/>
      <c r="Y25" s="877"/>
      <c r="Z25" s="877"/>
      <c r="AA25" s="1"/>
      <c r="AB25" s="1"/>
      <c r="AC25" s="1"/>
      <c r="AD25" s="1"/>
      <c r="AE25" s="1"/>
      <c r="AF25" s="1"/>
      <c r="AG25" s="1"/>
      <c r="AH25" s="1"/>
      <c r="AI25" s="267" t="s">
        <v>816</v>
      </c>
      <c r="AJ25" s="354">
        <v>110</v>
      </c>
      <c r="AK25" s="354">
        <v>155</v>
      </c>
      <c r="AL25" s="354">
        <v>180</v>
      </c>
      <c r="AM25" s="354">
        <v>195</v>
      </c>
      <c r="AN25" s="354">
        <v>210</v>
      </c>
      <c r="AO25" s="243"/>
      <c r="AP25" s="267" t="s">
        <v>816</v>
      </c>
      <c r="AQ25" s="355">
        <v>75</v>
      </c>
      <c r="AR25" s="355">
        <v>85</v>
      </c>
      <c r="AS25" s="355">
        <v>100</v>
      </c>
      <c r="AT25" s="355">
        <v>100</v>
      </c>
      <c r="AU25" s="355">
        <v>100</v>
      </c>
    </row>
    <row r="26" spans="1:47" ht="18" customHeight="1">
      <c r="A26" s="878"/>
      <c r="B26" s="1539" t="s">
        <v>1227</v>
      </c>
      <c r="C26" s="1460"/>
      <c r="D26" s="1460"/>
      <c r="E26" s="1458"/>
      <c r="F26" s="1453">
        <v>30</v>
      </c>
      <c r="G26" s="1364"/>
      <c r="H26" s="1364"/>
      <c r="I26" s="1364"/>
      <c r="J26" s="1364"/>
      <c r="K26" s="1365"/>
      <c r="L26" s="1365"/>
      <c r="M26" s="1365"/>
      <c r="N26" s="1365"/>
      <c r="O26" s="1365"/>
      <c r="P26" s="1365"/>
      <c r="Q26" s="1365"/>
      <c r="R26" s="1364"/>
      <c r="S26" s="1364"/>
      <c r="T26" s="1364"/>
      <c r="U26" s="878"/>
      <c r="V26" s="877"/>
      <c r="W26" s="878"/>
      <c r="X26" s="877"/>
      <c r="Y26" s="877"/>
      <c r="Z26" s="877"/>
      <c r="AA26" s="1"/>
      <c r="AB26" s="1"/>
      <c r="AC26" s="1"/>
      <c r="AD26" s="1"/>
      <c r="AE26" s="1"/>
      <c r="AF26" s="5"/>
      <c r="AG26" s="5"/>
      <c r="AH26" s="5"/>
      <c r="AI26" s="267" t="s">
        <v>817</v>
      </c>
      <c r="AJ26" s="354">
        <v>90</v>
      </c>
      <c r="AK26" s="354">
        <v>120</v>
      </c>
      <c r="AL26" s="354">
        <v>145</v>
      </c>
      <c r="AM26" s="354">
        <v>145</v>
      </c>
      <c r="AN26" s="354">
        <v>145</v>
      </c>
      <c r="AO26" s="243"/>
      <c r="AP26" s="267" t="s">
        <v>817</v>
      </c>
      <c r="AQ26" s="355">
        <v>55</v>
      </c>
      <c r="AR26" s="355">
        <v>60</v>
      </c>
      <c r="AS26" s="355">
        <v>70</v>
      </c>
      <c r="AT26" s="355">
        <v>70</v>
      </c>
      <c r="AU26" s="355">
        <v>70</v>
      </c>
    </row>
    <row r="27" spans="1:47" ht="18" customHeight="1" thickBot="1">
      <c r="A27" s="1364"/>
      <c r="B27" s="1541" t="s">
        <v>19</v>
      </c>
      <c r="C27" s="1454"/>
      <c r="D27" s="1454"/>
      <c r="E27" s="1455"/>
      <c r="F27" s="1456">
        <v>40</v>
      </c>
      <c r="G27" s="1364"/>
      <c r="H27" s="1364"/>
      <c r="I27" s="1364"/>
      <c r="J27" s="1364"/>
      <c r="K27" s="1365"/>
      <c r="L27" s="1365"/>
      <c r="M27" s="1365"/>
      <c r="N27" s="1365"/>
      <c r="O27" s="1365"/>
      <c r="P27" s="1365"/>
      <c r="Q27" s="1365"/>
      <c r="R27" s="1364"/>
      <c r="S27" s="1364"/>
      <c r="T27" s="1364"/>
      <c r="U27" s="878"/>
      <c r="V27" s="877"/>
      <c r="W27" s="878"/>
      <c r="X27" s="877"/>
      <c r="Y27" s="877"/>
      <c r="Z27" s="877"/>
      <c r="AA27" s="1"/>
      <c r="AB27" s="1"/>
      <c r="AC27" s="1"/>
      <c r="AD27" s="1"/>
      <c r="AE27" s="1"/>
      <c r="AF27" s="242"/>
      <c r="AG27" s="242"/>
      <c r="AH27" s="242"/>
      <c r="AI27" s="353" t="s">
        <v>818</v>
      </c>
      <c r="AJ27" s="354">
        <v>120</v>
      </c>
      <c r="AK27" s="354">
        <v>165</v>
      </c>
      <c r="AL27" s="354">
        <v>195</v>
      </c>
      <c r="AM27" s="354">
        <v>210</v>
      </c>
      <c r="AN27" s="354">
        <v>225</v>
      </c>
      <c r="AO27" s="243"/>
      <c r="AP27" s="267" t="s">
        <v>818</v>
      </c>
      <c r="AQ27" s="355">
        <v>60</v>
      </c>
      <c r="AR27" s="355">
        <v>65</v>
      </c>
      <c r="AS27" s="355">
        <v>75</v>
      </c>
      <c r="AT27" s="355">
        <v>75</v>
      </c>
      <c r="AU27" s="355">
        <v>75</v>
      </c>
    </row>
    <row r="28" spans="1:47" ht="18" customHeight="1">
      <c r="A28" s="1364"/>
      <c r="B28" s="1364"/>
      <c r="C28" s="1364"/>
      <c r="D28" s="1364"/>
      <c r="E28" s="1364"/>
      <c r="F28" s="1364"/>
      <c r="G28" s="1364"/>
      <c r="H28" s="1364"/>
      <c r="I28" s="1364"/>
      <c r="J28" s="1364"/>
      <c r="K28" s="1365"/>
      <c r="L28" s="1365"/>
      <c r="M28" s="1365"/>
      <c r="N28" s="1365"/>
      <c r="O28" s="1365"/>
      <c r="P28" s="1365"/>
      <c r="Q28" s="1365"/>
      <c r="R28" s="1364"/>
      <c r="S28" s="1364"/>
      <c r="T28" s="1364"/>
      <c r="U28" s="878"/>
      <c r="V28" s="877"/>
      <c r="W28" s="878"/>
      <c r="X28" s="877"/>
      <c r="Y28" s="877"/>
      <c r="Z28" s="877"/>
      <c r="AA28" s="1"/>
      <c r="AB28" s="1"/>
      <c r="AC28" s="1"/>
      <c r="AD28" s="1"/>
      <c r="AE28" s="1"/>
      <c r="AF28" s="242"/>
      <c r="AG28" s="1"/>
      <c r="AH28" s="1"/>
      <c r="AI28" s="353" t="s">
        <v>33</v>
      </c>
      <c r="AJ28" s="354">
        <v>100</v>
      </c>
      <c r="AK28" s="354">
        <v>100</v>
      </c>
      <c r="AL28" s="354">
        <v>120</v>
      </c>
      <c r="AM28" s="354">
        <v>120</v>
      </c>
      <c r="AN28" s="354">
        <v>120</v>
      </c>
      <c r="AO28" s="243"/>
      <c r="AP28" s="267" t="s">
        <v>33</v>
      </c>
      <c r="AQ28" s="355">
        <v>35</v>
      </c>
      <c r="AR28" s="355">
        <v>35</v>
      </c>
      <c r="AS28" s="355">
        <v>45</v>
      </c>
      <c r="AT28" s="355">
        <v>45</v>
      </c>
      <c r="AU28" s="355">
        <v>45</v>
      </c>
    </row>
    <row r="29" spans="1:47" ht="18" customHeight="1">
      <c r="A29" s="878"/>
      <c r="B29" s="878"/>
      <c r="C29" s="878"/>
      <c r="D29" s="878"/>
      <c r="E29" s="1364"/>
      <c r="F29" s="1364"/>
      <c r="G29" s="1364"/>
      <c r="H29" s="1364"/>
      <c r="I29" s="1364"/>
      <c r="J29" s="1364"/>
      <c r="K29" s="1365"/>
      <c r="L29" s="1365"/>
      <c r="M29" s="1365"/>
      <c r="N29" s="1365"/>
      <c r="O29" s="1365"/>
      <c r="P29" s="1365"/>
      <c r="Q29" s="1365"/>
      <c r="R29" s="1364"/>
      <c r="S29" s="1364"/>
      <c r="T29" s="1364"/>
      <c r="U29" s="878"/>
      <c r="V29" s="877"/>
      <c r="W29" s="878"/>
      <c r="X29" s="877"/>
      <c r="Y29" s="877"/>
      <c r="Z29" s="877"/>
      <c r="AA29" s="1"/>
      <c r="AB29" s="1"/>
      <c r="AC29" s="1"/>
      <c r="AD29" s="1"/>
      <c r="AE29" s="1"/>
      <c r="AF29" s="242"/>
      <c r="AG29" s="1"/>
      <c r="AH29" s="1"/>
      <c r="AI29" s="353" t="s">
        <v>28</v>
      </c>
      <c r="AJ29" s="354">
        <v>95</v>
      </c>
      <c r="AK29" s="354">
        <v>130</v>
      </c>
      <c r="AL29" s="354">
        <v>155</v>
      </c>
      <c r="AM29" s="354">
        <v>170</v>
      </c>
      <c r="AN29" s="354">
        <v>180</v>
      </c>
      <c r="AO29" s="243"/>
      <c r="AP29" s="267" t="s">
        <v>28</v>
      </c>
      <c r="AQ29" s="355">
        <v>55</v>
      </c>
      <c r="AR29" s="355">
        <v>60</v>
      </c>
      <c r="AS29" s="355">
        <v>70</v>
      </c>
      <c r="AT29" s="355">
        <v>70</v>
      </c>
      <c r="AU29" s="355">
        <v>70</v>
      </c>
    </row>
    <row r="30" spans="1:47" ht="18" customHeight="1">
      <c r="A30" s="878"/>
      <c r="B30" s="1549"/>
      <c r="C30" s="878"/>
      <c r="D30" s="878"/>
      <c r="E30" s="1364"/>
      <c r="F30" s="1364"/>
      <c r="G30" s="1364"/>
      <c r="H30" s="1364"/>
      <c r="I30" s="1364"/>
      <c r="J30" s="1364"/>
      <c r="K30" s="1365"/>
      <c r="L30" s="1365"/>
      <c r="M30" s="1365"/>
      <c r="N30" s="1365"/>
      <c r="O30" s="1365"/>
      <c r="P30" s="1365"/>
      <c r="Q30" s="1365"/>
      <c r="R30" s="1364"/>
      <c r="S30" s="1364"/>
      <c r="T30" s="1364"/>
      <c r="U30" s="878"/>
      <c r="V30" s="878"/>
      <c r="W30" s="878"/>
      <c r="X30" s="878"/>
      <c r="Y30" s="878"/>
      <c r="Z30" s="878"/>
      <c r="AE30" s="747"/>
      <c r="AF30" s="242"/>
      <c r="AG30" s="1"/>
      <c r="AH30" s="1"/>
      <c r="AI30" s="353" t="s">
        <v>30</v>
      </c>
      <c r="AJ30" s="354">
        <v>65</v>
      </c>
      <c r="AK30" s="354">
        <v>90</v>
      </c>
      <c r="AL30" s="354">
        <v>105</v>
      </c>
      <c r="AM30" s="354">
        <v>110</v>
      </c>
      <c r="AN30" s="354">
        <v>120</v>
      </c>
      <c r="AO30" s="243"/>
      <c r="AP30" s="267" t="s">
        <v>30</v>
      </c>
      <c r="AQ30" s="355">
        <v>50</v>
      </c>
      <c r="AR30" s="355">
        <v>55</v>
      </c>
      <c r="AS30" s="355">
        <v>65</v>
      </c>
      <c r="AT30" s="355">
        <v>65</v>
      </c>
      <c r="AU30" s="355">
        <v>65</v>
      </c>
    </row>
    <row r="31" spans="1:47" ht="18" customHeight="1">
      <c r="A31" s="878"/>
      <c r="B31" s="878"/>
      <c r="C31" s="878"/>
      <c r="D31" s="878"/>
      <c r="E31" s="1364"/>
      <c r="F31" s="1364"/>
      <c r="G31" s="1364"/>
      <c r="H31" s="1364"/>
      <c r="I31" s="1364"/>
      <c r="J31" s="1364"/>
      <c r="K31" s="1365"/>
      <c r="L31" s="1365"/>
      <c r="M31" s="1365"/>
      <c r="N31" s="1365"/>
      <c r="O31" s="1365"/>
      <c r="P31" s="1365"/>
      <c r="Q31" s="1365"/>
      <c r="R31" s="1364"/>
      <c r="S31" s="1364"/>
      <c r="T31" s="1364"/>
      <c r="U31" s="878"/>
      <c r="V31" s="878"/>
      <c r="W31" s="878"/>
      <c r="X31" s="878"/>
      <c r="Y31" s="878"/>
      <c r="Z31" s="878"/>
      <c r="AE31" s="747"/>
      <c r="AF31" s="242"/>
      <c r="AG31" s="1"/>
      <c r="AH31" s="1"/>
      <c r="AI31" s="267" t="s">
        <v>31</v>
      </c>
      <c r="AJ31" s="354">
        <v>65</v>
      </c>
      <c r="AK31" s="354">
        <v>90</v>
      </c>
      <c r="AL31" s="354">
        <v>105</v>
      </c>
      <c r="AM31" s="354">
        <v>105</v>
      </c>
      <c r="AN31" s="354">
        <v>105</v>
      </c>
      <c r="AO31" s="243"/>
      <c r="AP31" s="267" t="s">
        <v>31</v>
      </c>
      <c r="AQ31" s="355">
        <v>45</v>
      </c>
      <c r="AR31" s="355">
        <v>50</v>
      </c>
      <c r="AS31" s="355">
        <v>65</v>
      </c>
      <c r="AT31" s="355">
        <v>65</v>
      </c>
      <c r="AU31" s="355">
        <v>65</v>
      </c>
    </row>
    <row r="32" spans="1:47" ht="29.25" customHeight="1">
      <c r="A32" s="878"/>
      <c r="B32" s="1550"/>
      <c r="C32" s="879"/>
      <c r="D32" s="879"/>
      <c r="E32" s="1143"/>
      <c r="F32" s="1143"/>
      <c r="G32" s="1143"/>
      <c r="H32" s="1143"/>
      <c r="I32" s="1143"/>
      <c r="J32" s="1364"/>
      <c r="K32" s="1365"/>
      <c r="L32" s="1365"/>
      <c r="M32" s="1365"/>
      <c r="N32" s="1365"/>
      <c r="O32" s="1365"/>
      <c r="P32" s="1365"/>
      <c r="Q32" s="1365"/>
      <c r="R32" s="1364"/>
      <c r="S32" s="1364"/>
      <c r="T32" s="1364"/>
      <c r="U32" s="878"/>
      <c r="V32" s="879"/>
      <c r="W32" s="878"/>
      <c r="X32" s="879"/>
      <c r="Y32" s="879"/>
      <c r="Z32" s="879"/>
      <c r="AA32" s="776"/>
      <c r="AB32" s="776"/>
      <c r="AC32" s="776"/>
      <c r="AD32" s="776"/>
      <c r="AE32" s="776"/>
      <c r="AF32" s="242"/>
      <c r="AG32" s="242"/>
      <c r="AH32" s="1"/>
      <c r="AI32" s="356" t="s">
        <v>819</v>
      </c>
      <c r="AJ32" s="357">
        <v>40</v>
      </c>
      <c r="AK32" s="357">
        <v>40</v>
      </c>
      <c r="AL32" s="357">
        <v>40</v>
      </c>
      <c r="AM32" s="357">
        <v>40</v>
      </c>
      <c r="AN32" s="357">
        <v>40</v>
      </c>
      <c r="AO32" s="359"/>
      <c r="AP32" s="356" t="s">
        <v>819</v>
      </c>
      <c r="AQ32" s="357">
        <v>25</v>
      </c>
      <c r="AR32" s="357">
        <v>25</v>
      </c>
      <c r="AS32" s="357">
        <v>30</v>
      </c>
      <c r="AT32" s="357">
        <v>30</v>
      </c>
      <c r="AU32" s="357">
        <v>30</v>
      </c>
    </row>
    <row r="33" spans="2:47" ht="18" customHeight="1">
      <c r="B33" s="749"/>
      <c r="C33" s="776"/>
      <c r="D33" s="776"/>
      <c r="E33" s="809"/>
      <c r="F33" s="809"/>
      <c r="G33" s="809"/>
      <c r="H33" s="809"/>
      <c r="I33" s="809"/>
      <c r="K33" s="811"/>
      <c r="L33" s="811"/>
      <c r="M33" s="811"/>
      <c r="N33" s="811"/>
      <c r="O33" s="811"/>
      <c r="P33" s="811"/>
      <c r="Q33" s="811"/>
      <c r="V33" s="748"/>
      <c r="X33" s="748"/>
      <c r="Y33" s="748"/>
      <c r="Z33" s="748"/>
      <c r="AA33" s="748"/>
      <c r="AB33" s="748"/>
      <c r="AC33" s="748"/>
      <c r="AD33" s="748"/>
      <c r="AE33" s="748"/>
      <c r="AF33" s="242"/>
      <c r="AG33" s="242"/>
      <c r="AH33" s="1"/>
      <c r="AI33" s="779" t="s">
        <v>820</v>
      </c>
      <c r="AJ33" s="780">
        <v>80</v>
      </c>
      <c r="AK33" s="780">
        <v>80</v>
      </c>
      <c r="AL33" s="780">
        <v>80</v>
      </c>
      <c r="AM33" s="780">
        <v>80</v>
      </c>
      <c r="AN33" s="780">
        <v>80</v>
      </c>
      <c r="AO33" s="359"/>
      <c r="AP33" s="356" t="s">
        <v>820</v>
      </c>
      <c r="AQ33" s="357">
        <v>25</v>
      </c>
      <c r="AR33" s="357">
        <v>25</v>
      </c>
      <c r="AS33" s="357">
        <v>30</v>
      </c>
      <c r="AT33" s="357">
        <v>30</v>
      </c>
      <c r="AU33" s="357">
        <v>30</v>
      </c>
    </row>
    <row r="34" spans="2:47" ht="18" customHeight="1">
      <c r="B34" s="774"/>
      <c r="C34" s="748"/>
      <c r="D34" s="748"/>
      <c r="E34" s="809"/>
      <c r="F34" s="809"/>
      <c r="G34" s="809"/>
      <c r="H34" s="809"/>
      <c r="I34" s="809"/>
      <c r="K34" s="811"/>
      <c r="L34" s="811"/>
      <c r="M34" s="811"/>
      <c r="N34" s="811"/>
      <c r="O34" s="811"/>
      <c r="P34" s="811"/>
      <c r="Q34" s="811"/>
      <c r="V34" s="763"/>
      <c r="X34" s="763"/>
      <c r="Y34" s="763"/>
      <c r="Z34" s="763"/>
      <c r="AA34" s="763"/>
      <c r="AB34" s="763"/>
      <c r="AC34" s="763"/>
      <c r="AD34" s="763"/>
      <c r="AE34" s="763"/>
      <c r="AF34" s="360"/>
      <c r="AG34" s="343"/>
      <c r="AH34" s="242"/>
      <c r="AI34" s="781" t="s">
        <v>759</v>
      </c>
      <c r="AJ34" s="782">
        <v>200</v>
      </c>
      <c r="AK34" s="355">
        <v>200</v>
      </c>
      <c r="AL34" s="355">
        <v>210</v>
      </c>
      <c r="AM34" s="355">
        <v>210</v>
      </c>
      <c r="AN34" s="355">
        <v>210</v>
      </c>
      <c r="AO34" s="359"/>
      <c r="AP34" s="781" t="s">
        <v>759</v>
      </c>
      <c r="AQ34" s="357">
        <v>45</v>
      </c>
      <c r="AR34" s="357">
        <v>65</v>
      </c>
      <c r="AS34" s="357">
        <v>80</v>
      </c>
      <c r="AT34" s="783">
        <v>80</v>
      </c>
      <c r="AU34" s="783">
        <v>80</v>
      </c>
    </row>
    <row r="35" spans="2:47" ht="18" customHeight="1">
      <c r="B35" s="774"/>
      <c r="C35" s="764"/>
      <c r="D35" s="764"/>
      <c r="E35" s="810"/>
      <c r="F35" s="810"/>
      <c r="G35" s="810"/>
      <c r="H35" s="810"/>
      <c r="I35" s="810"/>
      <c r="K35" s="811"/>
      <c r="L35" s="811"/>
      <c r="M35" s="811"/>
      <c r="N35" s="811"/>
      <c r="O35" s="811"/>
      <c r="P35" s="811"/>
      <c r="Q35" s="811"/>
      <c r="V35" s="748"/>
      <c r="X35" s="748"/>
      <c r="Y35" s="748"/>
      <c r="Z35" s="748"/>
      <c r="AA35" s="748"/>
      <c r="AB35" s="748"/>
      <c r="AC35" s="748"/>
      <c r="AD35" s="748"/>
      <c r="AE35" s="748"/>
      <c r="AF35" s="360"/>
      <c r="AG35" s="343"/>
      <c r="AH35" s="242"/>
      <c r="AI35" s="781" t="s">
        <v>760</v>
      </c>
      <c r="AJ35" s="782">
        <v>200</v>
      </c>
      <c r="AK35" s="355">
        <v>200</v>
      </c>
      <c r="AL35" s="355">
        <v>210</v>
      </c>
      <c r="AM35" s="355">
        <v>210</v>
      </c>
      <c r="AN35" s="355">
        <v>210</v>
      </c>
      <c r="AO35" s="359"/>
      <c r="AP35" s="781" t="s">
        <v>760</v>
      </c>
      <c r="AQ35" s="357">
        <v>80</v>
      </c>
      <c r="AR35" s="357">
        <v>80</v>
      </c>
      <c r="AS35" s="357">
        <v>90</v>
      </c>
      <c r="AT35" s="783">
        <v>90</v>
      </c>
      <c r="AU35" s="783">
        <v>90</v>
      </c>
    </row>
    <row r="36" spans="2:47" ht="18" customHeight="1">
      <c r="B36" s="777"/>
      <c r="C36" s="770"/>
      <c r="D36" s="768"/>
      <c r="E36" s="812"/>
      <c r="F36" s="812"/>
      <c r="G36" s="811"/>
      <c r="H36" s="811"/>
      <c r="I36" s="811"/>
      <c r="J36" s="811"/>
      <c r="K36" s="811"/>
      <c r="L36" s="811"/>
      <c r="M36" s="811"/>
      <c r="N36" s="811"/>
      <c r="O36" s="811"/>
      <c r="P36" s="811"/>
      <c r="Q36" s="811"/>
      <c r="V36" s="768"/>
      <c r="X36" s="768"/>
      <c r="Y36" s="768"/>
      <c r="Z36" s="768"/>
      <c r="AA36" s="768"/>
      <c r="AB36" s="768"/>
      <c r="AC36" s="768"/>
      <c r="AD36" s="768"/>
      <c r="AE36" s="768"/>
      <c r="AF36" s="360"/>
      <c r="AG36" s="343"/>
      <c r="AH36" s="242"/>
      <c r="AI36" s="781" t="s">
        <v>761</v>
      </c>
      <c r="AJ36" s="782">
        <v>200</v>
      </c>
      <c r="AK36" s="355">
        <v>200</v>
      </c>
      <c r="AL36" s="355">
        <v>280</v>
      </c>
      <c r="AM36" s="355">
        <v>280</v>
      </c>
      <c r="AN36" s="355">
        <v>280</v>
      </c>
      <c r="AO36" s="359"/>
      <c r="AP36" s="781" t="s">
        <v>761</v>
      </c>
      <c r="AQ36" s="357">
        <v>85</v>
      </c>
      <c r="AR36" s="357">
        <v>85</v>
      </c>
      <c r="AS36" s="357">
        <v>125</v>
      </c>
      <c r="AT36" s="783">
        <v>125</v>
      </c>
      <c r="AU36" s="783">
        <v>125</v>
      </c>
    </row>
    <row r="37" spans="2:47" ht="18" customHeight="1" thickBot="1">
      <c r="B37" s="777"/>
      <c r="C37" s="770"/>
      <c r="D37" s="768"/>
      <c r="E37" s="812"/>
      <c r="F37" s="812"/>
      <c r="G37" s="811"/>
      <c r="H37" s="811"/>
      <c r="I37" s="811"/>
      <c r="J37" s="811"/>
      <c r="K37" s="811"/>
      <c r="L37" s="811"/>
      <c r="M37" s="811"/>
      <c r="N37" s="811"/>
      <c r="O37" s="811"/>
      <c r="P37" s="811"/>
      <c r="Q37" s="811"/>
      <c r="R37" s="811"/>
      <c r="S37" s="811"/>
      <c r="U37" s="768"/>
      <c r="V37" s="768"/>
      <c r="X37" s="768"/>
      <c r="Y37" s="768"/>
      <c r="Z37" s="768"/>
      <c r="AA37" s="768"/>
      <c r="AB37" s="768"/>
      <c r="AC37" s="768"/>
      <c r="AD37" s="768"/>
      <c r="AE37" s="768"/>
      <c r="AF37" s="360"/>
      <c r="AG37" s="343"/>
      <c r="AH37" s="242"/>
      <c r="AI37" s="784" t="s">
        <v>758</v>
      </c>
      <c r="AJ37" s="782">
        <v>280</v>
      </c>
      <c r="AK37" s="355">
        <v>280</v>
      </c>
      <c r="AL37" s="355">
        <v>280</v>
      </c>
      <c r="AM37" s="355">
        <v>280</v>
      </c>
      <c r="AN37" s="355">
        <v>280</v>
      </c>
      <c r="AO37" s="359"/>
      <c r="AP37" s="784" t="s">
        <v>758</v>
      </c>
      <c r="AQ37" s="357">
        <v>135</v>
      </c>
      <c r="AR37" s="357">
        <v>135</v>
      </c>
      <c r="AS37" s="357">
        <v>135</v>
      </c>
      <c r="AT37" s="783">
        <v>135</v>
      </c>
      <c r="AU37" s="783">
        <v>135</v>
      </c>
    </row>
    <row r="38" spans="2:47" ht="18" customHeight="1">
      <c r="B38" s="777"/>
      <c r="C38" s="770"/>
      <c r="D38" s="768"/>
      <c r="E38" s="812"/>
      <c r="F38" s="812"/>
      <c r="G38" s="811"/>
      <c r="H38" s="811"/>
      <c r="I38" s="811"/>
      <c r="J38" s="811"/>
      <c r="K38" s="811"/>
      <c r="L38" s="811"/>
      <c r="M38" s="811"/>
      <c r="N38" s="811"/>
      <c r="O38" s="811"/>
      <c r="P38" s="811"/>
      <c r="Q38" s="811"/>
      <c r="R38" s="811"/>
      <c r="S38" s="811"/>
      <c r="U38" s="768"/>
      <c r="V38" s="768"/>
      <c r="X38" s="768"/>
      <c r="Y38" s="768"/>
      <c r="Z38" s="768"/>
      <c r="AA38" s="768"/>
      <c r="AB38" s="768"/>
      <c r="AC38" s="768"/>
      <c r="AD38" s="768"/>
      <c r="AE38" s="768"/>
      <c r="AF38" s="360"/>
      <c r="AG38" s="343"/>
      <c r="AH38" s="242"/>
      <c r="AI38" s="785" t="s">
        <v>821</v>
      </c>
      <c r="AJ38" s="782">
        <v>100</v>
      </c>
      <c r="AK38" s="355">
        <v>180</v>
      </c>
      <c r="AL38" s="355">
        <v>210</v>
      </c>
      <c r="AM38" s="355">
        <v>210</v>
      </c>
      <c r="AN38" s="355">
        <v>210</v>
      </c>
      <c r="AO38" s="359"/>
      <c r="AP38" s="785" t="s">
        <v>821</v>
      </c>
      <c r="AQ38" s="786">
        <v>45</v>
      </c>
      <c r="AR38" s="787">
        <v>65</v>
      </c>
      <c r="AS38" s="786">
        <v>80</v>
      </c>
      <c r="AT38" s="788">
        <v>80</v>
      </c>
      <c r="AU38" s="788">
        <v>80</v>
      </c>
    </row>
    <row r="39" spans="2:47" ht="18" customHeight="1">
      <c r="B39" s="777"/>
      <c r="C39" s="770"/>
      <c r="D39" s="768"/>
      <c r="E39" s="812"/>
      <c r="F39" s="812"/>
      <c r="G39" s="811"/>
      <c r="H39" s="811"/>
      <c r="I39" s="811"/>
      <c r="J39" s="811"/>
      <c r="K39" s="811"/>
      <c r="L39" s="811"/>
      <c r="M39" s="811"/>
      <c r="N39" s="811"/>
      <c r="O39" s="811"/>
      <c r="P39" s="811"/>
      <c r="Q39" s="811"/>
      <c r="R39" s="811"/>
      <c r="S39" s="811"/>
      <c r="U39" s="768"/>
      <c r="V39" s="768"/>
      <c r="X39" s="768"/>
      <c r="Y39" s="768"/>
      <c r="Z39" s="768"/>
      <c r="AA39" s="768"/>
      <c r="AB39" s="768"/>
      <c r="AC39" s="768"/>
      <c r="AD39" s="768"/>
      <c r="AE39" s="768"/>
      <c r="AF39" s="366"/>
      <c r="AG39" s="343"/>
      <c r="AH39" s="242"/>
      <c r="AI39" s="785" t="s">
        <v>822</v>
      </c>
      <c r="AJ39" s="782">
        <v>180</v>
      </c>
      <c r="AK39" s="355">
        <v>180</v>
      </c>
      <c r="AL39" s="355">
        <v>210</v>
      </c>
      <c r="AM39" s="355">
        <v>210</v>
      </c>
      <c r="AN39" s="355">
        <v>210</v>
      </c>
      <c r="AO39" s="359"/>
      <c r="AP39" s="785" t="s">
        <v>822</v>
      </c>
      <c r="AQ39" s="787">
        <v>80</v>
      </c>
      <c r="AR39" s="787">
        <v>80</v>
      </c>
      <c r="AS39" s="786">
        <v>90</v>
      </c>
      <c r="AT39" s="788">
        <v>90</v>
      </c>
      <c r="AU39" s="788">
        <v>90</v>
      </c>
    </row>
    <row r="40" spans="2:47" ht="18" customHeight="1">
      <c r="B40" s="777"/>
      <c r="C40" s="770"/>
      <c r="D40" s="768"/>
      <c r="E40" s="812"/>
      <c r="F40" s="812"/>
      <c r="G40" s="811"/>
      <c r="H40" s="811"/>
      <c r="I40" s="811"/>
      <c r="J40" s="811"/>
      <c r="K40" s="811"/>
      <c r="L40" s="811"/>
      <c r="M40" s="811"/>
      <c r="N40" s="811"/>
      <c r="O40" s="811"/>
      <c r="P40" s="811"/>
      <c r="Q40" s="811"/>
      <c r="R40" s="811"/>
      <c r="S40" s="811"/>
      <c r="U40" s="768"/>
      <c r="V40" s="768"/>
      <c r="X40" s="768"/>
      <c r="Y40" s="768"/>
      <c r="Z40" s="768"/>
      <c r="AA40" s="768"/>
      <c r="AB40" s="768"/>
      <c r="AC40" s="768"/>
      <c r="AD40" s="768"/>
      <c r="AE40" s="768"/>
      <c r="AF40" s="366"/>
      <c r="AG40" s="343"/>
      <c r="AH40" s="242"/>
      <c r="AI40" s="785" t="s">
        <v>823</v>
      </c>
      <c r="AJ40" s="782">
        <v>180</v>
      </c>
      <c r="AK40" s="355">
        <v>180</v>
      </c>
      <c r="AL40" s="355">
        <v>280</v>
      </c>
      <c r="AM40" s="355">
        <v>280</v>
      </c>
      <c r="AN40" s="355">
        <v>280</v>
      </c>
      <c r="AO40" s="359"/>
      <c r="AP40" s="785" t="s">
        <v>823</v>
      </c>
      <c r="AQ40" s="787">
        <v>85</v>
      </c>
      <c r="AR40" s="787">
        <v>85</v>
      </c>
      <c r="AS40" s="786">
        <v>105</v>
      </c>
      <c r="AT40" s="788">
        <v>105</v>
      </c>
      <c r="AU40" s="788">
        <v>105</v>
      </c>
    </row>
    <row r="41" spans="2:47" ht="18" customHeight="1">
      <c r="B41" s="777"/>
      <c r="C41" s="770"/>
      <c r="D41" s="768"/>
      <c r="E41" s="812"/>
      <c r="F41" s="812"/>
      <c r="G41" s="811"/>
      <c r="H41" s="811"/>
      <c r="I41" s="811"/>
      <c r="J41" s="811"/>
      <c r="K41" s="811"/>
      <c r="L41" s="811"/>
      <c r="M41" s="811"/>
      <c r="N41" s="811"/>
      <c r="O41" s="811"/>
      <c r="P41" s="811"/>
      <c r="Q41" s="811"/>
      <c r="R41" s="811"/>
      <c r="S41" s="811"/>
      <c r="U41" s="768"/>
      <c r="V41" s="768"/>
      <c r="X41" s="768"/>
      <c r="Y41" s="768"/>
      <c r="Z41" s="768"/>
      <c r="AA41" s="768"/>
      <c r="AB41" s="768"/>
      <c r="AC41" s="768"/>
      <c r="AD41" s="768"/>
      <c r="AE41" s="768"/>
      <c r="AF41" s="360"/>
      <c r="AG41" s="343"/>
      <c r="AH41" s="242"/>
      <c r="AI41" s="785" t="s">
        <v>824</v>
      </c>
      <c r="AJ41" s="782">
        <v>40</v>
      </c>
      <c r="AK41" s="355">
        <v>40</v>
      </c>
      <c r="AL41" s="355">
        <v>40</v>
      </c>
      <c r="AM41" s="355">
        <v>40</v>
      </c>
      <c r="AN41" s="355">
        <v>40</v>
      </c>
      <c r="AO41" s="747"/>
      <c r="AP41" s="785" t="s">
        <v>824</v>
      </c>
      <c r="AQ41" s="786">
        <v>45</v>
      </c>
      <c r="AR41" s="787">
        <v>65</v>
      </c>
      <c r="AS41" s="786">
        <v>80</v>
      </c>
      <c r="AT41" s="788">
        <v>80</v>
      </c>
      <c r="AU41" s="788">
        <v>80</v>
      </c>
    </row>
    <row r="42" spans="2:47" ht="18" customHeight="1">
      <c r="B42" s="777"/>
      <c r="C42" s="770"/>
      <c r="D42" s="768"/>
      <c r="E42" s="812"/>
      <c r="F42" s="812"/>
      <c r="G42" s="811"/>
      <c r="H42" s="811"/>
      <c r="I42" s="811"/>
      <c r="J42" s="811"/>
      <c r="K42" s="811"/>
      <c r="L42" s="811"/>
      <c r="M42" s="811"/>
      <c r="N42" s="811"/>
      <c r="O42" s="811"/>
      <c r="P42" s="811"/>
      <c r="Q42" s="811"/>
      <c r="R42" s="811"/>
      <c r="S42" s="811"/>
      <c r="U42" s="768"/>
      <c r="V42" s="768"/>
      <c r="X42" s="768"/>
      <c r="Y42" s="768"/>
      <c r="Z42" s="768"/>
      <c r="AA42" s="768"/>
      <c r="AB42" s="768"/>
      <c r="AC42" s="768"/>
      <c r="AD42" s="768"/>
      <c r="AE42" s="768"/>
      <c r="AF42" s="242"/>
      <c r="AG42" s="242"/>
      <c r="AH42" s="242"/>
      <c r="AI42" s="785" t="s">
        <v>825</v>
      </c>
      <c r="AJ42" s="782">
        <v>40</v>
      </c>
      <c r="AK42" s="355">
        <v>40</v>
      </c>
      <c r="AL42" s="355">
        <v>40</v>
      </c>
      <c r="AM42" s="355">
        <v>40</v>
      </c>
      <c r="AN42" s="355">
        <v>40</v>
      </c>
      <c r="AO42" s="747"/>
      <c r="AP42" s="785" t="s">
        <v>825</v>
      </c>
      <c r="AQ42" s="787">
        <v>80</v>
      </c>
      <c r="AR42" s="787">
        <v>80</v>
      </c>
      <c r="AS42" s="786">
        <v>90</v>
      </c>
      <c r="AT42" s="788">
        <v>90</v>
      </c>
      <c r="AU42" s="788">
        <v>90</v>
      </c>
    </row>
    <row r="43" spans="2:47" ht="18" customHeight="1">
      <c r="B43" s="777"/>
      <c r="C43" s="770"/>
      <c r="D43" s="768"/>
      <c r="E43" s="812"/>
      <c r="F43" s="812"/>
      <c r="G43" s="811"/>
      <c r="H43" s="811"/>
      <c r="I43" s="811"/>
      <c r="J43" s="811"/>
      <c r="K43" s="811"/>
      <c r="L43" s="811"/>
      <c r="M43" s="811"/>
      <c r="N43" s="811"/>
      <c r="O43" s="811"/>
      <c r="P43" s="811"/>
      <c r="Q43" s="811"/>
      <c r="R43" s="811"/>
      <c r="S43" s="811"/>
      <c r="U43" s="768"/>
      <c r="V43" s="768"/>
      <c r="X43" s="768"/>
      <c r="Y43" s="768"/>
      <c r="Z43" s="768"/>
      <c r="AA43" s="768"/>
      <c r="AB43" s="768"/>
      <c r="AC43" s="768"/>
      <c r="AD43" s="768"/>
      <c r="AE43" s="768"/>
      <c r="AF43" s="242"/>
      <c r="AG43" s="242"/>
      <c r="AH43" s="242"/>
      <c r="AI43" s="785" t="s">
        <v>826</v>
      </c>
      <c r="AJ43" s="782">
        <v>40</v>
      </c>
      <c r="AK43" s="355">
        <v>40</v>
      </c>
      <c r="AL43" s="355">
        <v>40</v>
      </c>
      <c r="AM43" s="355">
        <v>40</v>
      </c>
      <c r="AN43" s="355">
        <v>40</v>
      </c>
      <c r="AO43" s="747"/>
      <c r="AP43" s="785" t="s">
        <v>826</v>
      </c>
      <c r="AQ43" s="787">
        <v>85</v>
      </c>
      <c r="AR43" s="787">
        <v>85</v>
      </c>
      <c r="AS43" s="786">
        <v>105</v>
      </c>
      <c r="AT43" s="788">
        <v>105</v>
      </c>
      <c r="AU43" s="788">
        <v>105</v>
      </c>
    </row>
    <row r="44" spans="2:47" ht="18" customHeight="1">
      <c r="B44" s="777"/>
      <c r="C44" s="770"/>
      <c r="D44" s="768"/>
      <c r="E44" s="812"/>
      <c r="F44" s="812"/>
      <c r="G44" s="811"/>
      <c r="H44" s="811"/>
      <c r="I44" s="811"/>
      <c r="J44" s="811"/>
      <c r="K44" s="811"/>
      <c r="L44" s="811"/>
      <c r="M44" s="811"/>
      <c r="N44" s="811"/>
      <c r="O44" s="811"/>
      <c r="P44" s="811"/>
      <c r="Q44" s="811"/>
      <c r="R44" s="811"/>
      <c r="S44" s="811"/>
      <c r="T44" s="811"/>
      <c r="U44" s="768"/>
      <c r="V44" s="768"/>
      <c r="X44" s="768"/>
      <c r="Y44" s="768"/>
      <c r="Z44" s="768"/>
      <c r="AA44" s="768"/>
      <c r="AB44" s="768"/>
      <c r="AC44" s="768"/>
      <c r="AD44" s="768"/>
      <c r="AE44" s="768"/>
      <c r="AF44" s="1"/>
      <c r="AG44" s="1"/>
      <c r="AH44" s="1"/>
      <c r="AI44" s="789" t="s">
        <v>741</v>
      </c>
      <c r="AJ44" s="782">
        <v>105</v>
      </c>
      <c r="AK44" s="355">
        <v>120</v>
      </c>
      <c r="AL44" s="355">
        <v>150</v>
      </c>
      <c r="AM44" s="355">
        <v>150</v>
      </c>
      <c r="AN44" s="355">
        <v>150</v>
      </c>
      <c r="AO44" s="359"/>
      <c r="AP44" s="789" t="s">
        <v>741</v>
      </c>
      <c r="AQ44" s="357">
        <v>45</v>
      </c>
      <c r="AR44" s="357">
        <v>65</v>
      </c>
      <c r="AS44" s="357">
        <v>80</v>
      </c>
      <c r="AT44" s="783">
        <v>80</v>
      </c>
      <c r="AU44" s="783">
        <v>80</v>
      </c>
    </row>
    <row r="45" spans="2:47" ht="15.75">
      <c r="B45" s="777"/>
      <c r="C45" s="770"/>
      <c r="D45" s="768"/>
      <c r="E45" s="812"/>
      <c r="F45" s="812"/>
      <c r="G45" s="811"/>
      <c r="H45" s="811"/>
      <c r="I45" s="811"/>
      <c r="J45" s="811"/>
      <c r="K45" s="811"/>
      <c r="L45" s="811"/>
      <c r="M45" s="811"/>
      <c r="N45" s="811"/>
      <c r="O45" s="811"/>
      <c r="P45" s="811"/>
      <c r="Q45" s="811"/>
      <c r="R45" s="811"/>
      <c r="S45" s="811"/>
      <c r="T45" s="811"/>
      <c r="U45" s="768"/>
      <c r="V45" s="768"/>
      <c r="X45" s="768"/>
      <c r="Y45" s="768"/>
      <c r="Z45" s="768"/>
      <c r="AA45" s="768"/>
      <c r="AB45" s="768"/>
      <c r="AC45" s="768"/>
      <c r="AD45" s="768"/>
      <c r="AE45" s="768"/>
      <c r="AF45" s="1"/>
      <c r="AG45" s="1"/>
      <c r="AH45" s="1"/>
      <c r="AI45" s="789" t="s">
        <v>742</v>
      </c>
      <c r="AJ45" s="782">
        <v>160</v>
      </c>
      <c r="AK45" s="355">
        <v>160</v>
      </c>
      <c r="AL45" s="355">
        <v>200</v>
      </c>
      <c r="AM45" s="355">
        <v>200</v>
      </c>
      <c r="AN45" s="355">
        <v>200</v>
      </c>
      <c r="AO45" s="359"/>
      <c r="AP45" s="789" t="s">
        <v>742</v>
      </c>
      <c r="AQ45" s="357">
        <v>80</v>
      </c>
      <c r="AR45" s="357">
        <v>80</v>
      </c>
      <c r="AS45" s="357">
        <v>90</v>
      </c>
      <c r="AT45" s="783">
        <v>90</v>
      </c>
      <c r="AU45" s="783">
        <v>90</v>
      </c>
    </row>
    <row r="46" spans="2:47" ht="15.75">
      <c r="B46" s="777"/>
      <c r="C46" s="770"/>
      <c r="D46" s="768"/>
      <c r="E46" s="812"/>
      <c r="F46" s="812"/>
      <c r="G46" s="811"/>
      <c r="H46" s="811"/>
      <c r="I46" s="811"/>
      <c r="J46" s="811"/>
      <c r="K46" s="811"/>
      <c r="L46" s="811"/>
      <c r="M46" s="811"/>
      <c r="N46" s="811"/>
      <c r="O46" s="811"/>
      <c r="P46" s="811"/>
      <c r="Q46" s="811"/>
      <c r="R46" s="811"/>
      <c r="S46" s="811"/>
      <c r="T46" s="811"/>
      <c r="U46" s="768"/>
      <c r="V46" s="768"/>
      <c r="X46" s="768"/>
      <c r="Y46" s="768"/>
      <c r="Z46" s="768"/>
      <c r="AA46" s="768"/>
      <c r="AB46" s="768"/>
      <c r="AC46" s="768"/>
      <c r="AD46" s="768"/>
      <c r="AE46" s="768"/>
      <c r="AF46" s="1"/>
      <c r="AG46" s="1"/>
      <c r="AH46" s="1"/>
      <c r="AI46" s="789" t="s">
        <v>743</v>
      </c>
      <c r="AJ46" s="782">
        <v>200</v>
      </c>
      <c r="AK46" s="355">
        <v>200</v>
      </c>
      <c r="AL46" s="355">
        <v>240</v>
      </c>
      <c r="AM46" s="355">
        <v>240</v>
      </c>
      <c r="AN46" s="355">
        <v>240</v>
      </c>
      <c r="AO46" s="359"/>
      <c r="AP46" s="789" t="s">
        <v>743</v>
      </c>
      <c r="AQ46" s="357">
        <v>85</v>
      </c>
      <c r="AR46" s="357">
        <v>85</v>
      </c>
      <c r="AS46" s="357">
        <v>105</v>
      </c>
      <c r="AT46" s="783">
        <v>105</v>
      </c>
      <c r="AU46" s="783">
        <v>105</v>
      </c>
    </row>
    <row r="47" spans="2:47" ht="16.5" thickBot="1">
      <c r="B47" s="777"/>
      <c r="C47" s="770"/>
      <c r="D47" s="768"/>
      <c r="E47" s="812"/>
      <c r="F47" s="812"/>
      <c r="G47" s="811"/>
      <c r="H47" s="811"/>
      <c r="I47" s="811"/>
      <c r="J47" s="811"/>
      <c r="K47" s="811"/>
      <c r="L47" s="811"/>
      <c r="M47" s="811"/>
      <c r="N47" s="811"/>
      <c r="O47" s="811"/>
      <c r="P47" s="811"/>
      <c r="Q47" s="811"/>
      <c r="R47" s="811"/>
      <c r="S47" s="811"/>
      <c r="T47" s="811"/>
      <c r="U47" s="768"/>
      <c r="V47" s="768"/>
      <c r="X47" s="768"/>
      <c r="Y47" s="768"/>
      <c r="Z47" s="768"/>
      <c r="AA47" s="768"/>
      <c r="AB47" s="768"/>
      <c r="AC47" s="768"/>
      <c r="AD47" s="768"/>
      <c r="AE47" s="768"/>
      <c r="AF47" s="1"/>
      <c r="AG47" s="1"/>
      <c r="AH47" s="1"/>
      <c r="AI47" s="790" t="s">
        <v>744</v>
      </c>
      <c r="AJ47" s="782">
        <v>270</v>
      </c>
      <c r="AK47" s="355">
        <v>270</v>
      </c>
      <c r="AL47" s="355">
        <v>270</v>
      </c>
      <c r="AM47" s="355">
        <v>270</v>
      </c>
      <c r="AN47" s="355">
        <v>270</v>
      </c>
      <c r="AO47" s="359"/>
      <c r="AP47" s="790" t="s">
        <v>744</v>
      </c>
      <c r="AQ47" s="357">
        <v>120</v>
      </c>
      <c r="AR47" s="357">
        <v>120</v>
      </c>
      <c r="AS47" s="357">
        <v>120</v>
      </c>
      <c r="AT47" s="783">
        <v>120</v>
      </c>
      <c r="AU47" s="783">
        <v>120</v>
      </c>
    </row>
    <row r="48" spans="2:47" ht="15.75">
      <c r="B48" s="777"/>
      <c r="C48" s="770"/>
      <c r="D48" s="768"/>
      <c r="E48" s="812"/>
      <c r="F48" s="812"/>
      <c r="G48" s="811"/>
      <c r="H48" s="811"/>
      <c r="I48" s="811"/>
      <c r="J48" s="811"/>
      <c r="K48" s="811"/>
      <c r="L48" s="811"/>
      <c r="M48" s="811"/>
      <c r="N48" s="811"/>
      <c r="O48" s="811"/>
      <c r="P48" s="811"/>
      <c r="Q48" s="811"/>
      <c r="R48" s="811"/>
      <c r="S48" s="811"/>
      <c r="T48" s="811"/>
      <c r="U48" s="768"/>
      <c r="V48" s="768"/>
      <c r="X48" s="768"/>
      <c r="Y48" s="768"/>
      <c r="Z48" s="768"/>
      <c r="AA48" s="768"/>
      <c r="AB48" s="768"/>
      <c r="AC48" s="768"/>
      <c r="AD48" s="768"/>
      <c r="AE48" s="768"/>
      <c r="AF48" s="1"/>
      <c r="AG48" s="1"/>
      <c r="AH48" s="1"/>
      <c r="AI48" s="789" t="s">
        <v>745</v>
      </c>
      <c r="AJ48" s="782">
        <v>80</v>
      </c>
      <c r="AK48" s="355">
        <v>100</v>
      </c>
      <c r="AL48" s="355">
        <v>120</v>
      </c>
      <c r="AM48" s="355">
        <v>120</v>
      </c>
      <c r="AN48" s="355">
        <v>120</v>
      </c>
      <c r="AO48" s="359"/>
      <c r="AP48" s="789" t="s">
        <v>745</v>
      </c>
      <c r="AQ48" s="357">
        <v>45</v>
      </c>
      <c r="AR48" s="357">
        <v>65</v>
      </c>
      <c r="AS48" s="357">
        <v>80</v>
      </c>
      <c r="AT48" s="783">
        <v>80</v>
      </c>
      <c r="AU48" s="783">
        <v>80</v>
      </c>
    </row>
    <row r="49" spans="2:47" ht="15.75">
      <c r="B49" s="777"/>
      <c r="C49" s="770"/>
      <c r="D49" s="768"/>
      <c r="E49" s="812"/>
      <c r="F49" s="812"/>
      <c r="G49" s="811"/>
      <c r="H49" s="811"/>
      <c r="I49" s="811"/>
      <c r="J49" s="811"/>
      <c r="K49" s="811"/>
      <c r="L49" s="811"/>
      <c r="M49" s="811"/>
      <c r="N49" s="811"/>
      <c r="O49" s="811"/>
      <c r="P49" s="811"/>
      <c r="Q49" s="811"/>
      <c r="R49" s="811"/>
      <c r="S49" s="811"/>
      <c r="T49" s="811"/>
      <c r="U49" s="768"/>
      <c r="V49" s="768"/>
      <c r="X49" s="768"/>
      <c r="Y49" s="768"/>
      <c r="Z49" s="768"/>
      <c r="AA49" s="768"/>
      <c r="AB49" s="768"/>
      <c r="AC49" s="768"/>
      <c r="AD49" s="768"/>
      <c r="AE49" s="768"/>
      <c r="AF49" s="1"/>
      <c r="AG49" s="1"/>
      <c r="AH49" s="1"/>
      <c r="AI49" s="789" t="s">
        <v>746</v>
      </c>
      <c r="AJ49" s="782">
        <v>120</v>
      </c>
      <c r="AK49" s="355">
        <v>120</v>
      </c>
      <c r="AL49" s="355">
        <v>150</v>
      </c>
      <c r="AM49" s="355">
        <v>150</v>
      </c>
      <c r="AN49" s="355">
        <v>150</v>
      </c>
      <c r="AO49" s="359"/>
      <c r="AP49" s="789" t="s">
        <v>746</v>
      </c>
      <c r="AQ49" s="357">
        <v>80</v>
      </c>
      <c r="AR49" s="357">
        <v>80</v>
      </c>
      <c r="AS49" s="357">
        <v>90</v>
      </c>
      <c r="AT49" s="783">
        <v>90</v>
      </c>
      <c r="AU49" s="783">
        <v>90</v>
      </c>
    </row>
    <row r="50" spans="2:47" ht="15.75">
      <c r="B50" s="777"/>
      <c r="C50" s="770"/>
      <c r="D50" s="768"/>
      <c r="E50" s="812"/>
      <c r="F50" s="812"/>
      <c r="G50" s="811"/>
      <c r="H50" s="811"/>
      <c r="I50" s="811"/>
      <c r="J50" s="811"/>
      <c r="K50" s="811"/>
      <c r="L50" s="811"/>
      <c r="M50" s="811"/>
      <c r="N50" s="811"/>
      <c r="O50" s="811"/>
      <c r="P50" s="811"/>
      <c r="Q50" s="811"/>
      <c r="R50" s="811"/>
      <c r="S50" s="811"/>
      <c r="T50" s="811"/>
      <c r="U50" s="768"/>
      <c r="V50" s="768"/>
      <c r="X50" s="768"/>
      <c r="Y50" s="768"/>
      <c r="Z50" s="768"/>
      <c r="AA50" s="768"/>
      <c r="AB50" s="768"/>
      <c r="AC50" s="768"/>
      <c r="AD50" s="768"/>
      <c r="AE50" s="768"/>
      <c r="AF50" s="1"/>
      <c r="AG50" s="1"/>
      <c r="AH50" s="1"/>
      <c r="AI50" s="789" t="s">
        <v>747</v>
      </c>
      <c r="AJ50" s="782">
        <v>200</v>
      </c>
      <c r="AK50" s="355">
        <v>200</v>
      </c>
      <c r="AL50" s="355">
        <v>240</v>
      </c>
      <c r="AM50" s="355">
        <v>240</v>
      </c>
      <c r="AN50" s="355">
        <v>240</v>
      </c>
      <c r="AO50" s="359"/>
      <c r="AP50" s="789" t="s">
        <v>747</v>
      </c>
      <c r="AQ50" s="357">
        <v>85</v>
      </c>
      <c r="AR50" s="357">
        <v>85</v>
      </c>
      <c r="AS50" s="357">
        <v>105</v>
      </c>
      <c r="AT50" s="783">
        <v>105</v>
      </c>
      <c r="AU50" s="783">
        <v>105</v>
      </c>
    </row>
    <row r="51" spans="2:47" ht="16.5" thickBot="1">
      <c r="B51" s="777"/>
      <c r="C51" s="770"/>
      <c r="D51" s="768"/>
      <c r="E51" s="812"/>
      <c r="F51" s="812"/>
      <c r="G51" s="811"/>
      <c r="H51" s="811"/>
      <c r="I51" s="811"/>
      <c r="J51" s="811"/>
      <c r="K51" s="811"/>
      <c r="L51" s="811"/>
      <c r="M51" s="811"/>
      <c r="N51" s="811"/>
      <c r="O51" s="811"/>
      <c r="P51" s="811"/>
      <c r="Q51" s="811"/>
      <c r="R51" s="811"/>
      <c r="S51" s="811"/>
      <c r="T51" s="811"/>
      <c r="U51" s="768"/>
      <c r="V51" s="768"/>
      <c r="X51" s="768"/>
      <c r="Y51" s="768"/>
      <c r="Z51" s="768"/>
      <c r="AA51" s="768"/>
      <c r="AB51" s="768"/>
      <c r="AC51" s="768"/>
      <c r="AD51" s="768"/>
      <c r="AE51" s="768"/>
      <c r="AF51" s="1"/>
      <c r="AG51" s="1"/>
      <c r="AH51" s="1"/>
      <c r="AI51" s="790" t="s">
        <v>748</v>
      </c>
      <c r="AJ51" s="782">
        <v>270</v>
      </c>
      <c r="AK51" s="355">
        <v>270</v>
      </c>
      <c r="AL51" s="355">
        <v>270</v>
      </c>
      <c r="AM51" s="355">
        <v>270</v>
      </c>
      <c r="AN51" s="355">
        <v>270</v>
      </c>
      <c r="AO51" s="359"/>
      <c r="AP51" s="790" t="s">
        <v>748</v>
      </c>
      <c r="AQ51" s="357">
        <v>120</v>
      </c>
      <c r="AR51" s="357">
        <v>120</v>
      </c>
      <c r="AS51" s="357">
        <v>120</v>
      </c>
      <c r="AT51" s="783">
        <v>120</v>
      </c>
      <c r="AU51" s="783">
        <v>120</v>
      </c>
    </row>
    <row r="52" spans="2:47" ht="15.75">
      <c r="B52" s="777"/>
      <c r="C52" s="770"/>
      <c r="D52" s="768"/>
      <c r="E52" s="812"/>
      <c r="F52" s="812"/>
      <c r="G52" s="811"/>
      <c r="H52" s="811"/>
      <c r="I52" s="811"/>
      <c r="J52" s="811"/>
      <c r="K52" s="811"/>
      <c r="L52" s="811"/>
      <c r="M52" s="811"/>
      <c r="N52" s="811"/>
      <c r="O52" s="811"/>
      <c r="P52" s="811"/>
      <c r="Q52" s="811"/>
      <c r="R52" s="811"/>
      <c r="S52" s="811"/>
      <c r="T52" s="811"/>
      <c r="U52" s="768"/>
      <c r="V52" s="768"/>
      <c r="X52" s="768"/>
      <c r="Y52" s="768"/>
      <c r="Z52" s="768"/>
      <c r="AA52" s="768"/>
      <c r="AB52" s="768"/>
      <c r="AC52" s="768"/>
      <c r="AD52" s="768"/>
      <c r="AE52" s="768"/>
      <c r="AF52" s="1"/>
      <c r="AG52" s="1"/>
      <c r="AH52" s="1"/>
      <c r="AI52" s="789" t="s">
        <v>749</v>
      </c>
      <c r="AJ52" s="782">
        <v>45</v>
      </c>
      <c r="AK52" s="355">
        <v>70</v>
      </c>
      <c r="AL52" s="355">
        <v>70</v>
      </c>
      <c r="AM52" s="355">
        <v>70</v>
      </c>
      <c r="AN52" s="355">
        <v>70</v>
      </c>
      <c r="AO52" s="359"/>
      <c r="AP52" s="789" t="s">
        <v>749</v>
      </c>
      <c r="AQ52" s="357">
        <v>30</v>
      </c>
      <c r="AR52" s="357">
        <v>45</v>
      </c>
      <c r="AS52" s="357">
        <v>45</v>
      </c>
      <c r="AT52" s="783">
        <v>45</v>
      </c>
      <c r="AU52" s="783">
        <v>45</v>
      </c>
    </row>
    <row r="53" spans="2:47" ht="15.75">
      <c r="B53" s="777"/>
      <c r="C53" s="770"/>
      <c r="D53" s="768"/>
      <c r="E53" s="812"/>
      <c r="F53" s="812"/>
      <c r="G53" s="811"/>
      <c r="H53" s="811"/>
      <c r="I53" s="811"/>
      <c r="J53" s="811"/>
      <c r="K53" s="811"/>
      <c r="L53" s="811"/>
      <c r="M53" s="811"/>
      <c r="N53" s="811"/>
      <c r="O53" s="811"/>
      <c r="P53" s="811"/>
      <c r="Q53" s="811"/>
      <c r="R53" s="811"/>
      <c r="S53" s="811"/>
      <c r="T53" s="811"/>
      <c r="U53" s="768"/>
      <c r="V53" s="768"/>
      <c r="X53" s="768"/>
      <c r="Y53" s="768"/>
      <c r="Z53" s="768"/>
      <c r="AA53" s="768"/>
      <c r="AB53" s="768"/>
      <c r="AC53" s="768"/>
      <c r="AD53" s="768"/>
      <c r="AE53" s="768"/>
      <c r="AF53" s="1"/>
      <c r="AG53" s="1"/>
      <c r="AH53" s="1"/>
      <c r="AI53" s="789" t="s">
        <v>750</v>
      </c>
      <c r="AJ53" s="782">
        <v>80</v>
      </c>
      <c r="AK53" s="355">
        <v>90</v>
      </c>
      <c r="AL53" s="355">
        <v>115</v>
      </c>
      <c r="AM53" s="355">
        <v>115</v>
      </c>
      <c r="AN53" s="355">
        <v>115</v>
      </c>
      <c r="AO53" s="359"/>
      <c r="AP53" s="789" t="s">
        <v>750</v>
      </c>
      <c r="AQ53" s="357">
        <v>45</v>
      </c>
      <c r="AR53" s="357">
        <v>65</v>
      </c>
      <c r="AS53" s="357">
        <v>80</v>
      </c>
      <c r="AT53" s="783">
        <v>80</v>
      </c>
      <c r="AU53" s="783">
        <v>80</v>
      </c>
    </row>
    <row r="54" spans="2:47" ht="15.75">
      <c r="B54" s="777"/>
      <c r="C54" s="770"/>
      <c r="D54" s="768"/>
      <c r="E54" s="812"/>
      <c r="F54" s="812"/>
      <c r="G54" s="811"/>
      <c r="H54" s="811"/>
      <c r="I54" s="811"/>
      <c r="J54" s="811"/>
      <c r="K54" s="811"/>
      <c r="L54" s="811"/>
      <c r="M54" s="811"/>
      <c r="N54" s="811"/>
      <c r="O54" s="811"/>
      <c r="P54" s="811"/>
      <c r="Q54" s="811"/>
      <c r="R54" s="811"/>
      <c r="S54" s="811"/>
      <c r="T54" s="811"/>
      <c r="U54" s="768"/>
      <c r="V54" s="768"/>
      <c r="X54" s="768"/>
      <c r="Y54" s="768"/>
      <c r="Z54" s="768"/>
      <c r="AA54" s="768"/>
      <c r="AB54" s="768"/>
      <c r="AC54" s="768"/>
      <c r="AD54" s="768"/>
      <c r="AE54" s="768"/>
      <c r="AF54" s="1"/>
      <c r="AG54" s="1"/>
      <c r="AH54" s="1"/>
      <c r="AI54" s="789" t="s">
        <v>751</v>
      </c>
      <c r="AJ54" s="782">
        <v>120</v>
      </c>
      <c r="AK54" s="355">
        <v>120</v>
      </c>
      <c r="AL54" s="355">
        <v>150</v>
      </c>
      <c r="AM54" s="355">
        <v>150</v>
      </c>
      <c r="AN54" s="355">
        <v>150</v>
      </c>
      <c r="AO54" s="359"/>
      <c r="AP54" s="789" t="s">
        <v>751</v>
      </c>
      <c r="AQ54" s="357">
        <v>80</v>
      </c>
      <c r="AR54" s="357">
        <v>80</v>
      </c>
      <c r="AS54" s="357">
        <v>90</v>
      </c>
      <c r="AT54" s="783">
        <v>90</v>
      </c>
      <c r="AU54" s="783">
        <v>90</v>
      </c>
    </row>
    <row r="55" spans="2:47" ht="15.75">
      <c r="B55" s="777"/>
      <c r="C55" s="770"/>
      <c r="D55" s="768"/>
      <c r="E55" s="812"/>
      <c r="F55" s="812"/>
      <c r="G55" s="811"/>
      <c r="H55" s="811"/>
      <c r="I55" s="811"/>
      <c r="J55" s="811"/>
      <c r="K55" s="811"/>
      <c r="L55" s="811"/>
      <c r="M55" s="811"/>
      <c r="N55" s="811"/>
      <c r="O55" s="811"/>
      <c r="P55" s="811"/>
      <c r="Q55" s="811"/>
      <c r="R55" s="811"/>
      <c r="S55" s="811"/>
      <c r="T55" s="811"/>
      <c r="U55" s="768"/>
      <c r="V55" s="768"/>
      <c r="X55" s="768"/>
      <c r="Y55" s="768"/>
      <c r="Z55" s="768"/>
      <c r="AA55" s="768"/>
      <c r="AB55" s="768"/>
      <c r="AC55" s="768"/>
      <c r="AD55" s="768"/>
      <c r="AE55" s="768"/>
      <c r="AF55" s="1"/>
      <c r="AG55" s="1"/>
      <c r="AH55" s="1"/>
      <c r="AI55" s="789" t="s">
        <v>752</v>
      </c>
      <c r="AJ55" s="782">
        <v>150</v>
      </c>
      <c r="AK55" s="355">
        <v>150</v>
      </c>
      <c r="AL55" s="355">
        <v>190</v>
      </c>
      <c r="AM55" s="355">
        <v>190</v>
      </c>
      <c r="AN55" s="355">
        <v>190</v>
      </c>
      <c r="AO55" s="359"/>
      <c r="AP55" s="789" t="s">
        <v>752</v>
      </c>
      <c r="AQ55" s="357">
        <v>85</v>
      </c>
      <c r="AR55" s="357">
        <v>85</v>
      </c>
      <c r="AS55" s="357">
        <v>105</v>
      </c>
      <c r="AT55" s="783">
        <v>105</v>
      </c>
      <c r="AU55" s="783">
        <v>105</v>
      </c>
    </row>
    <row r="56" spans="2:47" ht="16.5" thickBot="1">
      <c r="B56" s="777"/>
      <c r="C56" s="770"/>
      <c r="D56" s="768"/>
      <c r="E56" s="812"/>
      <c r="F56" s="812"/>
      <c r="G56" s="811"/>
      <c r="H56" s="811"/>
      <c r="I56" s="811"/>
      <c r="J56" s="811"/>
      <c r="K56" s="811"/>
      <c r="L56" s="811"/>
      <c r="M56" s="811"/>
      <c r="N56" s="811"/>
      <c r="O56" s="811"/>
      <c r="P56" s="811"/>
      <c r="Q56" s="811"/>
      <c r="R56" s="811"/>
      <c r="S56" s="811"/>
      <c r="T56" s="811"/>
      <c r="U56" s="768"/>
      <c r="V56" s="768"/>
      <c r="X56" s="768"/>
      <c r="Y56" s="768"/>
      <c r="Z56" s="768"/>
      <c r="AA56" s="768"/>
      <c r="AB56" s="768"/>
      <c r="AC56" s="768"/>
      <c r="AD56" s="768"/>
      <c r="AE56" s="768"/>
      <c r="AF56" s="1"/>
      <c r="AG56" s="1"/>
      <c r="AH56" s="1"/>
      <c r="AI56" s="790" t="s">
        <v>753</v>
      </c>
      <c r="AJ56" s="782">
        <v>210</v>
      </c>
      <c r="AK56" s="355">
        <v>210</v>
      </c>
      <c r="AL56" s="355">
        <v>210</v>
      </c>
      <c r="AM56" s="355">
        <v>210</v>
      </c>
      <c r="AN56" s="355">
        <v>210</v>
      </c>
      <c r="AO56" s="359"/>
      <c r="AP56" s="790" t="s">
        <v>753</v>
      </c>
      <c r="AQ56" s="357">
        <v>120</v>
      </c>
      <c r="AR56" s="357">
        <v>120</v>
      </c>
      <c r="AS56" s="357">
        <v>120</v>
      </c>
      <c r="AT56" s="783">
        <v>120</v>
      </c>
      <c r="AU56" s="783">
        <v>120</v>
      </c>
    </row>
    <row r="57" spans="2:47" ht="15.75">
      <c r="B57" s="777"/>
      <c r="C57" s="770"/>
      <c r="D57" s="768"/>
      <c r="E57" s="812"/>
      <c r="F57" s="812"/>
      <c r="G57" s="811"/>
      <c r="H57" s="811"/>
      <c r="I57" s="811"/>
      <c r="J57" s="811"/>
      <c r="K57" s="811"/>
      <c r="L57" s="811"/>
      <c r="M57" s="811"/>
      <c r="N57" s="811"/>
      <c r="O57" s="811"/>
      <c r="P57" s="811"/>
      <c r="Q57" s="811"/>
      <c r="R57" s="811"/>
      <c r="S57" s="811"/>
      <c r="T57" s="811"/>
      <c r="U57" s="768"/>
      <c r="V57" s="768"/>
      <c r="X57" s="768"/>
      <c r="Y57" s="768"/>
      <c r="Z57" s="768"/>
      <c r="AA57" s="768"/>
      <c r="AB57" s="768"/>
      <c r="AC57" s="768"/>
      <c r="AD57" s="768"/>
      <c r="AE57" s="768"/>
      <c r="AF57" s="1"/>
      <c r="AG57" s="1"/>
      <c r="AH57" s="1"/>
      <c r="AI57" s="789" t="s">
        <v>754</v>
      </c>
      <c r="AJ57" s="782">
        <v>40</v>
      </c>
      <c r="AK57" s="355">
        <v>40</v>
      </c>
      <c r="AL57" s="355">
        <v>40</v>
      </c>
      <c r="AM57" s="355">
        <v>40</v>
      </c>
      <c r="AN57" s="355">
        <v>40</v>
      </c>
      <c r="AO57" s="359"/>
      <c r="AP57" s="789" t="s">
        <v>754</v>
      </c>
      <c r="AQ57" s="357">
        <v>30</v>
      </c>
      <c r="AR57" s="357">
        <v>45</v>
      </c>
      <c r="AS57" s="357">
        <v>45</v>
      </c>
      <c r="AT57" s="783">
        <v>45</v>
      </c>
      <c r="AU57" s="783">
        <v>45</v>
      </c>
    </row>
    <row r="58" spans="2:47" ht="15.75">
      <c r="B58" s="777"/>
      <c r="C58" s="770"/>
      <c r="D58" s="768"/>
      <c r="E58" s="812"/>
      <c r="F58" s="812"/>
      <c r="G58" s="811"/>
      <c r="H58" s="811"/>
      <c r="I58" s="811"/>
      <c r="J58" s="811"/>
      <c r="K58" s="811"/>
      <c r="L58" s="811"/>
      <c r="M58" s="811"/>
      <c r="N58" s="811"/>
      <c r="O58" s="811"/>
      <c r="P58" s="811"/>
      <c r="Q58" s="811"/>
      <c r="R58" s="811"/>
      <c r="S58" s="811"/>
      <c r="T58" s="811"/>
      <c r="U58" s="768"/>
      <c r="V58" s="768"/>
      <c r="X58" s="768"/>
      <c r="Y58" s="768"/>
      <c r="Z58" s="768"/>
      <c r="AA58" s="768"/>
      <c r="AB58" s="768"/>
      <c r="AC58" s="768"/>
      <c r="AD58" s="768"/>
      <c r="AE58" s="768"/>
      <c r="AF58" s="1"/>
      <c r="AG58" s="1"/>
      <c r="AH58" s="1"/>
      <c r="AI58" s="789" t="s">
        <v>755</v>
      </c>
      <c r="AJ58" s="782">
        <v>40</v>
      </c>
      <c r="AK58" s="355">
        <v>40</v>
      </c>
      <c r="AL58" s="355">
        <v>40</v>
      </c>
      <c r="AM58" s="355">
        <v>40</v>
      </c>
      <c r="AN58" s="355">
        <v>40</v>
      </c>
      <c r="AO58" s="359"/>
      <c r="AP58" s="789" t="s">
        <v>755</v>
      </c>
      <c r="AQ58" s="357">
        <v>45</v>
      </c>
      <c r="AR58" s="357">
        <v>65</v>
      </c>
      <c r="AS58" s="357">
        <v>80</v>
      </c>
      <c r="AT58" s="783">
        <v>80</v>
      </c>
      <c r="AU58" s="783">
        <v>80</v>
      </c>
    </row>
    <row r="59" spans="2:47" ht="15.75">
      <c r="B59" s="777"/>
      <c r="C59" s="770"/>
      <c r="D59" s="768"/>
      <c r="E59" s="812"/>
      <c r="F59" s="812"/>
      <c r="G59" s="811"/>
      <c r="H59" s="811"/>
      <c r="I59" s="811"/>
      <c r="J59" s="811"/>
      <c r="K59" s="811"/>
      <c r="L59" s="811"/>
      <c r="M59" s="811"/>
      <c r="N59" s="811"/>
      <c r="O59" s="811"/>
      <c r="P59" s="811"/>
      <c r="Q59" s="811"/>
      <c r="R59" s="811"/>
      <c r="S59" s="811"/>
      <c r="T59" s="811"/>
      <c r="U59" s="768"/>
      <c r="V59" s="768"/>
      <c r="X59" s="768"/>
      <c r="Y59" s="768"/>
      <c r="Z59" s="768"/>
      <c r="AA59" s="768"/>
      <c r="AB59" s="768"/>
      <c r="AC59" s="768"/>
      <c r="AD59" s="768"/>
      <c r="AE59" s="768"/>
      <c r="AF59" s="1"/>
      <c r="AG59" s="1"/>
      <c r="AH59" s="1"/>
      <c r="AI59" s="789" t="s">
        <v>756</v>
      </c>
      <c r="AJ59" s="782">
        <v>40</v>
      </c>
      <c r="AK59" s="355">
        <v>40</v>
      </c>
      <c r="AL59" s="355">
        <v>40</v>
      </c>
      <c r="AM59" s="355">
        <v>40</v>
      </c>
      <c r="AN59" s="355">
        <v>40</v>
      </c>
      <c r="AO59" s="359"/>
      <c r="AP59" s="789" t="s">
        <v>756</v>
      </c>
      <c r="AQ59" s="357">
        <v>80</v>
      </c>
      <c r="AR59" s="357">
        <v>80</v>
      </c>
      <c r="AS59" s="357">
        <v>90</v>
      </c>
      <c r="AT59" s="783">
        <v>90</v>
      </c>
      <c r="AU59" s="783">
        <v>90</v>
      </c>
    </row>
    <row r="60" spans="2:47" ht="15.75">
      <c r="B60" s="777"/>
      <c r="C60" s="770"/>
      <c r="D60" s="768"/>
      <c r="E60" s="812"/>
      <c r="F60" s="812"/>
      <c r="G60" s="811"/>
      <c r="H60" s="811"/>
      <c r="I60" s="811"/>
      <c r="J60" s="811"/>
      <c r="K60" s="811"/>
      <c r="L60" s="811"/>
      <c r="M60" s="811"/>
      <c r="N60" s="811"/>
      <c r="O60" s="811"/>
      <c r="P60" s="811"/>
      <c r="Q60" s="811"/>
      <c r="R60" s="811"/>
      <c r="S60" s="811"/>
      <c r="T60" s="811"/>
      <c r="U60" s="768"/>
      <c r="V60" s="768"/>
      <c r="X60" s="768"/>
      <c r="Y60" s="768"/>
      <c r="Z60" s="768"/>
      <c r="AA60" s="768"/>
      <c r="AB60" s="768"/>
      <c r="AC60" s="768"/>
      <c r="AD60" s="768"/>
      <c r="AE60" s="768"/>
      <c r="AF60" s="1"/>
      <c r="AG60" s="1"/>
      <c r="AH60" s="1"/>
      <c r="AI60" s="789" t="s">
        <v>757</v>
      </c>
      <c r="AJ60" s="782">
        <v>40</v>
      </c>
      <c r="AK60" s="355">
        <v>40</v>
      </c>
      <c r="AL60" s="355">
        <v>40</v>
      </c>
      <c r="AM60" s="355">
        <v>40</v>
      </c>
      <c r="AN60" s="355">
        <v>40</v>
      </c>
      <c r="AO60" s="359"/>
      <c r="AP60" s="789" t="s">
        <v>757</v>
      </c>
      <c r="AQ60" s="357">
        <v>85</v>
      </c>
      <c r="AR60" s="357">
        <v>85</v>
      </c>
      <c r="AS60" s="357">
        <v>105</v>
      </c>
      <c r="AT60" s="783">
        <v>105</v>
      </c>
      <c r="AU60" s="783">
        <v>105</v>
      </c>
    </row>
    <row r="61" spans="2:47" ht="15">
      <c r="B61" s="775"/>
      <c r="C61" s="775"/>
      <c r="D61" s="775"/>
      <c r="E61" s="813"/>
      <c r="F61" s="813"/>
      <c r="G61" s="813"/>
      <c r="H61" s="813"/>
      <c r="I61" s="813"/>
      <c r="J61" s="813"/>
      <c r="K61" s="813"/>
      <c r="L61" s="813"/>
      <c r="M61" s="813"/>
      <c r="N61" s="813"/>
      <c r="O61" s="813"/>
      <c r="P61" s="813"/>
      <c r="Q61" s="813"/>
      <c r="R61" s="813"/>
      <c r="S61" s="813"/>
      <c r="T61" s="813"/>
      <c r="U61" s="775"/>
      <c r="V61" s="775"/>
      <c r="X61" s="775"/>
      <c r="Y61" s="775"/>
      <c r="Z61" s="775"/>
      <c r="AA61" s="775"/>
      <c r="AB61" s="775"/>
      <c r="AC61" s="775"/>
      <c r="AD61" s="775"/>
      <c r="AE61" s="775"/>
      <c r="AF61" s="1"/>
      <c r="AG61" s="1"/>
      <c r="AH61" s="1"/>
      <c r="AI61" s="356" t="s">
        <v>42</v>
      </c>
      <c r="AJ61" s="355">
        <v>20</v>
      </c>
      <c r="AK61" s="355">
        <v>20</v>
      </c>
      <c r="AL61" s="355">
        <v>20</v>
      </c>
      <c r="AM61" s="355">
        <v>20</v>
      </c>
      <c r="AN61" s="355">
        <v>20</v>
      </c>
      <c r="AO61" s="359"/>
      <c r="AP61" s="356" t="s">
        <v>42</v>
      </c>
      <c r="AQ61" s="357">
        <v>80</v>
      </c>
      <c r="AR61" s="357">
        <v>100</v>
      </c>
      <c r="AS61" s="357">
        <v>120</v>
      </c>
      <c r="AT61" s="783">
        <v>120</v>
      </c>
      <c r="AU61" s="783">
        <v>120</v>
      </c>
    </row>
    <row r="62" spans="2:47" ht="15.75">
      <c r="B62" s="774"/>
      <c r="C62" s="748"/>
      <c r="D62" s="748"/>
      <c r="E62" s="809"/>
      <c r="F62" s="809"/>
      <c r="G62" s="809"/>
      <c r="H62" s="809"/>
      <c r="I62" s="809"/>
      <c r="J62" s="809"/>
      <c r="K62" s="809"/>
      <c r="L62" s="809"/>
      <c r="M62" s="809"/>
      <c r="N62" s="809"/>
      <c r="O62" s="809"/>
      <c r="P62" s="809"/>
      <c r="Q62" s="809"/>
      <c r="R62" s="809"/>
      <c r="S62" s="809"/>
      <c r="T62" s="809"/>
      <c r="U62" s="748"/>
      <c r="V62" s="748"/>
      <c r="X62" s="748"/>
      <c r="Y62" s="748"/>
      <c r="Z62" s="748"/>
      <c r="AA62" s="748"/>
      <c r="AB62" s="748"/>
      <c r="AC62" s="748"/>
      <c r="AD62" s="748"/>
      <c r="AE62" s="748"/>
      <c r="AF62" s="1"/>
      <c r="AG62" s="1"/>
      <c r="AH62" s="1"/>
      <c r="AI62" s="792" t="s">
        <v>32</v>
      </c>
      <c r="AJ62" s="793"/>
      <c r="AK62" s="793"/>
      <c r="AL62" s="793"/>
      <c r="AM62" s="793"/>
      <c r="AN62" s="793"/>
      <c r="AO62" s="243"/>
      <c r="AP62" s="792" t="s">
        <v>32</v>
      </c>
      <c r="AQ62" s="794"/>
      <c r="AR62" s="794"/>
      <c r="AS62" s="794"/>
      <c r="AT62" s="794"/>
      <c r="AU62" s="794"/>
    </row>
    <row r="63" spans="2:47" ht="15.75">
      <c r="B63" s="774"/>
      <c r="C63" s="748"/>
      <c r="D63" s="748"/>
      <c r="E63" s="809"/>
      <c r="F63" s="809"/>
      <c r="G63" s="809"/>
      <c r="H63" s="809"/>
      <c r="I63" s="809"/>
      <c r="J63" s="809"/>
      <c r="K63" s="809"/>
      <c r="L63" s="809"/>
      <c r="M63" s="809"/>
      <c r="N63" s="809"/>
      <c r="O63" s="809"/>
      <c r="P63" s="809"/>
      <c r="Q63" s="809"/>
      <c r="R63" s="809"/>
      <c r="S63" s="809"/>
      <c r="T63" s="809"/>
      <c r="U63" s="762"/>
      <c r="V63" s="762"/>
      <c r="X63" s="762"/>
      <c r="Y63" s="762"/>
      <c r="Z63" s="762"/>
      <c r="AA63" s="762"/>
      <c r="AB63" s="762"/>
      <c r="AC63" s="762"/>
      <c r="AD63" s="762"/>
      <c r="AE63" s="762"/>
      <c r="AF63" s="1"/>
      <c r="AG63" s="1"/>
      <c r="AH63" s="1"/>
      <c r="AI63" s="795"/>
      <c r="AJ63" s="358"/>
      <c r="AK63" s="358"/>
      <c r="AL63" s="358"/>
      <c r="AM63" s="358"/>
      <c r="AN63" s="358"/>
      <c r="AO63" s="791"/>
      <c r="AP63" s="795"/>
      <c r="AQ63" s="778"/>
      <c r="AR63" s="778"/>
      <c r="AS63" s="778"/>
      <c r="AT63" s="778"/>
      <c r="AU63" s="778"/>
    </row>
    <row r="64" spans="2:47" ht="16.5" thickBot="1">
      <c r="B64" s="774"/>
      <c r="C64" s="748"/>
      <c r="D64" s="748"/>
      <c r="E64" s="809"/>
      <c r="F64" s="809"/>
      <c r="G64" s="809"/>
      <c r="H64" s="809"/>
      <c r="I64" s="809"/>
      <c r="J64" s="809"/>
      <c r="K64" s="809"/>
      <c r="L64" s="809"/>
      <c r="M64" s="809"/>
      <c r="N64" s="809"/>
      <c r="O64" s="809"/>
      <c r="P64" s="809"/>
      <c r="Q64" s="809"/>
      <c r="R64" s="809"/>
      <c r="S64" s="809"/>
      <c r="T64" s="809"/>
      <c r="U64" s="763"/>
      <c r="V64" s="763"/>
      <c r="X64" s="763"/>
      <c r="Y64" s="763"/>
      <c r="Z64" s="763"/>
      <c r="AA64" s="763"/>
      <c r="AB64" s="763"/>
      <c r="AC64" s="763"/>
      <c r="AD64" s="763"/>
      <c r="AE64" s="763"/>
      <c r="AF64" s="1"/>
      <c r="AG64" s="1"/>
      <c r="AH64" s="1"/>
      <c r="AI64" s="795"/>
      <c r="AJ64" s="358"/>
      <c r="AK64" s="358"/>
      <c r="AL64" s="358"/>
      <c r="AM64" s="358"/>
      <c r="AN64" s="358"/>
      <c r="AO64" s="791"/>
      <c r="AP64" s="795"/>
      <c r="AQ64" s="778"/>
      <c r="AR64" s="778"/>
      <c r="AS64" s="778"/>
      <c r="AT64" s="778"/>
      <c r="AU64" s="778"/>
    </row>
    <row r="65" spans="2:47" ht="15.75">
      <c r="B65" s="769"/>
      <c r="C65" s="766"/>
      <c r="D65" s="767"/>
      <c r="E65" s="815"/>
      <c r="F65" s="815"/>
      <c r="G65" s="814"/>
      <c r="H65" s="814"/>
      <c r="I65" s="814"/>
      <c r="J65" s="814"/>
      <c r="K65" s="814"/>
      <c r="L65" s="814"/>
      <c r="M65" s="814"/>
      <c r="N65" s="814"/>
      <c r="O65" s="814"/>
      <c r="P65" s="814"/>
      <c r="Q65" s="814"/>
      <c r="R65" s="814"/>
      <c r="S65" s="814"/>
      <c r="T65" s="814"/>
      <c r="U65" s="767"/>
      <c r="V65" s="767"/>
      <c r="X65" s="767"/>
      <c r="Y65" s="767"/>
      <c r="Z65" s="767"/>
      <c r="AA65" s="767"/>
      <c r="AB65" s="767"/>
      <c r="AC65" s="767"/>
      <c r="AD65" s="767"/>
      <c r="AE65" s="767"/>
      <c r="AF65" s="1"/>
      <c r="AG65" s="1"/>
      <c r="AH65" s="889"/>
      <c r="AI65" s="798"/>
      <c r="AJ65" s="799"/>
      <c r="AK65" s="799"/>
      <c r="AL65" s="800"/>
      <c r="AN65" s="1"/>
      <c r="AO65" s="1"/>
      <c r="AP65" s="1"/>
      <c r="AQ65" s="1"/>
      <c r="AR65" s="1"/>
      <c r="AS65" s="1"/>
      <c r="AT65" s="1"/>
      <c r="AU65" s="1"/>
    </row>
    <row r="66" spans="2:47" ht="22.5">
      <c r="B66" s="1"/>
      <c r="C66" s="1"/>
      <c r="D66" s="1"/>
      <c r="E66" s="14"/>
      <c r="F66" s="14"/>
      <c r="G66" s="14"/>
      <c r="H66" s="14"/>
      <c r="I66" s="14"/>
      <c r="J66" s="14"/>
      <c r="K66" s="14"/>
      <c r="L66" s="14"/>
      <c r="M66" s="14"/>
      <c r="N66" s="14"/>
      <c r="O66" s="14"/>
      <c r="P66" s="14"/>
      <c r="Q66" s="14"/>
      <c r="R66" s="14"/>
      <c r="S66" s="14"/>
      <c r="T66" s="14"/>
      <c r="U66" s="767"/>
      <c r="V66" s="767"/>
      <c r="X66" s="767"/>
      <c r="Y66" s="767"/>
      <c r="Z66" s="767"/>
      <c r="AA66" s="767"/>
      <c r="AB66" s="767"/>
      <c r="AC66" s="767"/>
      <c r="AH66" s="890" t="s">
        <v>24</v>
      </c>
      <c r="AI66" s="888" t="s">
        <v>846</v>
      </c>
      <c r="AJ66" s="797"/>
      <c r="AK66" s="797"/>
      <c r="AL66" s="886"/>
      <c r="AN66" s="1"/>
      <c r="AO66" s="1"/>
      <c r="AP66" s="1"/>
      <c r="AQ66" s="1"/>
      <c r="AR66" s="1"/>
      <c r="AS66" s="1"/>
      <c r="AT66" s="1"/>
      <c r="AU66" s="1"/>
    </row>
    <row r="67" spans="2:47" ht="15.75">
      <c r="B67" s="1"/>
      <c r="C67" s="1"/>
      <c r="D67" s="1"/>
      <c r="E67" s="14"/>
      <c r="F67" s="14"/>
      <c r="G67" s="14"/>
      <c r="H67" s="14"/>
      <c r="I67" s="14"/>
      <c r="J67" s="14"/>
      <c r="K67" s="14"/>
      <c r="L67" s="14"/>
      <c r="M67" s="14"/>
      <c r="N67" s="14"/>
      <c r="O67" s="14"/>
      <c r="P67" s="14"/>
      <c r="Q67" s="14"/>
      <c r="R67" s="14"/>
      <c r="S67" s="14"/>
      <c r="T67" s="14"/>
      <c r="U67" s="767"/>
      <c r="V67" s="767"/>
      <c r="X67" s="767"/>
      <c r="Y67" s="767"/>
      <c r="Z67" s="767"/>
      <c r="AA67" s="767"/>
      <c r="AB67" s="767"/>
      <c r="AC67" s="767"/>
      <c r="AH67" s="891" t="s">
        <v>5</v>
      </c>
      <c r="AI67" s="887" t="s">
        <v>829</v>
      </c>
      <c r="AJ67" s="354" t="s">
        <v>5</v>
      </c>
      <c r="AK67" s="354" t="s">
        <v>6</v>
      </c>
      <c r="AL67" s="802" t="s">
        <v>29</v>
      </c>
      <c r="AN67" s="1"/>
      <c r="AO67" s="243"/>
      <c r="AP67" s="363" t="s">
        <v>36</v>
      </c>
      <c r="AQ67" s="361" t="s">
        <v>5</v>
      </c>
      <c r="AR67" s="361" t="s">
        <v>6</v>
      </c>
      <c r="AS67" s="361" t="s">
        <v>7</v>
      </c>
      <c r="AT67" s="364"/>
      <c r="AU67" s="364"/>
    </row>
    <row r="68" spans="2:47" ht="15.75">
      <c r="B68" s="1"/>
      <c r="C68" s="1"/>
      <c r="D68" s="1"/>
      <c r="E68" s="14"/>
      <c r="F68" s="14"/>
      <c r="G68" s="14"/>
      <c r="H68" s="14"/>
      <c r="I68" s="14"/>
      <c r="J68" s="14"/>
      <c r="K68" s="14"/>
      <c r="L68" s="14"/>
      <c r="M68" s="14"/>
      <c r="N68" s="14"/>
      <c r="O68" s="14"/>
      <c r="P68" s="14"/>
      <c r="Q68" s="14"/>
      <c r="R68" s="14"/>
      <c r="S68" s="14"/>
      <c r="T68" s="14"/>
      <c r="U68" s="767"/>
      <c r="V68" s="767"/>
      <c r="X68" s="767"/>
      <c r="Y68" s="767"/>
      <c r="Z68" s="767"/>
      <c r="AA68" s="767"/>
      <c r="AB68" s="767"/>
      <c r="AC68" s="767"/>
      <c r="AH68" s="892" t="s">
        <v>6</v>
      </c>
      <c r="AI68" s="304" t="s">
        <v>830</v>
      </c>
      <c r="AJ68" s="266">
        <v>10</v>
      </c>
      <c r="AK68" s="266">
        <v>20</v>
      </c>
      <c r="AL68" s="803">
        <v>30</v>
      </c>
      <c r="AN68" s="1"/>
      <c r="AO68" s="243"/>
      <c r="AP68" s="304" t="s">
        <v>830</v>
      </c>
      <c r="AQ68" s="355">
        <v>15</v>
      </c>
      <c r="AR68" s="355">
        <v>30</v>
      </c>
      <c r="AS68" s="355">
        <v>30</v>
      </c>
      <c r="AT68" s="362">
        <v>30</v>
      </c>
      <c r="AU68" s="362">
        <v>30</v>
      </c>
    </row>
    <row r="69" spans="2:47" ht="16.5" thickBot="1">
      <c r="B69" s="1"/>
      <c r="C69" s="1"/>
      <c r="D69" s="1"/>
      <c r="E69" s="14"/>
      <c r="F69" s="14"/>
      <c r="G69" s="14"/>
      <c r="H69" s="14"/>
      <c r="I69" s="14"/>
      <c r="J69" s="14"/>
      <c r="K69" s="14"/>
      <c r="L69" s="14"/>
      <c r="M69" s="14"/>
      <c r="N69" s="14"/>
      <c r="O69" s="14"/>
      <c r="P69" s="14"/>
      <c r="Q69" s="14"/>
      <c r="R69" s="14"/>
      <c r="S69" s="14"/>
      <c r="T69" s="14"/>
      <c r="U69" s="767"/>
      <c r="V69" s="767"/>
      <c r="X69" s="767"/>
      <c r="Y69" s="767"/>
      <c r="Z69" s="767"/>
      <c r="AA69" s="767"/>
      <c r="AB69" s="767"/>
      <c r="AC69" s="767"/>
      <c r="AH69" s="893" t="s">
        <v>29</v>
      </c>
      <c r="AI69" s="304" t="s">
        <v>831</v>
      </c>
      <c r="AJ69" s="266">
        <v>40</v>
      </c>
      <c r="AK69" s="266">
        <v>60</v>
      </c>
      <c r="AL69" s="803">
        <v>80</v>
      </c>
      <c r="AN69" s="1"/>
      <c r="AO69" s="243"/>
      <c r="AP69" s="304" t="s">
        <v>831</v>
      </c>
      <c r="AQ69" s="355">
        <v>30</v>
      </c>
      <c r="AR69" s="355">
        <v>45</v>
      </c>
      <c r="AS69" s="355">
        <v>45</v>
      </c>
      <c r="AT69" s="362">
        <v>45</v>
      </c>
      <c r="AU69" s="362">
        <v>45</v>
      </c>
    </row>
    <row r="70" spans="2:47" ht="15.75">
      <c r="B70" s="1"/>
      <c r="C70" s="1"/>
      <c r="D70" s="1"/>
      <c r="E70" s="14"/>
      <c r="F70" s="14"/>
      <c r="G70" s="14"/>
      <c r="H70" s="14"/>
      <c r="I70" s="14"/>
      <c r="J70" s="14"/>
      <c r="K70" s="14"/>
      <c r="L70" s="14"/>
      <c r="M70" s="14"/>
      <c r="N70" s="14"/>
      <c r="O70" s="14"/>
      <c r="P70" s="14"/>
      <c r="Q70" s="14"/>
      <c r="R70" s="14"/>
      <c r="S70" s="14"/>
      <c r="T70" s="14"/>
      <c r="U70" s="767"/>
      <c r="V70" s="767"/>
      <c r="X70" s="767"/>
      <c r="Y70" s="767"/>
      <c r="Z70" s="767"/>
      <c r="AA70" s="767"/>
      <c r="AB70" s="767"/>
      <c r="AC70" s="767"/>
      <c r="AH70" s="747"/>
      <c r="AI70" s="304" t="s">
        <v>844</v>
      </c>
      <c r="AJ70" s="266">
        <v>60</v>
      </c>
      <c r="AK70" s="266">
        <v>80</v>
      </c>
      <c r="AL70" s="803">
        <v>100</v>
      </c>
      <c r="AN70" s="1"/>
      <c r="AO70" s="243"/>
      <c r="AP70" s="304" t="s">
        <v>844</v>
      </c>
      <c r="AQ70" s="355">
        <v>65</v>
      </c>
      <c r="AR70" s="355">
        <v>65</v>
      </c>
      <c r="AS70" s="355">
        <v>80</v>
      </c>
      <c r="AT70" s="362">
        <v>80</v>
      </c>
      <c r="AU70" s="362">
        <v>80</v>
      </c>
    </row>
    <row r="71" spans="2:47" ht="15.75">
      <c r="B71" s="1"/>
      <c r="C71" s="1"/>
      <c r="D71" s="1"/>
      <c r="E71" s="14"/>
      <c r="F71" s="14"/>
      <c r="G71" s="14"/>
      <c r="H71" s="14"/>
      <c r="I71" s="14"/>
      <c r="J71" s="14"/>
      <c r="K71" s="14"/>
      <c r="L71" s="14"/>
      <c r="M71" s="14"/>
      <c r="N71" s="14"/>
      <c r="O71" s="14"/>
      <c r="P71" s="14"/>
      <c r="Q71" s="14"/>
      <c r="R71" s="14"/>
      <c r="S71" s="14"/>
      <c r="T71" s="14"/>
      <c r="U71" s="767"/>
      <c r="V71" s="767"/>
      <c r="X71" s="767"/>
      <c r="Y71" s="767"/>
      <c r="Z71" s="767"/>
      <c r="AA71" s="767"/>
      <c r="AB71" s="767"/>
      <c r="AC71" s="767"/>
      <c r="AH71" s="747"/>
      <c r="AI71" s="304" t="s">
        <v>845</v>
      </c>
      <c r="AJ71" s="266">
        <v>60</v>
      </c>
      <c r="AK71" s="266">
        <v>100</v>
      </c>
      <c r="AL71" s="803">
        <v>120</v>
      </c>
      <c r="AN71" s="1"/>
      <c r="AO71" s="243"/>
      <c r="AP71" s="304" t="s">
        <v>845</v>
      </c>
      <c r="AQ71" s="355">
        <v>45</v>
      </c>
      <c r="AR71" s="355">
        <v>65</v>
      </c>
      <c r="AS71" s="355">
        <v>80</v>
      </c>
      <c r="AT71" s="362">
        <v>80</v>
      </c>
      <c r="AU71" s="362">
        <v>80</v>
      </c>
    </row>
    <row r="72" spans="2:47" ht="15.75">
      <c r="B72" s="1"/>
      <c r="C72" s="1"/>
      <c r="D72" s="1"/>
      <c r="E72" s="14"/>
      <c r="F72" s="14"/>
      <c r="G72" s="14"/>
      <c r="H72" s="14"/>
      <c r="I72" s="14"/>
      <c r="J72" s="14"/>
      <c r="K72" s="14"/>
      <c r="L72" s="14"/>
      <c r="M72" s="14"/>
      <c r="N72" s="14"/>
      <c r="O72" s="14"/>
      <c r="P72" s="14"/>
      <c r="Q72" s="14"/>
      <c r="R72" s="14"/>
      <c r="S72" s="14"/>
      <c r="T72" s="14"/>
      <c r="U72" s="767"/>
      <c r="V72" s="767"/>
      <c r="X72" s="767"/>
      <c r="Y72" s="767"/>
      <c r="Z72" s="767"/>
      <c r="AA72" s="767"/>
      <c r="AB72" s="767"/>
      <c r="AC72" s="767"/>
      <c r="AH72" s="747"/>
      <c r="AI72" s="304" t="s">
        <v>1028</v>
      </c>
      <c r="AJ72" s="266">
        <v>100</v>
      </c>
      <c r="AK72" s="266">
        <v>140</v>
      </c>
      <c r="AL72" s="803">
        <v>170</v>
      </c>
      <c r="AN72" s="1"/>
      <c r="AO72" s="243"/>
      <c r="AP72" s="304" t="s">
        <v>1028</v>
      </c>
      <c r="AQ72" s="355">
        <v>80</v>
      </c>
      <c r="AR72" s="355">
        <v>80</v>
      </c>
      <c r="AS72" s="355">
        <v>90</v>
      </c>
      <c r="AT72" s="362">
        <v>90</v>
      </c>
      <c r="AU72" s="362">
        <v>90</v>
      </c>
    </row>
    <row r="73" spans="2:47" ht="15.75">
      <c r="B73" s="1"/>
      <c r="C73" s="1"/>
      <c r="D73" s="1"/>
      <c r="E73" s="14"/>
      <c r="F73" s="14"/>
      <c r="G73" s="14"/>
      <c r="H73" s="14"/>
      <c r="I73" s="14"/>
      <c r="J73" s="14"/>
      <c r="K73" s="14"/>
      <c r="L73" s="14"/>
      <c r="M73" s="14"/>
      <c r="N73" s="14"/>
      <c r="O73" s="14"/>
      <c r="P73" s="14"/>
      <c r="Q73" s="14"/>
      <c r="R73" s="14"/>
      <c r="S73" s="14"/>
      <c r="T73" s="14"/>
      <c r="U73" s="767"/>
      <c r="V73" s="767"/>
      <c r="X73" s="767"/>
      <c r="Y73" s="767"/>
      <c r="Z73" s="767"/>
      <c r="AA73" s="767"/>
      <c r="AB73" s="767"/>
      <c r="AC73" s="767"/>
      <c r="AH73" s="747"/>
      <c r="AI73" s="304" t="s">
        <v>1029</v>
      </c>
      <c r="AJ73" s="266">
        <v>140</v>
      </c>
      <c r="AK73" s="266">
        <v>160</v>
      </c>
      <c r="AL73" s="803">
        <v>210</v>
      </c>
      <c r="AN73" s="1"/>
      <c r="AO73" s="243"/>
      <c r="AP73" s="304" t="s">
        <v>1029</v>
      </c>
      <c r="AQ73" s="355">
        <v>85</v>
      </c>
      <c r="AR73" s="355">
        <v>85</v>
      </c>
      <c r="AS73" s="355">
        <v>105</v>
      </c>
      <c r="AT73" s="362">
        <v>105</v>
      </c>
      <c r="AU73" s="362">
        <v>105</v>
      </c>
    </row>
    <row r="74" spans="2:47" ht="15.75">
      <c r="B74" s="1"/>
      <c r="C74" s="1"/>
      <c r="D74" s="1"/>
      <c r="E74" s="14"/>
      <c r="F74" s="14"/>
      <c r="G74" s="14"/>
      <c r="H74" s="14"/>
      <c r="I74" s="14"/>
      <c r="J74" s="14"/>
      <c r="K74" s="14"/>
      <c r="L74" s="14"/>
      <c r="M74" s="14"/>
      <c r="N74" s="14"/>
      <c r="O74" s="14"/>
      <c r="P74" s="14"/>
      <c r="Q74" s="14"/>
      <c r="R74" s="14"/>
      <c r="S74" s="14"/>
      <c r="T74" s="14"/>
      <c r="U74" s="767"/>
      <c r="V74" s="767"/>
      <c r="X74" s="767"/>
      <c r="Y74" s="767"/>
      <c r="Z74" s="767"/>
      <c r="AA74" s="767"/>
      <c r="AB74" s="767"/>
      <c r="AC74" s="767"/>
      <c r="AH74" s="747"/>
      <c r="AI74" s="304" t="s">
        <v>1030</v>
      </c>
      <c r="AJ74" s="266">
        <v>160</v>
      </c>
      <c r="AK74" s="266">
        <v>180</v>
      </c>
      <c r="AL74" s="803">
        <v>210</v>
      </c>
      <c r="AN74" s="1"/>
      <c r="AO74" s="243"/>
      <c r="AP74" s="304" t="s">
        <v>1030</v>
      </c>
      <c r="AQ74" s="355">
        <v>120</v>
      </c>
      <c r="AR74" s="355">
        <v>120</v>
      </c>
      <c r="AS74" s="355">
        <v>120</v>
      </c>
      <c r="AT74" s="362">
        <v>120</v>
      </c>
      <c r="AU74" s="362">
        <v>120</v>
      </c>
    </row>
    <row r="75" spans="2:47" ht="15.75">
      <c r="B75" s="1"/>
      <c r="C75" s="1"/>
      <c r="D75" s="1"/>
      <c r="E75" s="14"/>
      <c r="F75" s="14"/>
      <c r="G75" s="14"/>
      <c r="H75" s="14"/>
      <c r="I75" s="14"/>
      <c r="J75" s="14"/>
      <c r="K75" s="14"/>
      <c r="L75" s="14"/>
      <c r="M75" s="14"/>
      <c r="N75" s="14"/>
      <c r="O75" s="14"/>
      <c r="P75" s="14"/>
      <c r="Q75" s="14"/>
      <c r="R75" s="14"/>
      <c r="S75" s="14"/>
      <c r="T75" s="14"/>
      <c r="U75" s="767"/>
      <c r="V75" s="767"/>
      <c r="X75" s="767"/>
      <c r="Y75" s="767"/>
      <c r="Z75" s="767"/>
      <c r="AA75" s="767"/>
      <c r="AB75" s="767"/>
      <c r="AC75" s="767"/>
      <c r="AH75" s="747"/>
      <c r="AI75" s="884" t="s">
        <v>1020</v>
      </c>
      <c r="AJ75" s="266"/>
      <c r="AK75" s="266"/>
      <c r="AL75" s="803"/>
      <c r="AN75" s="1"/>
      <c r="AO75" s="243"/>
      <c r="AP75" s="884" t="s">
        <v>1020</v>
      </c>
      <c r="AQ75" s="355"/>
      <c r="AR75" s="355"/>
      <c r="AS75" s="355"/>
      <c r="AT75" s="362"/>
      <c r="AU75" s="362"/>
    </row>
    <row r="76" spans="2:47" ht="15.75">
      <c r="B76" s="769"/>
      <c r="C76" s="766"/>
      <c r="D76" s="767"/>
      <c r="E76" s="815"/>
      <c r="F76" s="815"/>
      <c r="G76" s="814"/>
      <c r="H76" s="814"/>
      <c r="I76" s="814"/>
      <c r="J76" s="814"/>
      <c r="K76" s="814"/>
      <c r="L76" s="814"/>
      <c r="M76" s="814"/>
      <c r="N76" s="814"/>
      <c r="O76" s="814"/>
      <c r="P76" s="814"/>
      <c r="Q76" s="814"/>
      <c r="R76" s="814"/>
      <c r="S76" s="814"/>
      <c r="T76" s="814"/>
      <c r="U76" s="767"/>
      <c r="V76" s="767"/>
      <c r="X76" s="767"/>
      <c r="Y76" s="767"/>
      <c r="Z76" s="767"/>
      <c r="AA76" s="767"/>
      <c r="AB76" s="767"/>
      <c r="AC76" s="767"/>
      <c r="AH76" s="747"/>
      <c r="AI76" s="1011" t="s">
        <v>827</v>
      </c>
      <c r="AJ76" s="266">
        <v>40</v>
      </c>
      <c r="AK76" s="266">
        <v>80</v>
      </c>
      <c r="AL76" s="803">
        <v>120</v>
      </c>
      <c r="AN76" s="1"/>
      <c r="AO76" s="243"/>
      <c r="AP76" s="1011" t="s">
        <v>827</v>
      </c>
      <c r="AQ76" s="355">
        <v>45</v>
      </c>
      <c r="AR76" s="355">
        <v>70</v>
      </c>
      <c r="AS76" s="355">
        <v>100</v>
      </c>
      <c r="AT76" s="362">
        <v>100</v>
      </c>
      <c r="AU76" s="362">
        <v>100</v>
      </c>
    </row>
    <row r="77" spans="2:47" ht="15.75">
      <c r="B77" s="769"/>
      <c r="C77" s="766"/>
      <c r="D77" s="767"/>
      <c r="E77" s="815"/>
      <c r="F77" s="815"/>
      <c r="G77" s="814"/>
      <c r="H77" s="814"/>
      <c r="I77" s="814"/>
      <c r="J77" s="814"/>
      <c r="K77" s="814"/>
      <c r="L77" s="814"/>
      <c r="M77" s="814"/>
      <c r="N77" s="814"/>
      <c r="O77" s="814"/>
      <c r="P77" s="814"/>
      <c r="Q77" s="814"/>
      <c r="R77" s="814"/>
      <c r="S77" s="814"/>
      <c r="T77" s="814"/>
      <c r="U77" s="767"/>
      <c r="V77" s="767"/>
      <c r="X77" s="767"/>
      <c r="Y77" s="767"/>
      <c r="Z77" s="767"/>
      <c r="AA77" s="767"/>
      <c r="AB77" s="767"/>
      <c r="AC77" s="767"/>
      <c r="AH77" s="747"/>
      <c r="AI77" s="885" t="s">
        <v>1021</v>
      </c>
      <c r="AN77" s="1"/>
      <c r="AO77" s="243"/>
      <c r="AP77" s="885" t="s">
        <v>1021</v>
      </c>
      <c r="AQ77" s="355"/>
      <c r="AR77" s="355"/>
      <c r="AS77" s="355"/>
      <c r="AT77" s="362"/>
      <c r="AU77" s="362"/>
    </row>
    <row r="78" spans="2:47" ht="15.75">
      <c r="B78" s="769"/>
      <c r="C78" s="766"/>
      <c r="D78" s="767"/>
      <c r="E78" s="815"/>
      <c r="F78" s="815"/>
      <c r="G78" s="814"/>
      <c r="H78" s="814"/>
      <c r="I78" s="814"/>
      <c r="J78" s="814"/>
      <c r="K78" s="814"/>
      <c r="L78" s="814"/>
      <c r="M78" s="814"/>
      <c r="N78" s="814"/>
      <c r="O78" s="814"/>
      <c r="P78" s="814"/>
      <c r="Q78" s="814"/>
      <c r="R78" s="814"/>
      <c r="S78" s="814"/>
      <c r="T78" s="814"/>
      <c r="U78" s="767"/>
      <c r="V78" s="767"/>
      <c r="X78" s="767"/>
      <c r="Y78" s="767"/>
      <c r="Z78" s="767"/>
      <c r="AA78" s="767"/>
      <c r="AB78" s="767"/>
      <c r="AC78" s="767"/>
      <c r="AH78" s="747"/>
      <c r="AI78" s="885" t="s">
        <v>828</v>
      </c>
      <c r="AJ78" s="266">
        <v>20</v>
      </c>
      <c r="AK78" s="266">
        <v>30</v>
      </c>
      <c r="AL78" s="803">
        <v>30</v>
      </c>
      <c r="AN78" s="1"/>
      <c r="AO78" s="243"/>
      <c r="AP78" s="885" t="s">
        <v>828</v>
      </c>
      <c r="AQ78" s="355">
        <v>10</v>
      </c>
      <c r="AR78" s="355">
        <v>20</v>
      </c>
      <c r="AS78" s="355">
        <v>20</v>
      </c>
      <c r="AT78" s="362">
        <v>20</v>
      </c>
      <c r="AU78" s="362">
        <v>20</v>
      </c>
    </row>
    <row r="79" spans="2:47" ht="16.5" thickBot="1">
      <c r="B79" s="769"/>
      <c r="C79" s="766"/>
      <c r="D79" s="767"/>
      <c r="E79" s="815"/>
      <c r="F79" s="815"/>
      <c r="G79" s="814"/>
      <c r="H79" s="814"/>
      <c r="I79" s="814"/>
      <c r="J79" s="814"/>
      <c r="K79" s="814"/>
      <c r="L79" s="814"/>
      <c r="M79" s="814"/>
      <c r="N79" s="814"/>
      <c r="O79" s="814"/>
      <c r="P79" s="814"/>
      <c r="Q79" s="814"/>
      <c r="R79" s="814"/>
      <c r="S79" s="814"/>
      <c r="T79" s="814"/>
      <c r="U79" s="767"/>
      <c r="V79" s="767"/>
      <c r="X79" s="767"/>
      <c r="Y79" s="767"/>
      <c r="Z79" s="767"/>
      <c r="AA79" s="767"/>
      <c r="AB79" s="767"/>
      <c r="AC79" s="767"/>
      <c r="AH79" s="747"/>
      <c r="AI79" s="805"/>
      <c r="AJ79" s="806"/>
      <c r="AK79" s="806"/>
      <c r="AL79" s="807"/>
      <c r="AN79" s="1"/>
      <c r="AO79" s="243"/>
      <c r="AP79" s="1002"/>
      <c r="AQ79" s="1002"/>
      <c r="AR79" s="1002"/>
      <c r="AS79" s="1002"/>
      <c r="AT79" s="1002"/>
      <c r="AU79" s="1002"/>
    </row>
    <row r="80" spans="2:47" ht="15.75">
      <c r="B80" s="765"/>
      <c r="C80" s="766"/>
      <c r="D80" s="767"/>
      <c r="E80" s="815"/>
      <c r="F80" s="815"/>
      <c r="G80" s="814"/>
      <c r="H80" s="814"/>
      <c r="I80" s="814"/>
      <c r="J80" s="814"/>
      <c r="K80" s="814"/>
      <c r="L80" s="814"/>
      <c r="M80" s="814"/>
      <c r="N80" s="814"/>
      <c r="O80" s="814"/>
      <c r="P80" s="814"/>
      <c r="Q80" s="814"/>
      <c r="R80" s="814"/>
      <c r="S80" s="814"/>
      <c r="T80" s="814"/>
      <c r="U80" s="767"/>
      <c r="V80" s="767"/>
      <c r="X80" s="767"/>
      <c r="Y80" s="767"/>
      <c r="Z80" s="767"/>
      <c r="AA80" s="767"/>
      <c r="AB80" s="767"/>
      <c r="AC80" s="767"/>
      <c r="AH80" s="747"/>
      <c r="AI80" s="885"/>
      <c r="AJ80" s="355"/>
      <c r="AK80" s="355"/>
      <c r="AL80" s="804"/>
      <c r="AN80" s="1"/>
      <c r="AO80" s="243"/>
      <c r="AP80" s="365"/>
      <c r="AQ80" s="355"/>
      <c r="AR80" s="355"/>
      <c r="AS80" s="355"/>
      <c r="AT80" s="362"/>
      <c r="AU80" s="362"/>
    </row>
    <row r="81" spans="34:38">
      <c r="AH81" s="747"/>
    </row>
    <row r="82" spans="34:38">
      <c r="AH82" s="747"/>
    </row>
    <row r="84" spans="34:38" ht="13.5" thickBot="1"/>
    <row r="85" spans="34:38">
      <c r="AI85" s="798"/>
      <c r="AJ85" s="799"/>
      <c r="AK85" s="799"/>
      <c r="AL85" s="800"/>
    </row>
    <row r="86" spans="34:38">
      <c r="AI86" s="888" t="s">
        <v>833</v>
      </c>
      <c r="AJ86" s="796"/>
      <c r="AK86" s="796"/>
      <c r="AL86" s="801"/>
    </row>
    <row r="87" spans="34:38">
      <c r="AI87" s="883" t="s">
        <v>35</v>
      </c>
      <c r="AJ87" s="354" t="s">
        <v>5</v>
      </c>
      <c r="AK87" s="354" t="s">
        <v>6</v>
      </c>
      <c r="AL87" s="802" t="s">
        <v>29</v>
      </c>
    </row>
    <row r="88" spans="34:38">
      <c r="AI88" s="2277"/>
      <c r="AJ88" s="354"/>
      <c r="AK88" s="354"/>
      <c r="AL88" s="802"/>
    </row>
    <row r="89" spans="34:38" ht="16.5" customHeight="1">
      <c r="AI89" s="304" t="s">
        <v>830</v>
      </c>
      <c r="AJ89" s="266">
        <v>20</v>
      </c>
      <c r="AK89" s="266">
        <v>30</v>
      </c>
      <c r="AL89" s="803">
        <v>30</v>
      </c>
    </row>
    <row r="90" spans="34:38" ht="15.75">
      <c r="AI90" s="304" t="s">
        <v>831</v>
      </c>
      <c r="AJ90" s="266">
        <v>60</v>
      </c>
      <c r="AK90" s="266">
        <v>90</v>
      </c>
      <c r="AL90" s="803">
        <v>90</v>
      </c>
    </row>
    <row r="91" spans="34:38" ht="15.75">
      <c r="AI91" s="304" t="s">
        <v>844</v>
      </c>
      <c r="AJ91" s="266">
        <v>80</v>
      </c>
      <c r="AK91" s="266">
        <v>100</v>
      </c>
      <c r="AL91" s="803">
        <v>120</v>
      </c>
    </row>
    <row r="92" spans="34:38" ht="15.75">
      <c r="AI92" s="304" t="s">
        <v>845</v>
      </c>
      <c r="AJ92" s="266">
        <v>120</v>
      </c>
      <c r="AK92" s="266">
        <v>120</v>
      </c>
      <c r="AL92" s="803">
        <v>150</v>
      </c>
    </row>
    <row r="93" spans="34:38" ht="15.75">
      <c r="AI93" s="304" t="s">
        <v>1028</v>
      </c>
      <c r="AJ93" s="266">
        <v>160</v>
      </c>
      <c r="AK93" s="266">
        <v>160</v>
      </c>
      <c r="AL93" s="803">
        <v>200</v>
      </c>
    </row>
    <row r="94" spans="34:38" ht="15.75">
      <c r="AI94" s="304" t="s">
        <v>1029</v>
      </c>
      <c r="AJ94" s="266">
        <v>200</v>
      </c>
      <c r="AK94" s="266">
        <v>200</v>
      </c>
      <c r="AL94" s="803">
        <v>240</v>
      </c>
    </row>
    <row r="95" spans="34:38" ht="15.75">
      <c r="AI95" s="304" t="s">
        <v>1030</v>
      </c>
      <c r="AJ95" s="266">
        <v>270</v>
      </c>
      <c r="AK95" s="266">
        <v>270</v>
      </c>
      <c r="AL95" s="803">
        <v>270</v>
      </c>
    </row>
    <row r="96" spans="34:38" ht="15.75">
      <c r="AI96" s="884" t="s">
        <v>1020</v>
      </c>
      <c r="AJ96" s="266"/>
      <c r="AK96" s="266"/>
      <c r="AL96" s="803"/>
    </row>
    <row r="97" spans="35:38" ht="15.75">
      <c r="AI97" s="1011" t="s">
        <v>827</v>
      </c>
      <c r="AJ97" s="266">
        <v>80</v>
      </c>
      <c r="AK97" s="266">
        <v>130</v>
      </c>
      <c r="AL97" s="803">
        <v>180</v>
      </c>
    </row>
    <row r="98" spans="35:38" ht="15.75">
      <c r="AI98" s="885" t="s">
        <v>1021</v>
      </c>
      <c r="AJ98" s="266"/>
      <c r="AK98" s="266"/>
      <c r="AL98" s="803"/>
    </row>
    <row r="99" spans="35:38" ht="15.75">
      <c r="AI99" s="885" t="s">
        <v>828</v>
      </c>
      <c r="AJ99" s="266">
        <v>80</v>
      </c>
      <c r="AK99" s="266">
        <v>130</v>
      </c>
      <c r="AL99" s="803">
        <v>130</v>
      </c>
    </row>
    <row r="100" spans="35:38" ht="13.5" thickBot="1">
      <c r="AI100" s="805"/>
      <c r="AJ100" s="806"/>
      <c r="AK100" s="806"/>
      <c r="AL100" s="807"/>
    </row>
    <row r="101" spans="35:38" ht="15">
      <c r="AI101" s="885"/>
      <c r="AJ101" s="355"/>
      <c r="AK101" s="355"/>
      <c r="AL101" s="804"/>
    </row>
  </sheetData>
  <sheetProtection algorithmName="SHA-512" hashValue="Xdca6kSwOoEDjabluepT7Rh/rH13vvu6Pbor9nc7QTv1wL2C2XpKpcBufBxfkhX/hxa4QN3oyVT6xXNp7Q/63Q==" saltValue="nMp8BOnAxUUFeQsdbuhvwQ==" spinCount="100000" sheet="1" formatCells="0" formatColumns="0"/>
  <mergeCells count="11">
    <mergeCell ref="U1:V1"/>
    <mergeCell ref="B3:G3"/>
    <mergeCell ref="J3:S3"/>
    <mergeCell ref="U3:V3"/>
    <mergeCell ref="J4:K4"/>
    <mergeCell ref="L4:M4"/>
    <mergeCell ref="N4:O4"/>
    <mergeCell ref="P4:Q4"/>
    <mergeCell ref="R4:S4"/>
    <mergeCell ref="N1:O1"/>
    <mergeCell ref="P1:Q1"/>
  </mergeCells>
  <dataValidations count="6">
    <dataValidation type="list" operator="equal" allowBlank="1" showInputMessage="1" promptTitle="Hinweis" prompt="Kultur auswählen, nicht angezeigte (zB Gemüse und Heilkräuter) eintippen!" sqref="B5">
      <formula1>Liste_Kulturen</formula1>
    </dataValidation>
    <dataValidation type="list" operator="equal" allowBlank="1" promptTitle="Hinweis" prompt="Kultur auswählen, nicht angezeigte (zB Gemüse und Heilkräuter) eintippen!" sqref="B6:B16">
      <formula1>Liste_Kulturen</formula1>
      <formula2>0</formula2>
    </dataValidation>
    <dataValidation operator="equal" allowBlank="1" showInputMessage="1" showErrorMessage="1" promptTitle="Hinweis" prompt="Dieser Wert wird berechnet." sqref="E5:F5 E6:E16">
      <formula1>0</formula1>
      <formula2>0</formula2>
    </dataValidation>
    <dataValidation type="list" allowBlank="1" showInputMessage="1" showErrorMessage="1" sqref="N5:N18 P5:P18 L5:L18 R5:R18 J5:J18">
      <formula1>meine_Dünger</formula1>
    </dataValidation>
    <dataValidation operator="equal" allowBlank="1" promptTitle="Hinweis" prompt="Kultur auswählen, nicht angezeigte (zB Gemüse und Heilkräuter) eintippen!" sqref="B17:B18"/>
    <dataValidation type="list" operator="equal" allowBlank="1" showErrorMessage="1" sqref="D5:D18">
      <formula1>$AF$5:$AF$7</formula1>
    </dataValidation>
  </dataValidations>
  <hyperlinks>
    <hyperlink ref="N1:O1" location="'meine Dünger'!A1" display="◄"/>
    <hyperlink ref="P1:Q1" location="Grünland!A1" display="  ►"/>
  </hyperlinks>
  <pageMargins left="0.27559055118110237" right="0.47244094488188981" top="0.82677165354330717" bottom="0.39370078740157483" header="0.35433070866141736" footer="0.15748031496062992"/>
  <pageSetup paperSize="9" scale="70" fitToWidth="2" orientation="landscape" blackAndWhite="1" r:id="rId1"/>
  <headerFooter>
    <oddHeader>&amp;R&amp;G</oddHeader>
    <oddFooter>&amp;L&amp;F&amp;C&amp;D&amp;R&amp;[Seite&amp;N]</oddFooter>
  </headerFooter>
  <rowBreaks count="1" manualBreakCount="1">
    <brk id="44" max="16383"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iconSet" priority="4" id="{D2877CB6-9992-4A74-8BF3-C2CC07D69061}">
            <x14:iconSet showValue="0" custom="1">
              <x14:cfvo type="percent">
                <xm:f>0</xm:f>
              </x14:cfvo>
              <x14:cfvo type="num">
                <xm:f>-20</xm:f>
              </x14:cfvo>
              <x14:cfvo type="num">
                <xm:f>20</xm:f>
              </x14:cfvo>
              <x14:cfIcon iconSet="3TrafficLights1" iconId="0"/>
              <x14:cfIcon iconSet="3TrafficLights1" iconId="2"/>
              <x14:cfIcon iconSet="3TrafficLights1" iconId="1"/>
            </x14:iconSet>
          </x14:cfRule>
          <xm:sqref>I5:I18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f:field ref="objname" par="" text="Duengeplanungstool_AGw_Version_1.3" edit="true"/>
    <f:field ref="objsubject" par="" text="" edit="true"/>
    <f:field ref="objcreatedby" par="" text="Krumphuber, Christian, DI"/>
    <f:field ref="objcreatedat" par="" date="2019-11-11T07:37:46" text="11.11.2019 07:37:46"/>
    <f:field ref="objchangedby" par="" text="Krumphuber, Christian, DI"/>
    <f:field ref="objmodifiedat" par="" date="2019-11-11T07:37:46" text="11.11.2019 07:37:46"/>
    <f:field ref="doc_FSCFOLIO_1_1001_FieldDocumentNumber" par="" text=""/>
    <f:field ref="doc_FSCFOLIO_1_1001_FieldSubject" par="" text="" edit="true"/>
    <f:field ref="FSCFOLIO_1_1001_FieldCurrentUser" par="" text="DI Christian Krumphuber"/>
    <f:field ref="CCAPRECONFIG_15_1001_Objektname" par="" text="Duengeplanungstool_AGw_Version_1.3" edit="true"/>
  </f:record>
  <f:display par="" text="Allgemein">
    <f:field ref="objname" text="Name"/>
    <f:field ref="objsubject" text="Betreff (einzeilig)"/>
    <f:field ref="objcreatedby" text="Erzeugt von"/>
    <f:field ref="objcreatedat" text="Erzeugt am/um"/>
    <f:field ref="objchangedby" text="Letzte Änderung von"/>
    <f:field ref="objmodifiedat" text="Letzte Änderung am/um"/>
    <f:field ref="FSCFOLIO_1_1001_FieldCurrentUser" text="Aktueller Benutzer"/>
    <f:field ref="CCAPRECONFIG_15_1001_Objektname" text="Objektname"/>
  </f:display>
  <f:display par="" text="Serienbrief">
    <f:field ref="doc_FSCFOLIO_1_1001_FieldDocumentNumber" text="Dokument Nummer"/>
    <f:field ref="doc_FSCFOLIO_1_1001_FieldSubject" text="Betreff"/>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103</vt:i4>
      </vt:variant>
    </vt:vector>
  </HeadingPairs>
  <TitlesOfParts>
    <vt:vector size="155" baseType="lpstr">
      <vt:lpstr>Info</vt:lpstr>
      <vt:lpstr>Betrieb</vt:lpstr>
      <vt:lpstr>Tiere</vt:lpstr>
      <vt:lpstr>Hofdung</vt:lpstr>
      <vt:lpstr>Tabelle1</vt:lpstr>
      <vt:lpstr>Mineral_Dü</vt:lpstr>
      <vt:lpstr>Organ__Dü</vt:lpstr>
      <vt:lpstr>meine Dünger</vt:lpstr>
      <vt:lpstr>Acker</vt:lpstr>
      <vt:lpstr>Grünland</vt:lpstr>
      <vt:lpstr>Futterbilanzierung</vt:lpstr>
      <vt:lpstr>Planung</vt:lpstr>
      <vt:lpstr>Summen_Acker</vt:lpstr>
      <vt:lpstr>Summen_GL</vt:lpstr>
      <vt:lpstr>Ergebnis</vt:lpstr>
      <vt:lpstr>S_1</vt:lpstr>
      <vt:lpstr>S_2</vt:lpstr>
      <vt:lpstr>S_3</vt:lpstr>
      <vt:lpstr>S_4</vt:lpstr>
      <vt:lpstr>S_5</vt:lpstr>
      <vt:lpstr>S_6</vt:lpstr>
      <vt:lpstr>S_7</vt:lpstr>
      <vt:lpstr>S_8</vt:lpstr>
      <vt:lpstr>S_9</vt:lpstr>
      <vt:lpstr>S_10</vt:lpstr>
      <vt:lpstr>S_11</vt:lpstr>
      <vt:lpstr>S_12</vt:lpstr>
      <vt:lpstr>S_13</vt:lpstr>
      <vt:lpstr>S_14</vt:lpstr>
      <vt:lpstr>S_15</vt:lpstr>
      <vt:lpstr>S_16</vt:lpstr>
      <vt:lpstr>S_17</vt:lpstr>
      <vt:lpstr>S_18</vt:lpstr>
      <vt:lpstr>S_19</vt:lpstr>
      <vt:lpstr>S_20</vt:lpstr>
      <vt:lpstr>S_21</vt:lpstr>
      <vt:lpstr>S_22</vt:lpstr>
      <vt:lpstr>S_23</vt:lpstr>
      <vt:lpstr>S_24</vt:lpstr>
      <vt:lpstr>S_25</vt:lpstr>
      <vt:lpstr>S_26</vt:lpstr>
      <vt:lpstr>S_27</vt:lpstr>
      <vt:lpstr>S_28</vt:lpstr>
      <vt:lpstr>S_29</vt:lpstr>
      <vt:lpstr>S_30</vt:lpstr>
      <vt:lpstr>Ergebnis genau</vt:lpstr>
      <vt:lpstr>Info1</vt:lpstr>
      <vt:lpstr>Info2</vt:lpstr>
      <vt:lpstr>Info3</vt:lpstr>
      <vt:lpstr>Info4</vt:lpstr>
      <vt:lpstr>S_Test</vt:lpstr>
      <vt:lpstr>Tabelle2</vt:lpstr>
      <vt:lpstr>Betrieb!__xlnm.Print_Area</vt:lpstr>
      <vt:lpstr>Grünland!__xlnm.Print_Area</vt:lpstr>
      <vt:lpstr>Hofdung!__xlnm.Print_Area</vt:lpstr>
      <vt:lpstr>Info!__xlnm.Print_Area</vt:lpstr>
      <vt:lpstr>'meine Dünger'!__xlnm.Print_Area</vt:lpstr>
      <vt:lpstr>Mineral_Dü!__xlnm.Print_Area</vt:lpstr>
      <vt:lpstr>Organ__Dü!__xlnm.Print_Area</vt:lpstr>
      <vt:lpstr>S_1!__xlnm.Print_Area</vt:lpstr>
      <vt:lpstr>S_10!__xlnm.Print_Area</vt:lpstr>
      <vt:lpstr>S_11!__xlnm.Print_Area</vt:lpstr>
      <vt:lpstr>S_12!__xlnm.Print_Area</vt:lpstr>
      <vt:lpstr>S_13!__xlnm.Print_Area</vt:lpstr>
      <vt:lpstr>S_14!__xlnm.Print_Area</vt:lpstr>
      <vt:lpstr>S_15!__xlnm.Print_Area</vt:lpstr>
      <vt:lpstr>S_16!__xlnm.Print_Area</vt:lpstr>
      <vt:lpstr>S_17!__xlnm.Print_Area</vt:lpstr>
      <vt:lpstr>S_18!__xlnm.Print_Area</vt:lpstr>
      <vt:lpstr>S_19!__xlnm.Print_Area</vt:lpstr>
      <vt:lpstr>S_2!__xlnm.Print_Area</vt:lpstr>
      <vt:lpstr>S_20!__xlnm.Print_Area</vt:lpstr>
      <vt:lpstr>S_21!__xlnm.Print_Area</vt:lpstr>
      <vt:lpstr>S_22!__xlnm.Print_Area</vt:lpstr>
      <vt:lpstr>S_23!__xlnm.Print_Area</vt:lpstr>
      <vt:lpstr>S_24!__xlnm.Print_Area</vt:lpstr>
      <vt:lpstr>S_25!__xlnm.Print_Area</vt:lpstr>
      <vt:lpstr>S_26!__xlnm.Print_Area</vt:lpstr>
      <vt:lpstr>S_27!__xlnm.Print_Area</vt:lpstr>
      <vt:lpstr>S_28!__xlnm.Print_Area</vt:lpstr>
      <vt:lpstr>S_29!__xlnm.Print_Area</vt:lpstr>
      <vt:lpstr>S_3!__xlnm.Print_Area</vt:lpstr>
      <vt:lpstr>S_30!__xlnm.Print_Area</vt:lpstr>
      <vt:lpstr>S_4!__xlnm.Print_Area</vt:lpstr>
      <vt:lpstr>S_5!__xlnm.Print_Area</vt:lpstr>
      <vt:lpstr>S_6!__xlnm.Print_Area</vt:lpstr>
      <vt:lpstr>S_7!__xlnm.Print_Area</vt:lpstr>
      <vt:lpstr>S_8!__xlnm.Print_Area</vt:lpstr>
      <vt:lpstr>S_9!__xlnm.Print_Area</vt:lpstr>
      <vt:lpstr>S_Test!__xlnm.Print_Area</vt:lpstr>
      <vt:lpstr>Tiere!__xlnm.Print_Area</vt:lpstr>
      <vt:lpstr>__xlnm.Print_Area</vt:lpstr>
      <vt:lpstr>__xlnm.Print_Area_10</vt:lpstr>
      <vt:lpstr>S_10!__xlnm.Print_Area_12</vt:lpstr>
      <vt:lpstr>S_11!__xlnm.Print_Area_12</vt:lpstr>
      <vt:lpstr>S_12!__xlnm.Print_Area_12</vt:lpstr>
      <vt:lpstr>S_14!__xlnm.Print_Area_12</vt:lpstr>
      <vt:lpstr>S_15!__xlnm.Print_Area_12</vt:lpstr>
      <vt:lpstr>S_16!__xlnm.Print_Area_12</vt:lpstr>
      <vt:lpstr>S_17!__xlnm.Print_Area_12</vt:lpstr>
      <vt:lpstr>S_18!__xlnm.Print_Area_12</vt:lpstr>
      <vt:lpstr>S_19!__xlnm.Print_Area_12</vt:lpstr>
      <vt:lpstr>S_2!__xlnm.Print_Area_12</vt:lpstr>
      <vt:lpstr>S_20!__xlnm.Print_Area_12</vt:lpstr>
      <vt:lpstr>S_21!__xlnm.Print_Area_12</vt:lpstr>
      <vt:lpstr>S_22!__xlnm.Print_Area_12</vt:lpstr>
      <vt:lpstr>S_23!__xlnm.Print_Area_12</vt:lpstr>
      <vt:lpstr>S_24!__xlnm.Print_Area_12</vt:lpstr>
      <vt:lpstr>S_25!__xlnm.Print_Area_12</vt:lpstr>
      <vt:lpstr>S_26!__xlnm.Print_Area_12</vt:lpstr>
      <vt:lpstr>S_27!__xlnm.Print_Area_12</vt:lpstr>
      <vt:lpstr>S_28!__xlnm.Print_Area_12</vt:lpstr>
      <vt:lpstr>S_29!__xlnm.Print_Area_12</vt:lpstr>
      <vt:lpstr>S_3!__xlnm.Print_Area_12</vt:lpstr>
      <vt:lpstr>S_30!__xlnm.Print_Area_12</vt:lpstr>
      <vt:lpstr>S_4!__xlnm.Print_Area_12</vt:lpstr>
      <vt:lpstr>S_5!__xlnm.Print_Area_12</vt:lpstr>
      <vt:lpstr>S_6!__xlnm.Print_Area_12</vt:lpstr>
      <vt:lpstr>S_7!__xlnm.Print_Area_12</vt:lpstr>
      <vt:lpstr>S_8!__xlnm.Print_Area_12</vt:lpstr>
      <vt:lpstr>S_9!__xlnm.Print_Area_12</vt:lpstr>
      <vt:lpstr>__xlnm.Print_Area_12</vt:lpstr>
      <vt:lpstr>__xlnm.Print_Area_2</vt:lpstr>
      <vt:lpstr>__xlnm.Print_Area_23</vt:lpstr>
      <vt:lpstr>__xlnm.Print_Area_5</vt:lpstr>
      <vt:lpstr>__xlnm.Print_Area_54</vt:lpstr>
      <vt:lpstr>__xlnm.Print_Area_6</vt:lpstr>
      <vt:lpstr>__xlnm.Print_Area_8</vt:lpstr>
      <vt:lpstr>__xlnm.Print_Area_9</vt:lpstr>
      <vt:lpstr>Betriebsmittel</vt:lpstr>
      <vt:lpstr>Acker!Druckbereich</vt:lpstr>
      <vt:lpstr>Betrieb!Druckbereich</vt:lpstr>
      <vt:lpstr>Hofdung!Druckbereich</vt:lpstr>
      <vt:lpstr>Info!Druckbereich</vt:lpstr>
      <vt:lpstr>'meine Dünger'!Druckbereich</vt:lpstr>
      <vt:lpstr>Mineral_Dü!Druckbereich</vt:lpstr>
      <vt:lpstr>Organ__Dü!Druckbereich</vt:lpstr>
      <vt:lpstr>S_Test!Druckbereich</vt:lpstr>
      <vt:lpstr>Tiere!Druckbereich</vt:lpstr>
      <vt:lpstr>Düngertabelle</vt:lpstr>
      <vt:lpstr>Liste_Ertrag</vt:lpstr>
      <vt:lpstr>Liste_GL_Kulturen</vt:lpstr>
      <vt:lpstr>Liste_GL_von</vt:lpstr>
      <vt:lpstr>Liste_Grünland</vt:lpstr>
      <vt:lpstr>Liste_ja</vt:lpstr>
      <vt:lpstr>Liste_Kulturen</vt:lpstr>
      <vt:lpstr>Liste_MD</vt:lpstr>
      <vt:lpstr>Liste_N_Bedarf</vt:lpstr>
      <vt:lpstr>Liste_Nutzung</vt:lpstr>
      <vt:lpstr>Liste_OD</vt:lpstr>
      <vt:lpstr>Liste_P_Bedarf</vt:lpstr>
      <vt:lpstr>Liste_WD</vt:lpstr>
      <vt:lpstr>Liste_Zeitpunkt</vt:lpstr>
      <vt:lpstr>meine_Dünger</vt:lpstr>
      <vt:lpstr>Tierliste_neu</vt:lpstr>
    </vt:vector>
  </TitlesOfParts>
  <Company>Landwirtschaftskammer OÖ</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rechjoh</dc:creator>
  <cp:lastModifiedBy>Stockinger Johanna</cp:lastModifiedBy>
  <cp:lastPrinted>2019-06-04T13:35:30Z</cp:lastPrinted>
  <dcterms:created xsi:type="dcterms:W3CDTF">2017-10-05T12:08:16Z</dcterms:created>
  <dcterms:modified xsi:type="dcterms:W3CDTF">2019-06-06T11:40:55Z</dcterms:modified>
</cp:coreProperties>
</file>

<file path=docProps/custom.xml><?xml version="1.0" encoding="utf-8"?>
<Properties xmlns="http://schemas.openxmlformats.org/officeDocument/2006/custom-properties" xmlns:vt="http://schemas.openxmlformats.org/officeDocument/2006/docPropsVTypes">
  <property name="FSC#LKOOEDOK@1000.3800:EigentuemerDienststelle" pid="2" fmtid="{D5CDD505-2E9C-101B-9397-08002B2CF9AE}">
    <vt:lpwstr>Pflanzenproduktion</vt:lpwstr>
  </property>
  <property name="FSC#LKOOEDOK@1000.3800:EigentuemerKostenstelleNr" pid="3" fmtid="{D5CDD505-2E9C-101B-9397-08002B2CF9AE}">
    <vt:lpwstr>130</vt:lpwstr>
  </property>
  <property name="FSC#LKOOEDOK@1000.3800:EigentuemerAnschrift" pid="4" fmtid="{D5CDD505-2E9C-101B-9397-08002B2CF9AE}">
    <vt:lpwstr>Hörschinger Straße 26</vt:lpwstr>
  </property>
  <property name="FSC#LKOOEDOK@1000.3800:EigentuemerPostort" pid="5" fmtid="{D5CDD505-2E9C-101B-9397-08002B2CF9AE}">
    <vt:lpwstr>4061 Pasching</vt:lpwstr>
  </property>
  <property name="FSC#LKOOEDOK@1000.3800:Objektname" pid="6" fmtid="{D5CDD505-2E9C-101B-9397-08002B2CF9AE}">
    <vt:lpwstr>Duengeplanungstool_x005f_AGw_x005f_Version_x005f_1.3</vt:lpwstr>
  </property>
  <property name="FSC#LKOOEDOK@1000.3800:Betreff" pid="7" fmtid="{D5CDD505-2E9C-101B-9397-08002B2CF9AE}">
    <vt:lpwstr/>
  </property>
  <property name="FSC#LKOOEDOK@1000.3800:Gruppe" pid="8" fmtid="{D5CDD505-2E9C-101B-9397-08002B2CF9AE}">
    <vt:lpwstr>A-PFL (Abt Pflanzenproduktion)</vt:lpwstr>
  </property>
  <property name="FSC#LKOOEDOK@1000.3800:EigentuemerTelefon" pid="9" fmtid="{D5CDD505-2E9C-101B-9397-08002B2CF9AE}">
    <vt:lpwstr>+43 (50) 6902-1415</vt:lpwstr>
  </property>
  <property name="FSC#LKOOEDOK@1000.3800:Versionsnummer" pid="10" fmtid="{D5CDD505-2E9C-101B-9397-08002B2CF9AE}">
    <vt:lpwstr>1</vt:lpwstr>
  </property>
  <property name="FSC#LKOOEDOK@1000.3800:EigentuemerName" pid="11" fmtid="{D5CDD505-2E9C-101B-9397-08002B2CF9AE}">
    <vt:lpwstr>DI Christian Krumphuber</vt:lpwstr>
  </property>
  <property name="FSC#LKOOEDOK@1000.3800:EigentuemerMaNr" pid="12" fmtid="{D5CDD505-2E9C-101B-9397-08002B2CF9AE}">
    <vt:lpwstr>260</vt:lpwstr>
  </property>
  <property name="FSC#LKOOEDOK@1000.3800:EigentuemerEMail" pid="13" fmtid="{D5CDD505-2E9C-101B-9397-08002B2CF9AE}">
    <vt:lpwstr>Christian.Krumphuber@lk-ooe.at</vt:lpwstr>
  </property>
  <property name="FSC#LKOOEDOK@1000.3800:EigentuemerPersonEMail" pid="14" fmtid="{D5CDD505-2E9C-101B-9397-08002B2CF9AE}">
    <vt:lpwstr>Christian.Krumphuber@lk-ooe.at</vt:lpwstr>
  </property>
  <property name="FSC#LKOOEDOK@1000.3800:DstTelefon" pid="15" fmtid="{D5CDD505-2E9C-101B-9397-08002B2CF9AE}">
    <vt:lpwstr>+43 (50) 6902-1414</vt:lpwstr>
  </property>
  <property name="FSC#LKOOEDOK@1000.3800:DstPostort" pid="16" fmtid="{D5CDD505-2E9C-101B-9397-08002B2CF9AE}">
    <vt:lpwstr>4021 Linz</vt:lpwstr>
  </property>
  <property name="FSC#LKOOEDOK@1000.3800:DstOrt" pid="17" fmtid="{D5CDD505-2E9C-101B-9397-08002B2CF9AE}">
    <vt:lpwstr>Linz</vt:lpwstr>
  </property>
  <property name="FSC#LKOOEDOK@1000.3800:DstOrtKurz" pid="18" fmtid="{D5CDD505-2E9C-101B-9397-08002B2CF9AE}">
    <vt:lpwstr>Linz</vt:lpwstr>
  </property>
  <property name="FSC#LKOOEDOK@1000.3800:DstName" pid="19" fmtid="{D5CDD505-2E9C-101B-9397-08002B2CF9AE}">
    <vt:lpwstr>Pflanzenproduktion</vt:lpwstr>
  </property>
  <property name="FSC#LKOOEDOK@1000.3800:DstFax" pid="20" fmtid="{D5CDD505-2E9C-101B-9397-08002B2CF9AE}">
    <vt:lpwstr>+43 (50) 6902-91414</vt:lpwstr>
  </property>
  <property name="FSC#LKOOEDOK@1000.3800:DstEMail" pid="21" fmtid="{D5CDD505-2E9C-101B-9397-08002B2CF9AE}">
    <vt:lpwstr>abt-pfl@lk-ooe.at</vt:lpwstr>
  </property>
  <property name="FSC#LKOOEDOK@1000.3800:DstAnschrift" pid="22" fmtid="{D5CDD505-2E9C-101B-9397-08002B2CF9AE}">
    <vt:lpwstr>Auf der Gugl 3</vt:lpwstr>
  </property>
  <property name="FSC#LKOOEDOK@1000.3800:AenderungsID" pid="23" fmtid="{D5CDD505-2E9C-101B-9397-08002B2CF9AE}">
    <vt:lpwstr>lk-ooe\krumchr</vt:lpwstr>
  </property>
  <property name="FSC#LKOOEDOK@1000.3800:EigentuemerID" pid="24" fmtid="{D5CDD505-2E9C-101B-9397-08002B2CF9AE}">
    <vt:lpwstr>lk-ooe\krumchr</vt:lpwstr>
  </property>
  <property name="FSC#LKOOEDOK@1000.3800:KundeName" pid="25" fmtid="{D5CDD505-2E9C-101B-9397-08002B2CF9AE}">
    <vt:lpwstr/>
  </property>
  <property name="FSC#LKOOEDOK@1000.3800:KundeStrasse" pid="26" fmtid="{D5CDD505-2E9C-101B-9397-08002B2CF9AE}">
    <vt:lpwstr/>
  </property>
  <property name="FSC#LKOOEDOK@1000.3800:KundeOrt" pid="27" fmtid="{D5CDD505-2E9C-101B-9397-08002B2CF9AE}">
    <vt:lpwstr/>
  </property>
  <property name="FSC#LKOOEDOK@1000.3800:AenderungsDatum" pid="28" fmtid="{D5CDD505-2E9C-101B-9397-08002B2CF9AE}">
    <vt:lpwstr>11-11-2019</vt:lpwstr>
  </property>
  <property name="FSC#LKOOEDOK@1000.3800:Adresse" pid="29" fmtid="{D5CDD505-2E9C-101B-9397-08002B2CF9AE}">
    <vt:lpwstr>COO.1000.3800.7.6755164</vt:lpwstr>
  </property>
  <property name="FSC#LKOOEDOK@1000.3800:KundeGrussformel" pid="30" fmtid="{D5CDD505-2E9C-101B-9397-08002B2CF9AE}">
    <vt:lpwstr>Sehr geehrte Damen und Herren</vt:lpwstr>
  </property>
  <property name="FSC#LKOOEDOK@1000.3800:KundeAnschrift" pid="31" fmtid="{D5CDD505-2E9C-101B-9397-08002B2CF9AE}">
    <vt:lpwstr/>
  </property>
  <property name="FSC#LKOOEDOK@1000.3800:KundeTelefon" pid="32" fmtid="{D5CDD505-2E9C-101B-9397-08002B2CF9AE}">
    <vt:lpwstr/>
  </property>
  <property name="FSC#LKOOEDOK@1000.3800:KundeEmail" pid="33" fmtid="{D5CDD505-2E9C-101B-9397-08002B2CF9AE}">
    <vt:lpwstr/>
  </property>
  <property name="FSC#LKOOEDOK@1000.3800:AuftragNummer" pid="34" fmtid="{D5CDD505-2E9C-101B-9397-08002B2CF9AE}">
    <vt:lpwstr/>
  </property>
  <property name="FSC#LKOOEDOK@1000.3800:Kategorie" pid="35" fmtid="{D5CDD505-2E9C-101B-9397-08002B2CF9AE}">
    <vt:lpwstr/>
  </property>
  <property name="FSC#LKOOEDOK@1000.3800:Titel" pid="36" fmtid="{D5CDD505-2E9C-101B-9397-08002B2CF9AE}">
    <vt:lpwstr/>
  </property>
  <property name="FSC#LKOOEDOK@1000.3800:Thema" pid="37" fmtid="{D5CDD505-2E9C-101B-9397-08002B2CF9AE}">
    <vt:lpwstr/>
  </property>
  <property name="FSC#LKOOEDOK@1000.3800:DatumVorlage" pid="38" fmtid="{D5CDD505-2E9C-101B-9397-08002B2CF9AE}">
    <vt:lpwstr/>
  </property>
  <property name="FSC#LKOOEDOK@1000.3800:Bereich" pid="39" fmtid="{D5CDD505-2E9C-101B-9397-08002B2CF9AE}">
    <vt:lpwstr/>
  </property>
  <property name="FSC#LKOOEDOK@1000.3800:Stichworte" pid="40" fmtid="{D5CDD505-2E9C-101B-9397-08002B2CF9AE}">
    <vt:lpwstr/>
  </property>
  <property name="FSC#LKOOEDOK@1000.3800:Kommentar" pid="41" fmtid="{D5CDD505-2E9C-101B-9397-08002B2CF9AE}">
    <vt:lpwstr/>
  </property>
  <property name="FSC#LKOOEDOK@1000.3800:ProduktEbene4" pid="42" fmtid="{D5CDD505-2E9C-101B-9397-08002B2CF9AE}">
    <vt:lpwstr/>
  </property>
  <property name="FSC#LKOOEDOK@1000.3800:Geburtsdatum" pid="43" fmtid="{D5CDD505-2E9C-101B-9397-08002B2CF9AE}">
    <vt:lpwstr/>
  </property>
  <property name="FSC#LKOOEDOK@1000.3800:KundeMobil" pid="44" fmtid="{D5CDD505-2E9C-101B-9397-08002B2CF9AE}">
    <vt:lpwstr/>
  </property>
  <property name="FSC#LKOOEDOK@1000.3800:KundeBNR" pid="45" fmtid="{D5CDD505-2E9C-101B-9397-08002B2CF9AE}">
    <vt:lpwstr/>
  </property>
  <property name="FSC#LKOOEDOK@1000.3800:KundeHomepage" pid="46" fmtid="{D5CDD505-2E9C-101B-9397-08002B2CF9AE}">
    <vt:lpwstr/>
  </property>
  <property name="FSC#COOELAK@1.1001:Subject" pid="47" fmtid="{D5CDD505-2E9C-101B-9397-08002B2CF9AE}">
    <vt:lpwstr/>
  </property>
  <property name="FSC#COOELAK@1.1001:CreatedAt" pid="48" fmtid="{D5CDD505-2E9C-101B-9397-08002B2CF9AE}">
    <vt:lpwstr>11.11.2019</vt:lpwstr>
  </property>
  <property name="FSC#COOSYSTEM@1.1:Container" pid="49" fmtid="{D5CDD505-2E9C-101B-9397-08002B2CF9AE}">
    <vt:lpwstr>COO.1000.3800.7.6755164</vt:lpwstr>
  </property>
  <property name="FSC#FSCFOLIO@1.1001:docpropproject" pid="50" fmtid="{D5CDD505-2E9C-101B-9397-08002B2CF9AE}">
    <vt:lpwstr/>
  </property>
  <property name="FSC#COOELAK@1.1001:Owner" pid="51" fmtid="{D5CDD505-2E9C-101B-9397-08002B2CF9AE}">
    <vt:lpwstr>Krumphuber Christian, DI</vt:lpwstr>
  </property>
</Properties>
</file>